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36.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L:\Bissell\Transmission Rate Filings\NYPA NTAC Formula Rate\2022 ATRR Update Documents\"/>
    </mc:Choice>
  </mc:AlternateContent>
  <xr:revisionPtr revIDLastSave="0" documentId="13_ncr:1_{9EED8963-D6B3-48DD-8237-2B59CEE055FC}" xr6:coauthVersionLast="47" xr6:coauthVersionMax="47" xr10:uidLastSave="{00000000-0000-0000-0000-000000000000}"/>
  <workbookProtection workbookAlgorithmName="SHA-512" workbookHashValue="OhRp3Mnb87lvli2OjghB/VchemtjwiMtYtBJysAhPFDS15q6D6aYjqv2nkEsnd4ZoZ0wraTBv/HzY/aWPzLkvg==" workbookSaltValue="ZodoksUwoUsWtVKnFOnsHQ==" workbookSpinCount="100000" lockStructure="1"/>
  <bookViews>
    <workbookView xWindow="-108" yWindow="-108" windowWidth="23256" windowHeight="14016" tabRatio="835" firstSheet="1" activeTab="1" xr2:uid="{00000000-000D-0000-FFFF-FFFF00000000}"/>
  </bookViews>
  <sheets>
    <sheet name="Index" sheetId="2" r:id="rId1"/>
    <sheet name="SUMMARY" sheetId="3" r:id="rId2"/>
    <sheet name="A1-O&amp;M" sheetId="4" r:id="rId3"/>
    <sheet name="A2-A&amp;G" sheetId="5" r:id="rId4"/>
    <sheet name="B1-Depn" sheetId="6" r:id="rId5"/>
    <sheet name="B2-Plant" sheetId="7" r:id="rId6"/>
    <sheet name="B3-Depn Rates" sheetId="8" r:id="rId7"/>
    <sheet name="C1-Rate Base" sheetId="9" r:id="rId8"/>
    <sheet name="D1-Cap Structure" sheetId="10" r:id="rId9"/>
    <sheet name="D2-Project Cap Structures" sheetId="11" r:id="rId10"/>
    <sheet name="E1-Labor Ratio" sheetId="12" r:id="rId11"/>
    <sheet name="F1-Proj RR" sheetId="13" r:id="rId12"/>
    <sheet name="F2-Incentives" sheetId="14" r:id="rId13"/>
    <sheet name="F3-True-Up" sheetId="15" r:id="rId14"/>
    <sheet name="WP-AA" sheetId="16" r:id="rId15"/>
    <sheet name="WP-AB" sheetId="17" r:id="rId16"/>
    <sheet name="WP-AC" sheetId="18" r:id="rId17"/>
    <sheet name="WP-AD" sheetId="19" r:id="rId18"/>
    <sheet name="WP-AE" sheetId="20" r:id="rId19"/>
    <sheet name="WP-AF" sheetId="21" r:id="rId20"/>
    <sheet name="WP-AG" sheetId="22" r:id="rId21"/>
    <sheet name="WP-AH" sheetId="23" r:id="rId22"/>
    <sheet name="WP-AI" sheetId="24" r:id="rId23"/>
    <sheet name="WP-BA" sheetId="25" r:id="rId24"/>
    <sheet name="WP-BB" sheetId="26" r:id="rId25"/>
    <sheet name="WP-BC" sheetId="27" r:id="rId26"/>
    <sheet name="WP-BD" sheetId="28" r:id="rId27"/>
    <sheet name="WP-BE" sheetId="29" r:id="rId28"/>
    <sheet name="WP-BF" sheetId="30" r:id="rId29"/>
    <sheet name="WP-BG" sheetId="31" r:id="rId30"/>
    <sheet name="WP-BH" sheetId="32" r:id="rId31"/>
    <sheet name="WP-BI" sheetId="33" r:id="rId32"/>
    <sheet name="WP-CA" sheetId="34" r:id="rId33"/>
    <sheet name="WP-CB" sheetId="35" r:id="rId34"/>
    <sheet name="WP-DA" sheetId="36" r:id="rId35"/>
    <sheet name="WP-DB" sheetId="37" r:id="rId36"/>
    <sheet name="WP-EA" sheetId="38" r:id="rId37"/>
    <sheet name="WP-AR-IS" sheetId="39" r:id="rId38"/>
    <sheet name="WP-AR-BS" sheetId="40" r:id="rId39"/>
    <sheet name="WP-AR-Cap Assets" sheetId="41" r:id="rId40"/>
    <sheet name="WP-Reconciliations" sheetId="44" r:id="rId41"/>
  </sheets>
  <externalReferences>
    <externalReference r:id="rId42"/>
    <externalReference r:id="rId43"/>
  </externalReferences>
  <definedNames>
    <definedName name="_xlnm._FilterDatabase" localSheetId="24" hidden="1">'WP-BB'!$A$18:$AD$147</definedName>
    <definedName name="_xlnm._FilterDatabase" localSheetId="25" hidden="1">'WP-BC'!$A$1:$Z$365</definedName>
    <definedName name="_Key1" localSheetId="9" hidden="1">#REF!</definedName>
    <definedName name="_Key1" localSheetId="38" hidden="1">#REF!</definedName>
    <definedName name="_Key1" localSheetId="37" hidden="1">#REF!</definedName>
    <definedName name="_Key1" localSheetId="24" hidden="1">#REF!</definedName>
    <definedName name="_Key1" localSheetId="25" hidden="1">#REF!</definedName>
    <definedName name="_Key1" hidden="1">#REF!</definedName>
    <definedName name="_Order1" hidden="1">255</definedName>
    <definedName name="_Sort" localSheetId="9" hidden="1">#REF!</definedName>
    <definedName name="_Sort" localSheetId="38" hidden="1">#REF!</definedName>
    <definedName name="_Sort" localSheetId="37" hidden="1">#REF!</definedName>
    <definedName name="_Sort" localSheetId="24" hidden="1">#REF!</definedName>
    <definedName name="_Sort" localSheetId="25" hidden="1">#REF!</definedName>
    <definedName name="_Sort" hidden="1">#REF!</definedName>
    <definedName name="ASH_KENSICO" localSheetId="4">#REF!</definedName>
    <definedName name="ASH_KENSICO" localSheetId="9">#REF!</definedName>
    <definedName name="ASH_KENSICO" localSheetId="16">#REF!</definedName>
    <definedName name="ASH_KENSICO" localSheetId="17">#REF!</definedName>
    <definedName name="ASH_KENSICO" localSheetId="20">#REF!</definedName>
    <definedName name="ASH_KENSICO" localSheetId="21">#REF!</definedName>
    <definedName name="ASH_KENSICO" localSheetId="38">#REF!</definedName>
    <definedName name="ASH_KENSICO" localSheetId="37">#REF!</definedName>
    <definedName name="ASH_KENSICO" localSheetId="23">#REF!</definedName>
    <definedName name="ASH_KENSICO" localSheetId="24">#REF!</definedName>
    <definedName name="ASH_KENSICO" localSheetId="25">#REF!</definedName>
    <definedName name="ASH_KENSICO" localSheetId="33">#REF!</definedName>
    <definedName name="ASH_KENSICO" localSheetId="36">#REF!</definedName>
    <definedName name="ASH_KENSICO">#REF!</definedName>
    <definedName name="BLEN_GILBOA" localSheetId="4">#REF!</definedName>
    <definedName name="BLEN_GILBOA" localSheetId="9">#REF!</definedName>
    <definedName name="BLEN_GILBOA" localSheetId="16">#REF!</definedName>
    <definedName name="BLEN_GILBOA" localSheetId="17">#REF!</definedName>
    <definedName name="BLEN_GILBOA" localSheetId="20">#REF!</definedName>
    <definedName name="BLEN_GILBOA" localSheetId="21">#REF!</definedName>
    <definedName name="BLEN_GILBOA" localSheetId="38">#REF!</definedName>
    <definedName name="BLEN_GILBOA" localSheetId="37">#REF!</definedName>
    <definedName name="BLEN_GILBOA" localSheetId="23">#REF!</definedName>
    <definedName name="BLEN_GILBOA" localSheetId="24">#REF!</definedName>
    <definedName name="BLEN_GILBOA" localSheetId="25">#REF!</definedName>
    <definedName name="BLEN_GILBOA" localSheetId="33">#REF!</definedName>
    <definedName name="BLEN_GILBOA" localSheetId="36">#REF!</definedName>
    <definedName name="BLEN_GILBOA">#REF!</definedName>
    <definedName name="FACILITY" localSheetId="4">#REF!</definedName>
    <definedName name="FACILITY" localSheetId="9">#REF!</definedName>
    <definedName name="FACILITY" localSheetId="16">#REF!</definedName>
    <definedName name="FACILITY" localSheetId="17">#REF!</definedName>
    <definedName name="FACILITY" localSheetId="20">#REF!</definedName>
    <definedName name="FACILITY" localSheetId="21">#REF!</definedName>
    <definedName name="FACILITY" localSheetId="38">#REF!</definedName>
    <definedName name="FACILITY" localSheetId="37">#REF!</definedName>
    <definedName name="FACILITY" localSheetId="23">#REF!</definedName>
    <definedName name="FACILITY" localSheetId="24">#REF!</definedName>
    <definedName name="FACILITY" localSheetId="25">#REF!</definedName>
    <definedName name="FACILITY" localSheetId="33">#REF!</definedName>
    <definedName name="FACILITY" localSheetId="36">#REF!</definedName>
    <definedName name="FACILITY">#REF!</definedName>
    <definedName name="FITZPATRICK" localSheetId="4">#REF!</definedName>
    <definedName name="FITZPATRICK" localSheetId="9">#REF!</definedName>
    <definedName name="FITZPATRICK" localSheetId="16">#REF!</definedName>
    <definedName name="FITZPATRICK" localSheetId="17">#REF!</definedName>
    <definedName name="FITZPATRICK" localSheetId="20">#REF!</definedName>
    <definedName name="FITZPATRICK" localSheetId="21">#REF!</definedName>
    <definedName name="FITZPATRICK" localSheetId="38">#REF!</definedName>
    <definedName name="FITZPATRICK" localSheetId="37">#REF!</definedName>
    <definedName name="FITZPATRICK" localSheetId="23">#REF!</definedName>
    <definedName name="FITZPATRICK" localSheetId="24">#REF!</definedName>
    <definedName name="FITZPATRICK" localSheetId="25">#REF!</definedName>
    <definedName name="FITZPATRICK" localSheetId="33">#REF!</definedName>
    <definedName name="FITZPATRICK" localSheetId="36">#REF!</definedName>
    <definedName name="FITZPATRICK">#REF!</definedName>
    <definedName name="FLYNN" localSheetId="4">#REF!</definedName>
    <definedName name="FLYNN" localSheetId="9">#REF!</definedName>
    <definedName name="FLYNN" localSheetId="16">#REF!</definedName>
    <definedName name="FLYNN" localSheetId="17">#REF!</definedName>
    <definedName name="FLYNN" localSheetId="20">#REF!</definedName>
    <definedName name="FLYNN" localSheetId="21">#REF!</definedName>
    <definedName name="FLYNN" localSheetId="38">#REF!</definedName>
    <definedName name="FLYNN" localSheetId="37">#REF!</definedName>
    <definedName name="FLYNN" localSheetId="23">#REF!</definedName>
    <definedName name="FLYNN" localSheetId="24">#REF!</definedName>
    <definedName name="FLYNN" localSheetId="25">#REF!</definedName>
    <definedName name="FLYNN" localSheetId="33">#REF!</definedName>
    <definedName name="FLYNN" localSheetId="36">#REF!</definedName>
    <definedName name="FLYNN">#REF!</definedName>
    <definedName name="FUNCTION" localSheetId="4">#REF!</definedName>
    <definedName name="FUNCTION" localSheetId="9">#REF!</definedName>
    <definedName name="FUNCTION" localSheetId="16">#REF!</definedName>
    <definedName name="FUNCTION" localSheetId="17">#REF!</definedName>
    <definedName name="FUNCTION" localSheetId="20">#REF!</definedName>
    <definedName name="FUNCTION" localSheetId="21">#REF!</definedName>
    <definedName name="FUNCTION" localSheetId="38">#REF!</definedName>
    <definedName name="FUNCTION" localSheetId="37">#REF!</definedName>
    <definedName name="FUNCTION" localSheetId="23">#REF!</definedName>
    <definedName name="FUNCTION" localSheetId="24">#REF!</definedName>
    <definedName name="FUNCTION" localSheetId="25">#REF!</definedName>
    <definedName name="FUNCTION" localSheetId="33">#REF!</definedName>
    <definedName name="FUNCTION" localSheetId="36">#REF!</definedName>
    <definedName name="FUNCTION">#REF!</definedName>
    <definedName name="GPLTdist">[1]BK!$N$462</definedName>
    <definedName name="GPLTprod">[1]BK!$J$462</definedName>
    <definedName name="GPLTtran">[1]BK!$L$462</definedName>
    <definedName name="HEADQUARTERS" localSheetId="4">#REF!</definedName>
    <definedName name="HEADQUARTERS" localSheetId="9">#REF!</definedName>
    <definedName name="HEADQUARTERS" localSheetId="16">#REF!</definedName>
    <definedName name="HEADQUARTERS" localSheetId="17">#REF!</definedName>
    <definedName name="HEADQUARTERS" localSheetId="20">#REF!</definedName>
    <definedName name="HEADQUARTERS" localSheetId="21">#REF!</definedName>
    <definedName name="HEADQUARTERS" localSheetId="38">#REF!</definedName>
    <definedName name="HEADQUARTERS" localSheetId="37">#REF!</definedName>
    <definedName name="HEADQUARTERS" localSheetId="23">#REF!</definedName>
    <definedName name="HEADQUARTERS" localSheetId="24">#REF!</definedName>
    <definedName name="HEADQUARTERS" localSheetId="25">#REF!</definedName>
    <definedName name="HEADQUARTERS" localSheetId="33">#REF!</definedName>
    <definedName name="HEADQUARTERS" localSheetId="36">#REF!</definedName>
    <definedName name="HEADQUARTERS">#REF!</definedName>
    <definedName name="INDIAN_PT_3" localSheetId="4">#REF!</definedName>
    <definedName name="INDIAN_PT_3" localSheetId="9">#REF!</definedName>
    <definedName name="INDIAN_PT_3" localSheetId="16">#REF!</definedName>
    <definedName name="INDIAN_PT_3" localSheetId="17">#REF!</definedName>
    <definedName name="INDIAN_PT_3" localSheetId="20">#REF!</definedName>
    <definedName name="INDIAN_PT_3" localSheetId="21">#REF!</definedName>
    <definedName name="INDIAN_PT_3" localSheetId="38">#REF!</definedName>
    <definedName name="INDIAN_PT_3" localSheetId="37">#REF!</definedName>
    <definedName name="INDIAN_PT_3" localSheetId="23">#REF!</definedName>
    <definedName name="INDIAN_PT_3" localSheetId="24">#REF!</definedName>
    <definedName name="INDIAN_PT_3" localSheetId="25">#REF!</definedName>
    <definedName name="INDIAN_PT_3" localSheetId="33">#REF!</definedName>
    <definedName name="INDIAN_PT_3" localSheetId="36">#REF!</definedName>
    <definedName name="INDIAN_PT_3">#REF!</definedName>
    <definedName name="L.I.SOUND" localSheetId="4">#REF!</definedName>
    <definedName name="L.I.SOUND" localSheetId="9">#REF!</definedName>
    <definedName name="L.I.SOUND" localSheetId="16">#REF!</definedName>
    <definedName name="L.I.SOUND" localSheetId="17">#REF!</definedName>
    <definedName name="L.I.SOUND" localSheetId="20">#REF!</definedName>
    <definedName name="L.I.SOUND" localSheetId="21">#REF!</definedName>
    <definedName name="L.I.SOUND" localSheetId="38">#REF!</definedName>
    <definedName name="L.I.SOUND" localSheetId="37">#REF!</definedName>
    <definedName name="L.I.SOUND" localSheetId="23">#REF!</definedName>
    <definedName name="L.I.SOUND" localSheetId="24">#REF!</definedName>
    <definedName name="L.I.SOUND" localSheetId="25">#REF!</definedName>
    <definedName name="L.I.SOUND" localSheetId="33">#REF!</definedName>
    <definedName name="L.I.SOUND" localSheetId="36">#REF!</definedName>
    <definedName name="L.I.SOUND">#REF!</definedName>
    <definedName name="MARCY_SOUTH" localSheetId="4">#REF!</definedName>
    <definedName name="MARCY_SOUTH" localSheetId="9">#REF!</definedName>
    <definedName name="MARCY_SOUTH" localSheetId="16">#REF!</definedName>
    <definedName name="MARCY_SOUTH" localSheetId="17">#REF!</definedName>
    <definedName name="MARCY_SOUTH" localSheetId="20">#REF!</definedName>
    <definedName name="MARCY_SOUTH" localSheetId="21">#REF!</definedName>
    <definedName name="MARCY_SOUTH" localSheetId="38">#REF!</definedName>
    <definedName name="MARCY_SOUTH" localSheetId="37">#REF!</definedName>
    <definedName name="MARCY_SOUTH" localSheetId="23">#REF!</definedName>
    <definedName name="MARCY_SOUTH" localSheetId="24">#REF!</definedName>
    <definedName name="MARCY_SOUTH" localSheetId="25">#REF!</definedName>
    <definedName name="MARCY_SOUTH" localSheetId="33">#REF!</definedName>
    <definedName name="MARCY_SOUTH" localSheetId="36">#REF!</definedName>
    <definedName name="MARCY_SOUTH">#REF!</definedName>
    <definedName name="MASS_MARCY" localSheetId="4">#REF!</definedName>
    <definedName name="MASS_MARCY" localSheetId="9">#REF!</definedName>
    <definedName name="MASS_MARCY" localSheetId="16">#REF!</definedName>
    <definedName name="MASS_MARCY" localSheetId="17">#REF!</definedName>
    <definedName name="MASS_MARCY" localSheetId="20">#REF!</definedName>
    <definedName name="MASS_MARCY" localSheetId="21">#REF!</definedName>
    <definedName name="MASS_MARCY" localSheetId="38">#REF!</definedName>
    <definedName name="MASS_MARCY" localSheetId="37">#REF!</definedName>
    <definedName name="MASS_MARCY" localSheetId="23">#REF!</definedName>
    <definedName name="MASS_MARCY" localSheetId="24">#REF!</definedName>
    <definedName name="MASS_MARCY" localSheetId="25">#REF!</definedName>
    <definedName name="MASS_MARCY" localSheetId="33">#REF!</definedName>
    <definedName name="MASS_MARCY" localSheetId="36">#REF!</definedName>
    <definedName name="MASS_MARCY">#REF!</definedName>
    <definedName name="NIAGARA" localSheetId="4">#REF!</definedName>
    <definedName name="NIAGARA" localSheetId="9">#REF!</definedName>
    <definedName name="NIAGARA" localSheetId="16">#REF!</definedName>
    <definedName name="NIAGARA" localSheetId="17">#REF!</definedName>
    <definedName name="NIAGARA" localSheetId="20">#REF!</definedName>
    <definedName name="NIAGARA" localSheetId="21">#REF!</definedName>
    <definedName name="NIAGARA" localSheetId="38">#REF!</definedName>
    <definedName name="NIAGARA" localSheetId="37">#REF!</definedName>
    <definedName name="NIAGARA" localSheetId="23">#REF!</definedName>
    <definedName name="NIAGARA" localSheetId="24">#REF!</definedName>
    <definedName name="NIAGARA" localSheetId="25">#REF!</definedName>
    <definedName name="NIAGARA" localSheetId="33">#REF!</definedName>
    <definedName name="NIAGARA" localSheetId="36">#REF!</definedName>
    <definedName name="NIAGARA">#REF!</definedName>
    <definedName name="NPLTDist">[1]BK!$N$464</definedName>
    <definedName name="NPLTPRod">[1]BK!$J$464</definedName>
    <definedName name="NPLTTran">[1]BK!$L$464</definedName>
    <definedName name="POLETTI" localSheetId="4">#REF!</definedName>
    <definedName name="POLETTI" localSheetId="9">#REF!</definedName>
    <definedName name="POLETTI" localSheetId="16">#REF!</definedName>
    <definedName name="POLETTI" localSheetId="17">#REF!</definedName>
    <definedName name="POLETTI" localSheetId="20">#REF!</definedName>
    <definedName name="POLETTI" localSheetId="21">#REF!</definedName>
    <definedName name="POLETTI" localSheetId="38">#REF!</definedName>
    <definedName name="POLETTI" localSheetId="37">#REF!</definedName>
    <definedName name="POLETTI" localSheetId="23">#REF!</definedName>
    <definedName name="POLETTI" localSheetId="24">#REF!</definedName>
    <definedName name="POLETTI" localSheetId="25">#REF!</definedName>
    <definedName name="POLETTI" localSheetId="33">#REF!</definedName>
    <definedName name="POLETTI" localSheetId="36">#REF!</definedName>
    <definedName name="POLETTI">#REF!</definedName>
    <definedName name="_xlnm.Print_Area" localSheetId="2">'A1-O&amp;M'!$A$1:$K$39</definedName>
    <definedName name="_xlnm.Print_Area" localSheetId="3">'A2-A&amp;G'!$A$1:$N$45</definedName>
    <definedName name="_xlnm.Print_Area" localSheetId="4">'B1-Depn'!$A$1:$Q$50</definedName>
    <definedName name="_xlnm.Print_Area" localSheetId="5">'B2-Plant'!$A$1:$U$62</definedName>
    <definedName name="_xlnm.Print_Area" localSheetId="6">'B3-Depn Rates'!$A$1:$N$60</definedName>
    <definedName name="_xlnm.Print_Area" localSheetId="7">'C1-Rate Base'!$A$1:$R$50</definedName>
    <definedName name="_xlnm.Print_Area" localSheetId="8">'D1-Cap Structure'!$A$1:$L$32</definedName>
    <definedName name="_xlnm.Print_Area" localSheetId="9">'D2-Project Cap Structures'!$A$1:$L$69</definedName>
    <definedName name="_xlnm.Print_Area" localSheetId="10">'E1-Labor Ratio'!$A$1:$M$38</definedName>
    <definedName name="_xlnm.Print_Area" localSheetId="11">'F1-Proj RR'!$A$1:$T$83</definedName>
    <definedName name="_xlnm.Print_Area" localSheetId="12">'F2-Incentives'!$A$1:$K$31</definedName>
    <definedName name="_xlnm.Print_Area" localSheetId="13">'F3-True-Up'!$A$1:$J$82</definedName>
    <definedName name="_xlnm.Print_Area" localSheetId="0">Index!$A$1:$D$50</definedName>
    <definedName name="_xlnm.Print_Area" localSheetId="1">SUMMARY!$A$1:$F$52</definedName>
    <definedName name="_xlnm.Print_Area" localSheetId="14">'WP-AA'!$A$1:$G$75</definedName>
    <definedName name="_xlnm.Print_Area" localSheetId="15">'WP-AB'!$A$1:$AX$105</definedName>
    <definedName name="_xlnm.Print_Area" localSheetId="16">'WP-AC'!$A$1:$H$25</definedName>
    <definedName name="_xlnm.Print_Area" localSheetId="17">'WP-AD'!$A$1:$G$25</definedName>
    <definedName name="_xlnm.Print_Area" localSheetId="18">'WP-AE'!$A$1:$J$40</definedName>
    <definedName name="_xlnm.Print_Area" localSheetId="19">'WP-AF'!$A$1:$I$25</definedName>
    <definedName name="_xlnm.Print_Area" localSheetId="20">'WP-AG'!$A$1:$M$38</definedName>
    <definedName name="_xlnm.Print_Area" localSheetId="21">'WP-AH'!$A$1:$L$42</definedName>
    <definedName name="_xlnm.Print_Area" localSheetId="22">'WP-AI'!$A$1:$K$27</definedName>
    <definedName name="_xlnm.Print_Area" localSheetId="38">'WP-AR-BS'!$A$1:$G$136</definedName>
    <definedName name="_xlnm.Print_Area" localSheetId="39">'WP-AR-Cap Assets'!$A$1:$P$53</definedName>
    <definedName name="_xlnm.Print_Area" localSheetId="37">'WP-AR-IS'!$A$1:$J$66</definedName>
    <definedName name="_xlnm.Print_Area" localSheetId="23">'WP-BA'!$B$1:$N$196</definedName>
    <definedName name="_xlnm.Print_Area" localSheetId="24">'WP-BB'!$E$1:$X$147</definedName>
    <definedName name="_xlnm.Print_Area" localSheetId="25">'WP-BC'!$B$1:$N$359</definedName>
    <definedName name="_xlnm.Print_Area" localSheetId="26">'WP-BD'!$A$1:$K$70</definedName>
    <definedName name="_xlnm.Print_Area" localSheetId="27">'WP-BE'!$A$1:$M$49</definedName>
    <definedName name="_xlnm.Print_Area" localSheetId="28">'WP-BF'!$A$1:$T$59</definedName>
    <definedName name="_xlnm.Print_Area" localSheetId="29">'WP-BG'!$A$1:$M$45</definedName>
    <definedName name="_xlnm.Print_Area" localSheetId="30">'WP-BH'!$A$1:$K$30</definedName>
    <definedName name="_xlnm.Print_Area" localSheetId="31">'WP-BI'!$A$1:$H$32</definedName>
    <definedName name="_xlnm.Print_Area" localSheetId="32">'WP-CA'!$A$1:$N$36</definedName>
    <definedName name="_xlnm.Print_Area" localSheetId="33">'WP-CB'!$A$1:$G$23</definedName>
    <definedName name="_xlnm.Print_Area" localSheetId="34">'WP-DA'!$A$1:$Q$51</definedName>
    <definedName name="_xlnm.Print_Area" localSheetId="35">'WP-DB'!$A$1:$H$45</definedName>
    <definedName name="_xlnm.Print_Area" localSheetId="36">'WP-EA'!$A$1:$H$39</definedName>
    <definedName name="_xlnm.Print_Area" localSheetId="40">'WP-Reconciliations'!$A$1:$O$135</definedName>
    <definedName name="_xlnm.Print_Area">SUMMARY!$I$24</definedName>
    <definedName name="_xlnm.Print_Titles" localSheetId="15">'WP-AB'!$B:$C</definedName>
    <definedName name="_xlnm.Print_Titles" localSheetId="38">'WP-AR-BS'!$1:$10</definedName>
    <definedName name="_xlnm.Print_Titles" localSheetId="23">'WP-BA'!$1:$13</definedName>
    <definedName name="_xlnm.Print_Titles" localSheetId="24">'WP-BB'!$G:$J,'WP-BB'!$1:$17</definedName>
    <definedName name="_xlnm.Print_Titles" localSheetId="25">'WP-BC'!$1:$13</definedName>
    <definedName name="SAPBEXrevision" localSheetId="36" hidden="1">1</definedName>
    <definedName name="SAPBEXrevision" hidden="1">3</definedName>
    <definedName name="SAPBEXsysID" hidden="1">"BIP"</definedName>
    <definedName name="SAPBEXwbID" localSheetId="36" hidden="1">"D5ZWPSXURULJDDGZZZT05CVQ9"</definedName>
    <definedName name="SAPBEXwbID" hidden="1">"DBWCU6IQEMCIVCY9FMFOKC31R"</definedName>
    <definedName name="SM.HYDRO_1" localSheetId="4">#REF!</definedName>
    <definedName name="SM.HYDRO_1" localSheetId="9">#REF!</definedName>
    <definedName name="SM.HYDRO_1" localSheetId="16">#REF!</definedName>
    <definedName name="SM.HYDRO_1" localSheetId="17">#REF!</definedName>
    <definedName name="SM.HYDRO_1" localSheetId="20">#REF!</definedName>
    <definedName name="SM.HYDRO_1" localSheetId="21">#REF!</definedName>
    <definedName name="SM.HYDRO_1" localSheetId="38">#REF!</definedName>
    <definedName name="SM.HYDRO_1" localSheetId="37">#REF!</definedName>
    <definedName name="SM.HYDRO_1" localSheetId="23">#REF!</definedName>
    <definedName name="SM.HYDRO_1" localSheetId="24">#REF!</definedName>
    <definedName name="SM.HYDRO_1" localSheetId="25">#REF!</definedName>
    <definedName name="SM.HYDRO_1" localSheetId="33">#REF!</definedName>
    <definedName name="SM.HYDRO_1" localSheetId="36">#REF!</definedName>
    <definedName name="SM.HYDRO_1">#REF!</definedName>
    <definedName name="ST.LAWRENCE" localSheetId="4">#REF!</definedName>
    <definedName name="ST.LAWRENCE" localSheetId="9">#REF!</definedName>
    <definedName name="ST.LAWRENCE" localSheetId="16">#REF!</definedName>
    <definedName name="ST.LAWRENCE" localSheetId="17">#REF!</definedName>
    <definedName name="ST.LAWRENCE" localSheetId="20">#REF!</definedName>
    <definedName name="ST.LAWRENCE" localSheetId="21">#REF!</definedName>
    <definedName name="ST.LAWRENCE" localSheetId="38">#REF!</definedName>
    <definedName name="ST.LAWRENCE" localSheetId="37">#REF!</definedName>
    <definedName name="ST.LAWRENCE" localSheetId="23">#REF!</definedName>
    <definedName name="ST.LAWRENCE" localSheetId="24">#REF!</definedName>
    <definedName name="ST.LAWRENCE" localSheetId="25">#REF!</definedName>
    <definedName name="ST.LAWRENCE" localSheetId="33">#REF!</definedName>
    <definedName name="ST.LAWRENCE" localSheetId="36">#REF!</definedName>
    <definedName name="ST.LAWRENCE">#REF!</definedName>
    <definedName name="SUMMARY_1" localSheetId="4">#REF!</definedName>
    <definedName name="SUMMARY_1" localSheetId="9">#REF!</definedName>
    <definedName name="SUMMARY_1" localSheetId="16">#REF!</definedName>
    <definedName name="SUMMARY_1" localSheetId="17">#REF!</definedName>
    <definedName name="SUMMARY_1" localSheetId="20">#REF!</definedName>
    <definedName name="SUMMARY_1" localSheetId="21">#REF!</definedName>
    <definedName name="SUMMARY_1" localSheetId="38">#REF!</definedName>
    <definedName name="SUMMARY_1" localSheetId="37">#REF!</definedName>
    <definedName name="SUMMARY_1" localSheetId="23">#REF!</definedName>
    <definedName name="SUMMARY_1" localSheetId="24">#REF!</definedName>
    <definedName name="SUMMARY_1" localSheetId="25">#REF!</definedName>
    <definedName name="SUMMARY_1" localSheetId="33">#REF!</definedName>
    <definedName name="SUMMARY_1" localSheetId="36">#REF!</definedName>
    <definedName name="SUMMARY_1">#REF!</definedName>
    <definedName name="SUMMARY_2" localSheetId="4">#REF!</definedName>
    <definedName name="SUMMARY_2" localSheetId="9">#REF!</definedName>
    <definedName name="SUMMARY_2" localSheetId="16">#REF!</definedName>
    <definedName name="SUMMARY_2" localSheetId="17">#REF!</definedName>
    <definedName name="SUMMARY_2" localSheetId="20">#REF!</definedName>
    <definedName name="SUMMARY_2" localSheetId="21">#REF!</definedName>
    <definedName name="SUMMARY_2" localSheetId="38">#REF!</definedName>
    <definedName name="SUMMARY_2" localSheetId="37">#REF!</definedName>
    <definedName name="SUMMARY_2" localSheetId="23">#REF!</definedName>
    <definedName name="SUMMARY_2" localSheetId="24">#REF!</definedName>
    <definedName name="SUMMARY_2" localSheetId="25">#REF!</definedName>
    <definedName name="SUMMARY_2" localSheetId="33">#REF!</definedName>
    <definedName name="SUMMARY_2" localSheetId="36">#REF!</definedName>
    <definedName name="SUMMARY_2">#REF!</definedName>
    <definedName name="SWH" localSheetId="35">'[2]BK-Cost_Of_Svc'!$F$595</definedName>
    <definedName name="SWH">'[2]BK-Cost_Of_Svc'!$F$595</definedName>
    <definedName name="TP_Footer_User" hidden="1">"Will Kane"</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Z_B321D76C_CDE5_48BB_9CDE_80FF97D58FCF_.wvu.Cols" localSheetId="23" hidden="1">'WP-BA'!$A:$A,'WP-BA'!$M:$M</definedName>
    <definedName name="Z_B321D76C_CDE5_48BB_9CDE_80FF97D58FCF_.wvu.Cols" localSheetId="24" hidden="1">'WP-BB'!$A:$D,'WP-BB'!$S:$X</definedName>
    <definedName name="Z_B321D76C_CDE5_48BB_9CDE_80FF97D58FCF_.wvu.Cols" localSheetId="25" hidden="1">'WP-BC'!$A:$A</definedName>
    <definedName name="Z_B321D76C_CDE5_48BB_9CDE_80FF97D58FCF_.wvu.Cols" localSheetId="27" hidden="1">'WP-BE'!$B:$B</definedName>
    <definedName name="Z_B321D76C_CDE5_48BB_9CDE_80FF97D58FCF_.wvu.FilterData" localSheetId="24" hidden="1">'WP-BB'!$A$18:$AD$147</definedName>
    <definedName name="Z_B321D76C_CDE5_48BB_9CDE_80FF97D58FCF_.wvu.FilterData" localSheetId="25" hidden="1">'WP-BC'!$A$13:$N$13</definedName>
    <definedName name="Z_B321D76C_CDE5_48BB_9CDE_80FF97D58FCF_.wvu.PrintArea" localSheetId="2" hidden="1">'A1-O&amp;M'!$A$1:$K$39</definedName>
    <definedName name="Z_B321D76C_CDE5_48BB_9CDE_80FF97D58FCF_.wvu.PrintArea" localSheetId="3" hidden="1">'A2-A&amp;G'!$A$1:$N$45</definedName>
    <definedName name="Z_B321D76C_CDE5_48BB_9CDE_80FF97D58FCF_.wvu.PrintArea" localSheetId="4" hidden="1">'B1-Depn'!$A$1:$Q$50</definedName>
    <definedName name="Z_B321D76C_CDE5_48BB_9CDE_80FF97D58FCF_.wvu.PrintArea" localSheetId="5" hidden="1">'B2-Plant'!$A$1:$U$62</definedName>
    <definedName name="Z_B321D76C_CDE5_48BB_9CDE_80FF97D58FCF_.wvu.PrintArea" localSheetId="6" hidden="1">'B3-Depn Rates'!$A$1:$N$60</definedName>
    <definedName name="Z_B321D76C_CDE5_48BB_9CDE_80FF97D58FCF_.wvu.PrintArea" localSheetId="7" hidden="1">'C1-Rate Base'!$A$1:$R$50</definedName>
    <definedName name="Z_B321D76C_CDE5_48BB_9CDE_80FF97D58FCF_.wvu.PrintArea" localSheetId="8" hidden="1">'D1-Cap Structure'!$A$1:$L$32</definedName>
    <definedName name="Z_B321D76C_CDE5_48BB_9CDE_80FF97D58FCF_.wvu.PrintArea" localSheetId="9" hidden="1">'D2-Project Cap Structures'!$A$1:$L$69</definedName>
    <definedName name="Z_B321D76C_CDE5_48BB_9CDE_80FF97D58FCF_.wvu.PrintArea" localSheetId="10" hidden="1">'E1-Labor Ratio'!$A$1:$M$38</definedName>
    <definedName name="Z_B321D76C_CDE5_48BB_9CDE_80FF97D58FCF_.wvu.PrintArea" localSheetId="11" hidden="1">'F1-Proj RR'!$A$1:$T$83</definedName>
    <definedName name="Z_B321D76C_CDE5_48BB_9CDE_80FF97D58FCF_.wvu.PrintArea" localSheetId="12" hidden="1">'F2-Incentives'!$A$1:$K$31</definedName>
    <definedName name="Z_B321D76C_CDE5_48BB_9CDE_80FF97D58FCF_.wvu.PrintArea" localSheetId="13" hidden="1">'F3-True-Up'!$A$1:$J$82</definedName>
    <definedName name="Z_B321D76C_CDE5_48BB_9CDE_80FF97D58FCF_.wvu.PrintArea" localSheetId="0" hidden="1">Index!$A$1:$D$50</definedName>
    <definedName name="Z_B321D76C_CDE5_48BB_9CDE_80FF97D58FCF_.wvu.PrintArea" localSheetId="1" hidden="1">SUMMARY!$A$1:$F$52</definedName>
    <definedName name="Z_B321D76C_CDE5_48BB_9CDE_80FF97D58FCF_.wvu.PrintArea" localSheetId="14" hidden="1">'WP-AA'!$A$1:$G$75</definedName>
    <definedName name="Z_B321D76C_CDE5_48BB_9CDE_80FF97D58FCF_.wvu.PrintArea" localSheetId="15" hidden="1">'WP-AB'!$A$1:$AX$75</definedName>
    <definedName name="Z_B321D76C_CDE5_48BB_9CDE_80FF97D58FCF_.wvu.PrintArea" localSheetId="16" hidden="1">'WP-AC'!$A$1:$H$25</definedName>
    <definedName name="Z_B321D76C_CDE5_48BB_9CDE_80FF97D58FCF_.wvu.PrintArea" localSheetId="17" hidden="1">'WP-AD'!$A$1:$G$25</definedName>
    <definedName name="Z_B321D76C_CDE5_48BB_9CDE_80FF97D58FCF_.wvu.PrintArea" localSheetId="18" hidden="1">'WP-AE'!$A$1:$J$40</definedName>
    <definedName name="Z_B321D76C_CDE5_48BB_9CDE_80FF97D58FCF_.wvu.PrintArea" localSheetId="19" hidden="1">'WP-AF'!$A$1:$I$25</definedName>
    <definedName name="Z_B321D76C_CDE5_48BB_9CDE_80FF97D58FCF_.wvu.PrintArea" localSheetId="20" hidden="1">'WP-AG'!$A$1:$M$38</definedName>
    <definedName name="Z_B321D76C_CDE5_48BB_9CDE_80FF97D58FCF_.wvu.PrintArea" localSheetId="21" hidden="1">'WP-AH'!$A$1:$L$42</definedName>
    <definedName name="Z_B321D76C_CDE5_48BB_9CDE_80FF97D58FCF_.wvu.PrintArea" localSheetId="22" hidden="1">'WP-AI'!$A$1:$K$27</definedName>
    <definedName name="Z_B321D76C_CDE5_48BB_9CDE_80FF97D58FCF_.wvu.PrintArea" localSheetId="38" hidden="1">'WP-AR-BS'!$A$1:$G$136</definedName>
    <definedName name="Z_B321D76C_CDE5_48BB_9CDE_80FF97D58FCF_.wvu.PrintArea" localSheetId="39" hidden="1">'WP-AR-Cap Assets'!$A$1:$P$53</definedName>
    <definedName name="Z_B321D76C_CDE5_48BB_9CDE_80FF97D58FCF_.wvu.PrintArea" localSheetId="37" hidden="1">'WP-AR-IS'!$A$1:$J$66</definedName>
    <definedName name="Z_B321D76C_CDE5_48BB_9CDE_80FF97D58FCF_.wvu.PrintArea" localSheetId="23" hidden="1">'WP-BA'!$B$1:$N$196</definedName>
    <definedName name="Z_B321D76C_CDE5_48BB_9CDE_80FF97D58FCF_.wvu.PrintArea" localSheetId="24" hidden="1">'WP-BB'!$E$1:$X$147</definedName>
    <definedName name="Z_B321D76C_CDE5_48BB_9CDE_80FF97D58FCF_.wvu.PrintArea" localSheetId="25" hidden="1">'WP-BC'!$B$1:$N$359</definedName>
    <definedName name="Z_B321D76C_CDE5_48BB_9CDE_80FF97D58FCF_.wvu.PrintArea" localSheetId="26" hidden="1">'WP-BD'!$A$1:$K$70</definedName>
    <definedName name="Z_B321D76C_CDE5_48BB_9CDE_80FF97D58FCF_.wvu.PrintArea" localSheetId="27" hidden="1">'WP-BE'!$A$1:$M$49</definedName>
    <definedName name="Z_B321D76C_CDE5_48BB_9CDE_80FF97D58FCF_.wvu.PrintArea" localSheetId="28" hidden="1">'WP-BF'!$A$1:$T$59</definedName>
    <definedName name="Z_B321D76C_CDE5_48BB_9CDE_80FF97D58FCF_.wvu.PrintArea" localSheetId="29" hidden="1">'WP-BG'!$A$1:$M$45</definedName>
    <definedName name="Z_B321D76C_CDE5_48BB_9CDE_80FF97D58FCF_.wvu.PrintArea" localSheetId="30" hidden="1">'WP-BH'!$A$1:$K$30</definedName>
    <definedName name="Z_B321D76C_CDE5_48BB_9CDE_80FF97D58FCF_.wvu.PrintArea" localSheetId="31" hidden="1">'WP-BI'!$A$1:$F$27</definedName>
    <definedName name="Z_B321D76C_CDE5_48BB_9CDE_80FF97D58FCF_.wvu.PrintArea" localSheetId="32" hidden="1">'WP-CA'!$A$1:$N$36</definedName>
    <definedName name="Z_B321D76C_CDE5_48BB_9CDE_80FF97D58FCF_.wvu.PrintArea" localSheetId="33" hidden="1">'WP-CB'!$A$1:$G$23</definedName>
    <definedName name="Z_B321D76C_CDE5_48BB_9CDE_80FF97D58FCF_.wvu.PrintArea" localSheetId="34" hidden="1">'WP-DA'!$A$1:$Q$51</definedName>
    <definedName name="Z_B321D76C_CDE5_48BB_9CDE_80FF97D58FCF_.wvu.PrintArea" localSheetId="35" hidden="1">'WP-DB'!$A$1:$H$45</definedName>
    <definedName name="Z_B321D76C_CDE5_48BB_9CDE_80FF97D58FCF_.wvu.PrintArea" localSheetId="36" hidden="1">'WP-EA'!$A$1:$H$39</definedName>
    <definedName name="Z_B321D76C_CDE5_48BB_9CDE_80FF97D58FCF_.wvu.PrintArea" localSheetId="40" hidden="1">'WP-Reconciliations'!$A$1:$O$135</definedName>
    <definedName name="Z_B321D76C_CDE5_48BB_9CDE_80FF97D58FCF_.wvu.PrintTitles" localSheetId="15" hidden="1">'WP-AB'!$B:$C</definedName>
    <definedName name="Z_B321D76C_CDE5_48BB_9CDE_80FF97D58FCF_.wvu.PrintTitles" localSheetId="38" hidden="1">'WP-AR-BS'!$1:$10</definedName>
    <definedName name="Z_B321D76C_CDE5_48BB_9CDE_80FF97D58FCF_.wvu.PrintTitles" localSheetId="23" hidden="1">'WP-BA'!$1:$13</definedName>
    <definedName name="Z_B321D76C_CDE5_48BB_9CDE_80FF97D58FCF_.wvu.PrintTitles" localSheetId="24" hidden="1">'WP-BB'!$G:$J,'WP-BB'!$1:$17</definedName>
    <definedName name="Z_B321D76C_CDE5_48BB_9CDE_80FF97D58FCF_.wvu.PrintTitles" localSheetId="25" hidden="1">'WP-BC'!$1:$13</definedName>
    <definedName name="Z_F04A2B9A_C6FE_4FEB_AD1E_2CF9AC309BE4_.wvu.PrintArea" localSheetId="11" hidden="1">'F1-Proj RR'!$A$1:$R$85</definedName>
    <definedName name="Z_F04A2B9A_C6FE_4FEB_AD1E_2CF9AC309BE4_.wvu.PrintArea" localSheetId="13" hidden="1">'F3-True-Up'!$A$1:$L$31</definedName>
  </definedNames>
  <calcPr calcId="191029"/>
  <customWorkbookViews>
    <customWorkbookView name="Kamalya Marano - Personal View" guid="{B321D76C-CDE5-48BB-9CDE-80FF97D58FCF}" mergeInterval="0" personalView="1" maximized="1" xWindow="1271" yWindow="-9" windowWidth="1298" windowHeight="1042" tabRatio="84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2" i="26" l="1"/>
  <c r="L142" i="26"/>
  <c r="N142" i="26"/>
  <c r="O142" i="26"/>
  <c r="P142" i="26"/>
  <c r="R142" i="26"/>
  <c r="D142" i="26"/>
  <c r="F142" i="26" s="1"/>
  <c r="W97" i="26"/>
  <c r="M142" i="26" l="1"/>
  <c r="Q142" i="26"/>
  <c r="D97" i="26" l="1"/>
  <c r="L97" i="26" l="1"/>
  <c r="N97" i="26"/>
  <c r="O97" i="26"/>
  <c r="P97" i="26"/>
  <c r="R97" i="26"/>
  <c r="F97" i="26"/>
  <c r="K97" i="26"/>
  <c r="A313" i="27"/>
  <c r="M97" i="26" l="1"/>
  <c r="Q97" i="26"/>
  <c r="D24" i="9"/>
  <c r="A311" i="27" l="1"/>
  <c r="M104" i="27" l="1"/>
  <c r="K104" i="27"/>
  <c r="L104" i="27"/>
  <c r="N104" i="27"/>
  <c r="H57" i="39" l="1"/>
  <c r="E77" i="40"/>
  <c r="E36" i="40" l="1"/>
  <c r="H41" i="39"/>
  <c r="E50" i="40"/>
  <c r="D17" i="16"/>
  <c r="E111" i="40"/>
  <c r="E43" i="40"/>
  <c r="H22" i="39"/>
  <c r="E58" i="40"/>
  <c r="E131" i="40"/>
  <c r="E100" i="40"/>
  <c r="E88" i="40"/>
  <c r="E28" i="40"/>
  <c r="E123" i="40"/>
  <c r="E72" i="16"/>
  <c r="E70" i="40"/>
  <c r="H33" i="39"/>
  <c r="H51" i="39"/>
  <c r="H35" i="39" l="1"/>
  <c r="E60" i="40"/>
  <c r="E62" i="40" s="1"/>
  <c r="E72" i="40" s="1"/>
  <c r="E113" i="40"/>
  <c r="E115" i="40" s="1"/>
  <c r="H53" i="39"/>
  <c r="H59" i="39" l="1"/>
  <c r="E132" i="40"/>
  <c r="H63" i="39" l="1"/>
  <c r="A346" i="27" l="1"/>
  <c r="D145" i="26" l="1"/>
  <c r="D143" i="26"/>
  <c r="D136" i="26"/>
  <c r="D141" i="26"/>
  <c r="A330" i="27"/>
  <c r="L21" i="30" l="1"/>
  <c r="H33" i="31"/>
  <c r="H117" i="44" l="1"/>
  <c r="A6" i="44" l="1"/>
  <c r="J24" i="44"/>
  <c r="H27" i="44"/>
  <c r="J27" i="44" s="1"/>
  <c r="I35" i="44"/>
  <c r="J35" i="44"/>
  <c r="O46" i="44"/>
  <c r="O47" i="44" s="1"/>
  <c r="J89" i="44"/>
  <c r="I97" i="44"/>
  <c r="I98" i="44"/>
  <c r="I101" i="44"/>
  <c r="I102" i="44"/>
  <c r="H118" i="44"/>
  <c r="H119" i="44" s="1"/>
  <c r="I99" i="44" l="1"/>
  <c r="H101" i="44" l="1"/>
  <c r="H134" i="44" l="1"/>
  <c r="H135" i="44" s="1"/>
  <c r="L48" i="44" l="1"/>
  <c r="N48" i="44" s="1"/>
  <c r="H17" i="44"/>
  <c r="H89" i="44"/>
  <c r="I17" i="44"/>
  <c r="H97" i="44"/>
  <c r="K46" i="44"/>
  <c r="K47" i="44" s="1"/>
  <c r="K49" i="44" s="1"/>
  <c r="H98" i="44"/>
  <c r="H99" i="44" s="1"/>
  <c r="H102" i="44"/>
  <c r="J17" i="44" l="1"/>
  <c r="E67" i="15" l="1"/>
  <c r="E68" i="15" s="1"/>
  <c r="E15" i="16" l="1"/>
  <c r="C27" i="16"/>
  <c r="C67" i="16"/>
  <c r="E19" i="16"/>
  <c r="C36" i="16"/>
  <c r="C54" i="16"/>
  <c r="C66" i="16"/>
  <c r="C22" i="16"/>
  <c r="C25" i="16"/>
  <c r="C28" i="16"/>
  <c r="C68" i="16"/>
  <c r="C38" i="16"/>
  <c r="C44" i="16"/>
  <c r="C71" i="16"/>
  <c r="C55" i="16"/>
  <c r="C59" i="16"/>
  <c r="C63" i="16"/>
  <c r="D15" i="16"/>
  <c r="C65" i="16"/>
  <c r="C35" i="16"/>
  <c r="C43" i="16"/>
  <c r="C53" i="16"/>
  <c r="C16" i="16"/>
  <c r="C56" i="16"/>
  <c r="E26" i="16"/>
  <c r="C60" i="16"/>
  <c r="C31" i="16"/>
  <c r="C41" i="16"/>
  <c r="C48" i="16"/>
  <c r="C37" i="16"/>
  <c r="C24" i="16"/>
  <c r="C58" i="16"/>
  <c r="C62" i="16"/>
  <c r="C64" i="16"/>
  <c r="C34" i="16"/>
  <c r="C42" i="16"/>
  <c r="C26" i="16"/>
  <c r="C29" i="16"/>
  <c r="C69" i="16"/>
  <c r="C39" i="16"/>
  <c r="C45" i="16"/>
  <c r="C21" i="16"/>
  <c r="C23" i="16"/>
  <c r="C20" i="16"/>
  <c r="C47" i="16"/>
  <c r="E49" i="16"/>
  <c r="E16" i="16"/>
  <c r="C19" i="16"/>
  <c r="C57" i="16"/>
  <c r="C61" i="16"/>
  <c r="E17" i="16"/>
  <c r="C30" i="16"/>
  <c r="E31" i="16"/>
  <c r="C33" i="16"/>
  <c r="C40" i="16"/>
  <c r="H20" i="44" l="1"/>
  <c r="J20" i="44" s="1"/>
  <c r="I19" i="44"/>
  <c r="H19" i="44"/>
  <c r="C15" i="16"/>
  <c r="J19" i="44" l="1"/>
  <c r="AV75" i="17" l="1"/>
  <c r="AX18" i="17"/>
  <c r="AU75" i="17"/>
  <c r="AT75" i="17"/>
  <c r="AS75" i="17"/>
  <c r="AR75" i="17"/>
  <c r="AX23" i="17"/>
  <c r="AQ75" i="17"/>
  <c r="I74" i="15"/>
  <c r="P23" i="41" l="1"/>
  <c r="H48" i="44" l="1"/>
  <c r="J48" i="44" s="1"/>
  <c r="J38" i="41"/>
  <c r="D67" i="16"/>
  <c r="A6" i="9"/>
  <c r="A5" i="7"/>
  <c r="A6" i="6"/>
  <c r="A5" i="5"/>
  <c r="A5" i="4"/>
  <c r="L46" i="44" l="1"/>
  <c r="E48" i="16"/>
  <c r="E71" i="16" l="1"/>
  <c r="P51" i="7" l="1"/>
  <c r="O57" i="44" s="1"/>
  <c r="O51" i="7"/>
  <c r="N51" i="7"/>
  <c r="M57" i="44" s="1"/>
  <c r="M51" i="7"/>
  <c r="L57" i="44" s="1"/>
  <c r="P49" i="7"/>
  <c r="O53" i="44" s="1"/>
  <c r="O49" i="7"/>
  <c r="N49" i="7"/>
  <c r="M53" i="44" s="1"/>
  <c r="M49" i="7"/>
  <c r="L53" i="44" s="1"/>
  <c r="L49" i="7"/>
  <c r="K49" i="7"/>
  <c r="J49" i="7"/>
  <c r="I49" i="7"/>
  <c r="N57" i="44" l="1"/>
  <c r="N53" i="44"/>
  <c r="I53" i="44"/>
  <c r="H53" i="44"/>
  <c r="K53" i="44"/>
  <c r="F46" i="16"/>
  <c r="J53" i="44" l="1"/>
  <c r="F36" i="38"/>
  <c r="D81" i="26" l="1"/>
  <c r="D79" i="26"/>
  <c r="D80" i="26"/>
  <c r="J88" i="44" l="1"/>
  <c r="J90" i="44" s="1"/>
  <c r="AX19" i="17"/>
  <c r="AX20" i="17"/>
  <c r="AX21" i="17"/>
  <c r="AX22" i="17"/>
  <c r="AX24" i="17"/>
  <c r="AX25" i="17"/>
  <c r="AX26" i="17"/>
  <c r="AX27" i="17"/>
  <c r="AX28" i="17"/>
  <c r="AX29" i="17"/>
  <c r="AX30" i="17"/>
  <c r="AX31" i="17"/>
  <c r="AX32" i="17"/>
  <c r="AX33" i="17"/>
  <c r="AX34" i="17"/>
  <c r="AX35" i="17"/>
  <c r="AX36" i="17"/>
  <c r="AX37" i="17"/>
  <c r="AX38" i="17"/>
  <c r="AX39" i="17"/>
  <c r="AX40" i="17"/>
  <c r="AX41" i="17"/>
  <c r="AX42" i="17"/>
  <c r="AX43" i="17"/>
  <c r="AX44" i="17"/>
  <c r="AX45" i="17"/>
  <c r="AX46" i="17"/>
  <c r="AX47" i="17"/>
  <c r="AX48" i="17"/>
  <c r="AX49" i="17"/>
  <c r="AX50" i="17"/>
  <c r="AX51" i="17"/>
  <c r="AX52" i="17"/>
  <c r="AX53" i="17"/>
  <c r="AX54" i="17"/>
  <c r="AX55" i="17"/>
  <c r="AX56" i="17"/>
  <c r="AX57" i="17"/>
  <c r="AX58" i="17"/>
  <c r="AX59" i="17"/>
  <c r="AX60" i="17"/>
  <c r="AX61" i="17"/>
  <c r="AX62" i="17"/>
  <c r="AX63" i="17"/>
  <c r="AX64" i="17"/>
  <c r="AX65" i="17"/>
  <c r="AX66" i="17"/>
  <c r="AX67" i="17"/>
  <c r="AX68" i="17"/>
  <c r="AX69" i="17"/>
  <c r="AX70" i="17"/>
  <c r="AX71" i="17"/>
  <c r="E51" i="16"/>
  <c r="L40" i="31" l="1"/>
  <c r="K40" i="31"/>
  <c r="J40" i="31"/>
  <c r="I40" i="31"/>
  <c r="L33" i="31"/>
  <c r="K33" i="31"/>
  <c r="J33" i="31"/>
  <c r="I33" i="31"/>
  <c r="L21" i="31"/>
  <c r="K21" i="31"/>
  <c r="J21" i="31"/>
  <c r="I21" i="31"/>
  <c r="D43" i="11" l="1"/>
  <c r="H41" i="11"/>
  <c r="I49" i="13" l="1"/>
  <c r="H45" i="11" s="1"/>
  <c r="D27" i="9"/>
  <c r="L27" i="9" s="1"/>
  <c r="AP75" i="17" l="1"/>
  <c r="A337" i="27" l="1"/>
  <c r="A338" i="27"/>
  <c r="A339" i="27"/>
  <c r="A340" i="27"/>
  <c r="A341" i="27"/>
  <c r="A342" i="27"/>
  <c r="A343" i="27"/>
  <c r="A344" i="27"/>
  <c r="A303" i="27" l="1"/>
  <c r="AO75" i="17" l="1"/>
  <c r="F51" i="16" l="1"/>
  <c r="N38" i="41" l="1"/>
  <c r="L38" i="41"/>
  <c r="N241" i="27" l="1"/>
  <c r="M241" i="27"/>
  <c r="L241" i="27"/>
  <c r="K241" i="27"/>
  <c r="N60" i="27"/>
  <c r="M60" i="27"/>
  <c r="L60" i="27"/>
  <c r="K60" i="27"/>
  <c r="N55" i="27"/>
  <c r="M55" i="27"/>
  <c r="L55" i="27"/>
  <c r="K55" i="27"/>
  <c r="D75" i="17"/>
  <c r="B6" i="41"/>
  <c r="A6" i="40"/>
  <c r="A5" i="39"/>
  <c r="A5" i="38"/>
  <c r="A6" i="37"/>
  <c r="A5" i="36"/>
  <c r="A5" i="35"/>
  <c r="A6" i="34"/>
  <c r="A6" i="33"/>
  <c r="A6" i="32"/>
  <c r="A6" i="31"/>
  <c r="B5" i="30"/>
  <c r="A7" i="29"/>
  <c r="A5" i="28"/>
  <c r="C5" i="27"/>
  <c r="G6" i="26"/>
  <c r="B5" i="25"/>
  <c r="A7" i="24"/>
  <c r="A6" i="23"/>
  <c r="A6" i="22"/>
  <c r="A6" i="21"/>
  <c r="A6" i="20"/>
  <c r="A6" i="19"/>
  <c r="A6" i="18"/>
  <c r="D6" i="17"/>
  <c r="A6" i="16"/>
  <c r="A8" i="12"/>
  <c r="O48" i="44" l="1"/>
  <c r="O49" i="44" s="1"/>
  <c r="L62" i="27"/>
  <c r="N62" i="27"/>
  <c r="K62" i="27"/>
  <c r="M62" i="27"/>
  <c r="D48" i="16"/>
  <c r="F49" i="16" l="1"/>
  <c r="F72" i="16"/>
  <c r="E50" i="16"/>
  <c r="F50" i="16" s="1"/>
  <c r="H29" i="11" l="1"/>
  <c r="A183" i="25" l="1"/>
  <c r="A184" i="25"/>
  <c r="A185" i="25"/>
  <c r="A172" i="27"/>
  <c r="A173" i="27"/>
  <c r="A174" i="27"/>
  <c r="J48" i="41" l="1"/>
  <c r="L48" i="41"/>
  <c r="N48" i="41"/>
  <c r="J27" i="41"/>
  <c r="L27" i="41"/>
  <c r="N27" i="41"/>
  <c r="P46" i="41"/>
  <c r="P45" i="41"/>
  <c r="P44" i="41"/>
  <c r="P43" i="41"/>
  <c r="P41" i="41"/>
  <c r="P35" i="41"/>
  <c r="P34" i="41"/>
  <c r="P33" i="41"/>
  <c r="P32" i="41"/>
  <c r="P30" i="41"/>
  <c r="P25" i="41"/>
  <c r="P24" i="41"/>
  <c r="P22" i="41"/>
  <c r="L45" i="44" l="1"/>
  <c r="M46" i="44"/>
  <c r="N50" i="41"/>
  <c r="P27" i="41"/>
  <c r="P48" i="41"/>
  <c r="P38" i="41"/>
  <c r="AM75" i="17"/>
  <c r="AN75" i="17"/>
  <c r="A36" i="25"/>
  <c r="A37" i="25"/>
  <c r="A38" i="25"/>
  <c r="A39" i="25"/>
  <c r="A34" i="25"/>
  <c r="A35" i="25"/>
  <c r="A40" i="25"/>
  <c r="A41" i="25"/>
  <c r="A31" i="25"/>
  <c r="A32" i="25"/>
  <c r="A33" i="25"/>
  <c r="A30" i="25"/>
  <c r="A246" i="27"/>
  <c r="A247" i="27"/>
  <c r="A248" i="27"/>
  <c r="A249" i="27"/>
  <c r="A250" i="27"/>
  <c r="A251" i="27"/>
  <c r="A252" i="27"/>
  <c r="A253" i="27"/>
  <c r="A254" i="27"/>
  <c r="A255" i="27"/>
  <c r="A256" i="27"/>
  <c r="A257" i="27"/>
  <c r="A258" i="27"/>
  <c r="A259" i="27"/>
  <c r="A260" i="27"/>
  <c r="A261" i="27"/>
  <c r="A262" i="27"/>
  <c r="A263" i="27"/>
  <c r="A264" i="27"/>
  <c r="A265" i="27"/>
  <c r="A266" i="27"/>
  <c r="A267" i="27"/>
  <c r="A268" i="27"/>
  <c r="A269" i="27"/>
  <c r="A270" i="27"/>
  <c r="A271" i="27"/>
  <c r="A272" i="27"/>
  <c r="A273" i="27"/>
  <c r="A274" i="27"/>
  <c r="A275" i="27"/>
  <c r="A276" i="27"/>
  <c r="A277" i="27"/>
  <c r="A278" i="27"/>
  <c r="A279" i="27"/>
  <c r="A280" i="27"/>
  <c r="A281" i="27"/>
  <c r="A282" i="27"/>
  <c r="A283" i="27"/>
  <c r="A284" i="27"/>
  <c r="A285" i="27"/>
  <c r="A286" i="27"/>
  <c r="A287" i="27"/>
  <c r="A288" i="27"/>
  <c r="A289" i="27"/>
  <c r="A290" i="27"/>
  <c r="A291" i="27"/>
  <c r="A292" i="27"/>
  <c r="A293" i="27"/>
  <c r="A294" i="27"/>
  <c r="A295" i="27"/>
  <c r="A296" i="27"/>
  <c r="A297" i="27"/>
  <c r="A298" i="27"/>
  <c r="A299" i="27"/>
  <c r="A300" i="27"/>
  <c r="A301" i="27"/>
  <c r="A302" i="27"/>
  <c r="A304" i="27"/>
  <c r="A305" i="27"/>
  <c r="A306" i="27"/>
  <c r="A307" i="27"/>
  <c r="A308" i="27"/>
  <c r="A309" i="27"/>
  <c r="A310" i="27"/>
  <c r="A312" i="27"/>
  <c r="A314" i="27"/>
  <c r="A315" i="27"/>
  <c r="A316" i="27"/>
  <c r="A317" i="27"/>
  <c r="A318" i="27"/>
  <c r="A319" i="27"/>
  <c r="A320" i="27"/>
  <c r="A321" i="27"/>
  <c r="A322" i="27"/>
  <c r="A323" i="27"/>
  <c r="A324" i="27"/>
  <c r="A325" i="27"/>
  <c r="A326" i="27"/>
  <c r="A327" i="27"/>
  <c r="A328" i="27"/>
  <c r="A329" i="27"/>
  <c r="A331" i="27"/>
  <c r="A332" i="27"/>
  <c r="A333" i="27"/>
  <c r="A334" i="27"/>
  <c r="A335" i="27"/>
  <c r="A336" i="27"/>
  <c r="A170" i="27"/>
  <c r="A171" i="27"/>
  <c r="A175" i="27"/>
  <c r="A176" i="27"/>
  <c r="A177" i="27"/>
  <c r="A178" i="27"/>
  <c r="A179" i="27"/>
  <c r="A180" i="27"/>
  <c r="A181" i="27"/>
  <c r="A182" i="27"/>
  <c r="A183" i="27"/>
  <c r="A184" i="27"/>
  <c r="A185"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H46" i="44" l="1"/>
  <c r="I46" i="44"/>
  <c r="I47" i="44" s="1"/>
  <c r="I49" i="44" s="1"/>
  <c r="M47" i="44"/>
  <c r="M49" i="44" s="1"/>
  <c r="N46" i="44"/>
  <c r="H45" i="44"/>
  <c r="N45" i="44"/>
  <c r="L47" i="44"/>
  <c r="L49" i="44" s="1"/>
  <c r="C184" i="25"/>
  <c r="H67" i="28"/>
  <c r="H66" i="28"/>
  <c r="H65" i="28"/>
  <c r="H64" i="28"/>
  <c r="H63" i="28"/>
  <c r="H62" i="28"/>
  <c r="H61" i="28"/>
  <c r="H60" i="28"/>
  <c r="H59" i="28"/>
  <c r="H58" i="28"/>
  <c r="H57" i="28"/>
  <c r="H56" i="28"/>
  <c r="H55" i="28"/>
  <c r="H54" i="28"/>
  <c r="H53" i="28"/>
  <c r="H52" i="28"/>
  <c r="H51" i="28"/>
  <c r="H50" i="28"/>
  <c r="H49" i="28"/>
  <c r="H48" i="28"/>
  <c r="H47" i="28"/>
  <c r="H46" i="28"/>
  <c r="H45" i="28"/>
  <c r="H44" i="28"/>
  <c r="H43" i="28"/>
  <c r="H42" i="28"/>
  <c r="H41" i="28"/>
  <c r="H40" i="28"/>
  <c r="H39" i="28"/>
  <c r="H38" i="28"/>
  <c r="H37" i="28"/>
  <c r="H36" i="28"/>
  <c r="H35" i="28"/>
  <c r="H34" i="28"/>
  <c r="H33" i="28"/>
  <c r="H32" i="28"/>
  <c r="H31" i="28"/>
  <c r="H30" i="28"/>
  <c r="H29" i="28"/>
  <c r="H28" i="28"/>
  <c r="H27" i="28"/>
  <c r="H26" i="28"/>
  <c r="H25" i="28"/>
  <c r="H24" i="28"/>
  <c r="H23" i="28"/>
  <c r="H22" i="28"/>
  <c r="H21" i="28"/>
  <c r="H20" i="28"/>
  <c r="H19" i="28"/>
  <c r="H18" i="28"/>
  <c r="D19" i="28" s="1"/>
  <c r="F18" i="28"/>
  <c r="K51" i="7" l="1"/>
  <c r="L51" i="7"/>
  <c r="K57" i="44" s="1"/>
  <c r="J51" i="7"/>
  <c r="I57" i="44" s="1"/>
  <c r="I51" i="7"/>
  <c r="H57" i="44" s="1"/>
  <c r="N47" i="44"/>
  <c r="N49" i="44" s="1"/>
  <c r="J46" i="44"/>
  <c r="J45" i="44"/>
  <c r="H47" i="44"/>
  <c r="H49" i="44" s="1"/>
  <c r="F19" i="28"/>
  <c r="D20" i="28"/>
  <c r="J57" i="44" l="1"/>
  <c r="J47" i="44"/>
  <c r="J49" i="44" s="1"/>
  <c r="D21" i="28"/>
  <c r="F20" i="28"/>
  <c r="D22" i="28" l="1"/>
  <c r="F21" i="28"/>
  <c r="D23" i="28" l="1"/>
  <c r="F22" i="28"/>
  <c r="F23" i="28" l="1"/>
  <c r="D24" i="28"/>
  <c r="D25" i="28" l="1"/>
  <c r="F24" i="28"/>
  <c r="D26" i="28" l="1"/>
  <c r="F25" i="28"/>
  <c r="F26" i="28" l="1"/>
  <c r="D27" i="28"/>
  <c r="F27" i="28" l="1"/>
  <c r="D28" i="28"/>
  <c r="D29" i="28" l="1"/>
  <c r="F28" i="28"/>
  <c r="D30" i="28" l="1"/>
  <c r="F29" i="28"/>
  <c r="F30" i="28" l="1"/>
  <c r="D31" i="28"/>
  <c r="F31" i="28" l="1"/>
  <c r="D32" i="28"/>
  <c r="D33" i="28" l="1"/>
  <c r="F32" i="28"/>
  <c r="D34" i="28" l="1"/>
  <c r="F33" i="28"/>
  <c r="F34" i="28" l="1"/>
  <c r="D35" i="28"/>
  <c r="F35" i="28" l="1"/>
  <c r="D36" i="28"/>
  <c r="D37" i="28" l="1"/>
  <c r="F36" i="28"/>
  <c r="D38" i="28" l="1"/>
  <c r="F37" i="28"/>
  <c r="D39" i="28" l="1"/>
  <c r="F38" i="28"/>
  <c r="F39" i="28" l="1"/>
  <c r="D40" i="28"/>
  <c r="D41" i="28" l="1"/>
  <c r="F40" i="28"/>
  <c r="D42" i="28" l="1"/>
  <c r="F41" i="28"/>
  <c r="F42" i="28" l="1"/>
  <c r="D43" i="28"/>
  <c r="F43" i="28" l="1"/>
  <c r="D44" i="28"/>
  <c r="D45" i="28" l="1"/>
  <c r="F44" i="28"/>
  <c r="D46" i="28" l="1"/>
  <c r="F45" i="28"/>
  <c r="F46" i="28" l="1"/>
  <c r="D47" i="28"/>
  <c r="F47" i="28" l="1"/>
  <c r="D48" i="28"/>
  <c r="D49" i="28" l="1"/>
  <c r="F48" i="28"/>
  <c r="D50" i="28" l="1"/>
  <c r="F49" i="28"/>
  <c r="F50" i="28" l="1"/>
  <c r="D51" i="28"/>
  <c r="F51" i="28" l="1"/>
  <c r="J51" i="28" s="1"/>
  <c r="D52" i="28"/>
  <c r="D53" i="28" l="1"/>
  <c r="F52" i="28"/>
  <c r="D54" i="28" l="1"/>
  <c r="F53" i="28"/>
  <c r="F54" i="28" l="1"/>
  <c r="D55" i="28"/>
  <c r="F55" i="28" l="1"/>
  <c r="D56" i="28"/>
  <c r="D57" i="28" l="1"/>
  <c r="F56" i="28"/>
  <c r="D58" i="28" l="1"/>
  <c r="F57" i="28"/>
  <c r="F58" i="28" l="1"/>
  <c r="D59" i="28"/>
  <c r="F59" i="28" l="1"/>
  <c r="D60" i="28"/>
  <c r="D61" i="28" l="1"/>
  <c r="F60" i="28"/>
  <c r="D62" i="28" l="1"/>
  <c r="F61" i="28"/>
  <c r="F62" i="28" l="1"/>
  <c r="D63" i="28"/>
  <c r="F63" i="28" l="1"/>
  <c r="D64" i="28"/>
  <c r="D65" i="28" l="1"/>
  <c r="F64" i="28"/>
  <c r="D66" i="28" l="1"/>
  <c r="F65" i="28"/>
  <c r="F66" i="28" l="1"/>
  <c r="D67" i="28"/>
  <c r="F67" i="28" s="1"/>
  <c r="N40" i="8" l="1"/>
  <c r="N39" i="8"/>
  <c r="N38" i="8"/>
  <c r="N33" i="8"/>
  <c r="N32" i="8"/>
  <c r="N31" i="8"/>
  <c r="M33" i="8"/>
  <c r="L33" i="8"/>
  <c r="K33" i="8"/>
  <c r="J33" i="8"/>
  <c r="I33" i="8"/>
  <c r="H33" i="8"/>
  <c r="G33" i="8"/>
  <c r="F33" i="8"/>
  <c r="M32" i="8"/>
  <c r="L32" i="8"/>
  <c r="K32" i="8"/>
  <c r="J32" i="8"/>
  <c r="I32" i="8"/>
  <c r="H32" i="8"/>
  <c r="G32" i="8"/>
  <c r="F32" i="8"/>
  <c r="M31" i="8"/>
  <c r="L31" i="8"/>
  <c r="K31" i="8"/>
  <c r="J31" i="8"/>
  <c r="I31" i="8"/>
  <c r="H31" i="8"/>
  <c r="G31" i="8"/>
  <c r="F31" i="8"/>
  <c r="M40" i="8"/>
  <c r="L40" i="8"/>
  <c r="K40" i="8"/>
  <c r="J40" i="8"/>
  <c r="I40" i="8"/>
  <c r="H40" i="8"/>
  <c r="G40" i="8"/>
  <c r="F40" i="8"/>
  <c r="M39" i="8"/>
  <c r="L39" i="8"/>
  <c r="K39" i="8"/>
  <c r="J39" i="8"/>
  <c r="I39" i="8"/>
  <c r="H39" i="8"/>
  <c r="G39" i="8"/>
  <c r="F39" i="8"/>
  <c r="M38" i="8"/>
  <c r="L38" i="8"/>
  <c r="K38" i="8"/>
  <c r="J38" i="8"/>
  <c r="I38" i="8"/>
  <c r="H38" i="8"/>
  <c r="G38" i="8"/>
  <c r="F38" i="8"/>
  <c r="H17" i="21" l="1"/>
  <c r="H21" i="21" l="1"/>
  <c r="E31" i="37"/>
  <c r="H29" i="44" l="1"/>
  <c r="J29" i="44" s="1"/>
  <c r="H91" i="44"/>
  <c r="E39" i="37"/>
  <c r="F31" i="37"/>
  <c r="F23" i="37"/>
  <c r="E23" i="37"/>
  <c r="F39" i="37" l="1"/>
  <c r="J91" i="44"/>
  <c r="J92" i="44" s="1"/>
  <c r="I103" i="44"/>
  <c r="I104" i="44" s="1"/>
  <c r="H103" i="44"/>
  <c r="H104" i="44" s="1"/>
  <c r="E30" i="36"/>
  <c r="M18" i="36"/>
  <c r="F25" i="11" s="1"/>
  <c r="Q44" i="13" l="1"/>
  <c r="A8" i="11" l="1"/>
  <c r="P24" i="7" l="1"/>
  <c r="O24" i="7"/>
  <c r="N24" i="7"/>
  <c r="M24" i="7"/>
  <c r="R73" i="26" l="1"/>
  <c r="Q73" i="26"/>
  <c r="P73" i="26"/>
  <c r="O73" i="26"/>
  <c r="N73" i="26"/>
  <c r="M73" i="26"/>
  <c r="L73" i="26"/>
  <c r="K73" i="26"/>
  <c r="W71" i="26"/>
  <c r="D71" i="26"/>
  <c r="D70" i="26"/>
  <c r="K90" i="44" l="1"/>
  <c r="D131" i="40"/>
  <c r="D123" i="40"/>
  <c r="D111" i="40"/>
  <c r="D100" i="40"/>
  <c r="D88" i="40"/>
  <c r="D70" i="40"/>
  <c r="D58" i="40"/>
  <c r="D36" i="40"/>
  <c r="D43" i="40"/>
  <c r="D50" i="40"/>
  <c r="D28" i="40"/>
  <c r="G57" i="39"/>
  <c r="G51" i="39"/>
  <c r="G41" i="39"/>
  <c r="G33" i="39"/>
  <c r="G22" i="39"/>
  <c r="H40" i="31"/>
  <c r="G40" i="31"/>
  <c r="F40" i="31"/>
  <c r="E40" i="31"/>
  <c r="T53" i="30"/>
  <c r="R53" i="30"/>
  <c r="P53" i="30"/>
  <c r="N53" i="30"/>
  <c r="L53" i="30"/>
  <c r="J53" i="30"/>
  <c r="H53" i="30"/>
  <c r="F53" i="30"/>
  <c r="H36" i="20"/>
  <c r="AW75" i="17"/>
  <c r="AL75" i="17"/>
  <c r="AK75" i="17"/>
  <c r="AJ75" i="17"/>
  <c r="AI75" i="17"/>
  <c r="AH75" i="17"/>
  <c r="AG75" i="17"/>
  <c r="AF75" i="17"/>
  <c r="AE75" i="17"/>
  <c r="AD75" i="17"/>
  <c r="AC75" i="17"/>
  <c r="AB75" i="17"/>
  <c r="AA75" i="17"/>
  <c r="Z75" i="17"/>
  <c r="Y75" i="17"/>
  <c r="X75" i="17"/>
  <c r="W75" i="17"/>
  <c r="V75" i="17"/>
  <c r="U75" i="17"/>
  <c r="T75" i="17"/>
  <c r="S75" i="17"/>
  <c r="R75" i="17"/>
  <c r="Q75" i="17"/>
  <c r="P75" i="17"/>
  <c r="O75" i="17"/>
  <c r="N75" i="17"/>
  <c r="M75" i="17"/>
  <c r="L75" i="17"/>
  <c r="K75" i="17"/>
  <c r="J75" i="17"/>
  <c r="I75" i="17"/>
  <c r="H75" i="17"/>
  <c r="G75" i="17"/>
  <c r="F75" i="17"/>
  <c r="E75" i="17"/>
  <c r="H88" i="44" l="1"/>
  <c r="H90" i="44" s="1"/>
  <c r="I90" i="44"/>
  <c r="I28" i="34"/>
  <c r="H28" i="34"/>
  <c r="H92" i="44" l="1"/>
  <c r="I23" i="34"/>
  <c r="H23" i="34"/>
  <c r="H24" i="32"/>
  <c r="G33" i="31"/>
  <c r="F33" i="31"/>
  <c r="E33" i="31"/>
  <c r="H21" i="31"/>
  <c r="G21" i="31"/>
  <c r="F21" i="31"/>
  <c r="E21" i="31"/>
  <c r="T49" i="30"/>
  <c r="P49" i="30"/>
  <c r="N49" i="30"/>
  <c r="L49" i="30"/>
  <c r="J49" i="30"/>
  <c r="H49" i="30"/>
  <c r="F49" i="30"/>
  <c r="T41" i="30"/>
  <c r="N41" i="30"/>
  <c r="L41" i="30"/>
  <c r="J41" i="30"/>
  <c r="H41" i="30"/>
  <c r="F41" i="30"/>
  <c r="T37" i="30"/>
  <c r="S37" i="30"/>
  <c r="Q37" i="30"/>
  <c r="O37" i="30"/>
  <c r="N37" i="30"/>
  <c r="L37" i="30"/>
  <c r="J37" i="30"/>
  <c r="I37" i="30"/>
  <c r="H37" i="30"/>
  <c r="F37" i="30"/>
  <c r="T33" i="30"/>
  <c r="N33" i="30"/>
  <c r="L33" i="30"/>
  <c r="J33" i="30"/>
  <c r="H33" i="30"/>
  <c r="F33" i="30"/>
  <c r="T21" i="30"/>
  <c r="N21" i="30"/>
  <c r="J21" i="30"/>
  <c r="H21" i="30"/>
  <c r="F21" i="30"/>
  <c r="M41" i="29"/>
  <c r="K41" i="29"/>
  <c r="J41" i="29"/>
  <c r="I41" i="29"/>
  <c r="H41" i="29"/>
  <c r="G41" i="29"/>
  <c r="F41" i="29"/>
  <c r="T56" i="30" l="1"/>
  <c r="T58" i="30" s="1"/>
  <c r="L56" i="30"/>
  <c r="L58" i="30" s="1"/>
  <c r="F56" i="30"/>
  <c r="F58" i="30" s="1"/>
  <c r="H44" i="31"/>
  <c r="J56" i="30"/>
  <c r="E44" i="31"/>
  <c r="I50" i="7" s="1"/>
  <c r="I44" i="31"/>
  <c r="H56" i="30"/>
  <c r="G44" i="31"/>
  <c r="K44" i="31"/>
  <c r="N56" i="30"/>
  <c r="F44" i="31"/>
  <c r="J44" i="31"/>
  <c r="F48" i="16" l="1"/>
  <c r="A351" i="27"/>
  <c r="A350" i="27"/>
  <c r="A240" i="27"/>
  <c r="A239" i="27"/>
  <c r="A164" i="27"/>
  <c r="A163" i="27"/>
  <c r="G165" i="27" l="1"/>
  <c r="I20" i="7" s="1"/>
  <c r="J165" i="27"/>
  <c r="I165" i="27"/>
  <c r="H165" i="27"/>
  <c r="N165" i="27"/>
  <c r="M165" i="27"/>
  <c r="L165" i="27"/>
  <c r="K165" i="27"/>
  <c r="H29" i="5"/>
  <c r="D21" i="26" l="1"/>
  <c r="O33" i="26" l="1"/>
  <c r="P33" i="26"/>
  <c r="R33" i="26"/>
  <c r="D24" i="26"/>
  <c r="D25" i="26"/>
  <c r="D26" i="26"/>
  <c r="D27" i="26"/>
  <c r="D28" i="26"/>
  <c r="D29" i="26"/>
  <c r="D30" i="26"/>
  <c r="D31" i="26"/>
  <c r="D32" i="26"/>
  <c r="D33" i="26"/>
  <c r="D36" i="26"/>
  <c r="D37" i="26"/>
  <c r="D38" i="26"/>
  <c r="D39" i="26"/>
  <c r="D40" i="26"/>
  <c r="D43" i="26"/>
  <c r="D44" i="26"/>
  <c r="D45" i="26"/>
  <c r="D49" i="26"/>
  <c r="D50" i="26"/>
  <c r="D51" i="26"/>
  <c r="D52" i="26"/>
  <c r="D53" i="26"/>
  <c r="D54" i="26"/>
  <c r="D57" i="26"/>
  <c r="D58" i="26"/>
  <c r="D59" i="26"/>
  <c r="D60" i="26"/>
  <c r="D61" i="26"/>
  <c r="D62" i="26"/>
  <c r="D63" i="26"/>
  <c r="D64" i="26"/>
  <c r="D65" i="26"/>
  <c r="D68" i="26"/>
  <c r="D75" i="26"/>
  <c r="D76" i="26"/>
  <c r="D77" i="26"/>
  <c r="D78" i="26"/>
  <c r="D82" i="26"/>
  <c r="D83" i="26"/>
  <c r="D84" i="26"/>
  <c r="D85" i="26"/>
  <c r="D88" i="26"/>
  <c r="D89" i="26"/>
  <c r="D90" i="26"/>
  <c r="D91" i="26"/>
  <c r="D94" i="26"/>
  <c r="D95" i="26"/>
  <c r="D96" i="26"/>
  <c r="D98" i="26"/>
  <c r="D99" i="26"/>
  <c r="D100" i="26"/>
  <c r="D101" i="26"/>
  <c r="D102" i="26"/>
  <c r="D103" i="26"/>
  <c r="D104" i="26"/>
  <c r="D107" i="26"/>
  <c r="D108" i="26"/>
  <c r="D109" i="26"/>
  <c r="D110" i="26"/>
  <c r="D111" i="26"/>
  <c r="D112" i="26"/>
  <c r="D113" i="26"/>
  <c r="D114" i="26"/>
  <c r="D115" i="26"/>
  <c r="D116" i="26"/>
  <c r="D117" i="26"/>
  <c r="D118" i="26"/>
  <c r="D119" i="26"/>
  <c r="D122" i="26"/>
  <c r="D123" i="26"/>
  <c r="D124" i="26"/>
  <c r="D125" i="26"/>
  <c r="D126" i="26"/>
  <c r="D127" i="26"/>
  <c r="D128" i="26"/>
  <c r="D129" i="26"/>
  <c r="D130" i="26"/>
  <c r="D131" i="26"/>
  <c r="D132" i="26"/>
  <c r="D133" i="26"/>
  <c r="D134" i="26"/>
  <c r="D135" i="26"/>
  <c r="D139" i="26"/>
  <c r="D20" i="26"/>
  <c r="Q33" i="26" l="1"/>
  <c r="A190" i="25"/>
  <c r="A189" i="25"/>
  <c r="A180" i="25"/>
  <c r="A179" i="25"/>
  <c r="A173" i="25"/>
  <c r="A172" i="25"/>
  <c r="A166" i="25"/>
  <c r="A165" i="25"/>
  <c r="A156" i="25"/>
  <c r="A155" i="25"/>
  <c r="A132" i="25"/>
  <c r="A133" i="25"/>
  <c r="A134" i="25"/>
  <c r="A135" i="25"/>
  <c r="A136" i="25"/>
  <c r="A137" i="25"/>
  <c r="A138" i="25"/>
  <c r="A139" i="25"/>
  <c r="A140" i="25"/>
  <c r="A141" i="25"/>
  <c r="A142" i="25"/>
  <c r="A143" i="25"/>
  <c r="A144" i="25"/>
  <c r="A145" i="25"/>
  <c r="A146" i="25"/>
  <c r="A147" i="25"/>
  <c r="A148" i="25"/>
  <c r="A149" i="25"/>
  <c r="A150" i="25"/>
  <c r="A151" i="25"/>
  <c r="A152" i="25"/>
  <c r="A153" i="25"/>
  <c r="A154" i="25"/>
  <c r="A157" i="25"/>
  <c r="A158" i="25"/>
  <c r="A159" i="25"/>
  <c r="A160" i="25"/>
  <c r="A161" i="25"/>
  <c r="A162" i="25"/>
  <c r="A163" i="25"/>
  <c r="A164" i="25"/>
  <c r="A167" i="25"/>
  <c r="A168" i="25"/>
  <c r="A169" i="25"/>
  <c r="C169" i="25" s="1"/>
  <c r="A170" i="25"/>
  <c r="C170" i="25" s="1"/>
  <c r="A171" i="25"/>
  <c r="C171" i="25" s="1"/>
  <c r="A174" i="25"/>
  <c r="A175" i="25"/>
  <c r="A176" i="25"/>
  <c r="C176" i="25" s="1"/>
  <c r="A177" i="25"/>
  <c r="C177" i="25" s="1"/>
  <c r="A178" i="25"/>
  <c r="C178" i="25" s="1"/>
  <c r="A181" i="25"/>
  <c r="A182" i="25"/>
  <c r="C185" i="25"/>
  <c r="A186" i="25"/>
  <c r="C186" i="25" s="1"/>
  <c r="A187" i="25"/>
  <c r="C187" i="25" s="1"/>
  <c r="A188" i="25"/>
  <c r="C188" i="25" s="1"/>
  <c r="A191" i="25"/>
  <c r="A192" i="25"/>
  <c r="A193" i="25"/>
  <c r="A17" i="25"/>
  <c r="A18" i="25"/>
  <c r="A19" i="25"/>
  <c r="A20" i="25"/>
  <c r="A21" i="25"/>
  <c r="A22" i="25"/>
  <c r="A23" i="25"/>
  <c r="A24" i="25"/>
  <c r="A25" i="25"/>
  <c r="A26" i="25"/>
  <c r="A27" i="25"/>
  <c r="A28" i="25"/>
  <c r="A29"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A103" i="25"/>
  <c r="A104" i="25"/>
  <c r="A105" i="25"/>
  <c r="A106" i="25"/>
  <c r="A107" i="25"/>
  <c r="A108" i="25"/>
  <c r="A109" i="25"/>
  <c r="A110" i="25"/>
  <c r="A111" i="25"/>
  <c r="A112" i="25"/>
  <c r="A113" i="25"/>
  <c r="A114" i="25"/>
  <c r="A115" i="25"/>
  <c r="A116" i="25"/>
  <c r="A117" i="25"/>
  <c r="A118" i="25"/>
  <c r="A119" i="25"/>
  <c r="A120" i="25"/>
  <c r="A121" i="25"/>
  <c r="A122" i="25"/>
  <c r="A123" i="25"/>
  <c r="A124" i="25"/>
  <c r="A125" i="25"/>
  <c r="A126" i="25"/>
  <c r="A127" i="25"/>
  <c r="A128" i="25"/>
  <c r="A129" i="25"/>
  <c r="A130" i="25"/>
  <c r="A131" i="25"/>
  <c r="A16" i="25"/>
  <c r="A53" i="27"/>
  <c r="A54" i="27"/>
  <c r="A55" i="27"/>
  <c r="A56" i="27"/>
  <c r="A57" i="27"/>
  <c r="A58" i="27"/>
  <c r="A59" i="27"/>
  <c r="A60" i="27"/>
  <c r="A61" i="27"/>
  <c r="A62" i="27"/>
  <c r="A63" i="27"/>
  <c r="A64" i="27"/>
  <c r="A65" i="27"/>
  <c r="A66" i="27"/>
  <c r="A67" i="27"/>
  <c r="A68" i="27"/>
  <c r="A69" i="27"/>
  <c r="A165" i="27"/>
  <c r="A166" i="27"/>
  <c r="A167" i="27"/>
  <c r="A168" i="27"/>
  <c r="A169" i="27"/>
  <c r="A238" i="27"/>
  <c r="A241" i="27"/>
  <c r="A242" i="27"/>
  <c r="A244" i="27"/>
  <c r="A245" i="27"/>
  <c r="A18" i="27"/>
  <c r="I352" i="27" l="1"/>
  <c r="J352" i="27"/>
  <c r="H352" i="27"/>
  <c r="G352" i="27"/>
  <c r="C183" i="25"/>
  <c r="K65" i="26"/>
  <c r="F63" i="26"/>
  <c r="F59" i="26"/>
  <c r="F51" i="26"/>
  <c r="F39" i="26"/>
  <c r="F31" i="26"/>
  <c r="F27" i="26"/>
  <c r="F61" i="26"/>
  <c r="F45" i="26"/>
  <c r="F29" i="26"/>
  <c r="F90" i="26"/>
  <c r="F64" i="26"/>
  <c r="F40" i="26"/>
  <c r="F28" i="26"/>
  <c r="F109" i="26"/>
  <c r="F62" i="26"/>
  <c r="F54" i="26"/>
  <c r="F50" i="26"/>
  <c r="F38" i="26"/>
  <c r="F30" i="26"/>
  <c r="F26" i="26"/>
  <c r="F65" i="26"/>
  <c r="F53" i="26"/>
  <c r="F33" i="26"/>
  <c r="F25" i="26"/>
  <c r="F60" i="26"/>
  <c r="F52" i="26"/>
  <c r="F32" i="26"/>
  <c r="F20" i="26"/>
  <c r="C164" i="25"/>
  <c r="C160" i="25"/>
  <c r="C163" i="25"/>
  <c r="C161" i="25"/>
  <c r="C162" i="25"/>
  <c r="C159" i="25"/>
  <c r="C131" i="25"/>
  <c r="C144" i="25"/>
  <c r="C118" i="25"/>
  <c r="C154" i="25"/>
  <c r="C145" i="25"/>
  <c r="C121" i="25"/>
  <c r="C143" i="25"/>
  <c r="C130" i="25"/>
  <c r="C133" i="25"/>
  <c r="C151" i="25"/>
  <c r="C123" i="25"/>
  <c r="C150" i="25"/>
  <c r="C142" i="25"/>
  <c r="C141" i="25"/>
  <c r="C117" i="25"/>
  <c r="C132" i="25"/>
  <c r="C119" i="25"/>
  <c r="C134" i="25"/>
  <c r="C120" i="25"/>
  <c r="C135" i="25"/>
  <c r="C122" i="25"/>
  <c r="C128" i="25"/>
  <c r="C153" i="25"/>
  <c r="C129" i="25"/>
  <c r="C152" i="25"/>
  <c r="C140" i="25"/>
  <c r="K60" i="26"/>
  <c r="O63" i="26"/>
  <c r="P39" i="26"/>
  <c r="P53" i="26"/>
  <c r="N32" i="26"/>
  <c r="K30" i="26"/>
  <c r="L20" i="26"/>
  <c r="L23" i="26" s="1"/>
  <c r="R51" i="26"/>
  <c r="N61" i="26"/>
  <c r="R60" i="26"/>
  <c r="R28" i="26"/>
  <c r="K38" i="26"/>
  <c r="K51" i="26"/>
  <c r="N59" i="26"/>
  <c r="O90" i="26"/>
  <c r="L31" i="26"/>
  <c r="R20" i="26"/>
  <c r="R23" i="26" s="1"/>
  <c r="R61" i="26"/>
  <c r="O38" i="26"/>
  <c r="O28" i="26"/>
  <c r="O60" i="26"/>
  <c r="R59" i="26"/>
  <c r="N40" i="26"/>
  <c r="O62" i="26"/>
  <c r="O45" i="26"/>
  <c r="O48" i="26" s="1"/>
  <c r="P29" i="26"/>
  <c r="P20" i="26"/>
  <c r="P23" i="26" s="1"/>
  <c r="O20" i="26"/>
  <c r="O23" i="26" s="1"/>
  <c r="N20" i="26"/>
  <c r="N23" i="26" s="1"/>
  <c r="L90" i="26"/>
  <c r="K45" i="26"/>
  <c r="K48" i="26" s="1"/>
  <c r="N65" i="26"/>
  <c r="P45" i="26"/>
  <c r="P48" i="26" s="1"/>
  <c r="K109" i="26"/>
  <c r="N31" i="26"/>
  <c r="K54" i="26"/>
  <c r="P30" i="26"/>
  <c r="R109" i="26"/>
  <c r="O64" i="26"/>
  <c r="R63" i="26"/>
  <c r="N39" i="26"/>
  <c r="O32" i="26"/>
  <c r="P26" i="26"/>
  <c r="N90" i="26"/>
  <c r="L45" i="26"/>
  <c r="L48" i="26" s="1"/>
  <c r="L32" i="26"/>
  <c r="P50" i="26"/>
  <c r="P54" i="26"/>
  <c r="N53" i="26"/>
  <c r="R31" i="26"/>
  <c r="O29" i="26"/>
  <c r="P64" i="26"/>
  <c r="L65" i="26"/>
  <c r="L52" i="26"/>
  <c r="R54" i="26"/>
  <c r="N52" i="26"/>
  <c r="K52" i="26"/>
  <c r="L38" i="26"/>
  <c r="O39" i="26"/>
  <c r="P40" i="26"/>
  <c r="N38" i="26"/>
  <c r="K31" i="26"/>
  <c r="P31" i="26"/>
  <c r="O26" i="26"/>
  <c r="N26" i="26"/>
  <c r="O27" i="26"/>
  <c r="O59" i="26"/>
  <c r="L62" i="26"/>
  <c r="R64" i="26"/>
  <c r="K61" i="26"/>
  <c r="P63" i="26"/>
  <c r="L61" i="26"/>
  <c r="R65" i="26"/>
  <c r="N27" i="26"/>
  <c r="R53" i="26"/>
  <c r="P90" i="26"/>
  <c r="P25" i="26"/>
  <c r="N51" i="26"/>
  <c r="R32" i="26"/>
  <c r="K50" i="26"/>
  <c r="R30" i="26"/>
  <c r="P60" i="26"/>
  <c r="N25" i="26"/>
  <c r="O65" i="26"/>
  <c r="P65" i="26"/>
  <c r="L50" i="26"/>
  <c r="R52" i="26"/>
  <c r="N50" i="26"/>
  <c r="K53" i="26"/>
  <c r="P52" i="26"/>
  <c r="R38" i="26"/>
  <c r="K39" i="26"/>
  <c r="L40" i="26"/>
  <c r="R40" i="26"/>
  <c r="N29" i="26"/>
  <c r="O30" i="26"/>
  <c r="N30" i="26"/>
  <c r="O31" i="26"/>
  <c r="L30" i="26"/>
  <c r="L60" i="26"/>
  <c r="R62" i="26"/>
  <c r="K59" i="26"/>
  <c r="P61" i="26"/>
  <c r="N64" i="26"/>
  <c r="L63" i="26"/>
  <c r="P32" i="26"/>
  <c r="O52" i="26"/>
  <c r="K20" i="26"/>
  <c r="K23" i="26" s="1"/>
  <c r="K32" i="26"/>
  <c r="K26" i="26"/>
  <c r="O25" i="26"/>
  <c r="R90" i="26"/>
  <c r="O109" i="26"/>
  <c r="K64" i="26"/>
  <c r="O50" i="26"/>
  <c r="O54" i="26"/>
  <c r="L27" i="26"/>
  <c r="N109" i="26"/>
  <c r="N45" i="26"/>
  <c r="N48" i="26" s="1"/>
  <c r="L25" i="26"/>
  <c r="K90" i="26"/>
  <c r="K62" i="26"/>
  <c r="P62" i="26"/>
  <c r="N63" i="26"/>
  <c r="O51" i="26"/>
  <c r="L54" i="26"/>
  <c r="P51" i="26"/>
  <c r="N54" i="26"/>
  <c r="L53" i="26"/>
  <c r="K40" i="26"/>
  <c r="P38" i="26"/>
  <c r="L39" i="26"/>
  <c r="N28" i="26"/>
  <c r="K27" i="26"/>
  <c r="P27" i="26"/>
  <c r="K28" i="26"/>
  <c r="P28" i="26"/>
  <c r="L26" i="26"/>
  <c r="O61" i="26"/>
  <c r="L64" i="26"/>
  <c r="N60" i="26"/>
  <c r="K63" i="26"/>
  <c r="L59" i="26"/>
  <c r="N62" i="26"/>
  <c r="K29" i="26"/>
  <c r="L28" i="26"/>
  <c r="O40" i="26"/>
  <c r="O53" i="26"/>
  <c r="R25" i="26"/>
  <c r="L109" i="26"/>
  <c r="P109" i="26"/>
  <c r="R26" i="26"/>
  <c r="L29" i="26"/>
  <c r="P59" i="26"/>
  <c r="R29" i="26"/>
  <c r="R39" i="26"/>
  <c r="L51" i="26"/>
  <c r="R50" i="26"/>
  <c r="R27" i="26"/>
  <c r="K25" i="26"/>
  <c r="R45" i="26"/>
  <c r="R48" i="26" s="1"/>
  <c r="G241" i="27" l="1"/>
  <c r="J241" i="27"/>
  <c r="I241" i="27"/>
  <c r="J24" i="7"/>
  <c r="H55" i="27"/>
  <c r="H241" i="27"/>
  <c r="I24" i="7"/>
  <c r="G55" i="27"/>
  <c r="K24" i="7"/>
  <c r="I55" i="27"/>
  <c r="L24" i="7"/>
  <c r="J55" i="27"/>
  <c r="M39" i="26"/>
  <c r="Q26" i="26"/>
  <c r="M51" i="26"/>
  <c r="Q50" i="26"/>
  <c r="M109" i="26"/>
  <c r="M60" i="26"/>
  <c r="Q40" i="26"/>
  <c r="Q54" i="26"/>
  <c r="Q31" i="26"/>
  <c r="Q38" i="26"/>
  <c r="Q62" i="26"/>
  <c r="M25" i="26"/>
  <c r="M28" i="26"/>
  <c r="M27" i="26"/>
  <c r="M32" i="26"/>
  <c r="M50" i="26"/>
  <c r="Q90" i="26"/>
  <c r="Q61" i="26"/>
  <c r="M53" i="26"/>
  <c r="M90" i="26"/>
  <c r="Q65" i="26"/>
  <c r="M52" i="26"/>
  <c r="M61" i="26"/>
  <c r="M65" i="26"/>
  <c r="Q53" i="26"/>
  <c r="Q20" i="26"/>
  <c r="Q23" i="26" s="1"/>
  <c r="Q109" i="26"/>
  <c r="M26" i="26"/>
  <c r="M54" i="26"/>
  <c r="M62" i="26"/>
  <c r="M31" i="26"/>
  <c r="N43" i="26"/>
  <c r="Q27" i="26"/>
  <c r="Q30" i="26"/>
  <c r="Q28" i="26"/>
  <c r="M38" i="26"/>
  <c r="M63" i="26"/>
  <c r="K43" i="26"/>
  <c r="O36" i="26"/>
  <c r="Q52" i="26"/>
  <c r="Q63" i="26"/>
  <c r="Q64" i="26"/>
  <c r="Q32" i="26"/>
  <c r="Q29" i="26"/>
  <c r="M30" i="26"/>
  <c r="L43" i="26"/>
  <c r="L68" i="26"/>
  <c r="N68" i="26"/>
  <c r="P43" i="26"/>
  <c r="M64" i="26"/>
  <c r="M40" i="26"/>
  <c r="R36" i="26"/>
  <c r="R43" i="26"/>
  <c r="N57" i="26"/>
  <c r="O68" i="26"/>
  <c r="P36" i="26"/>
  <c r="O43" i="26"/>
  <c r="R57" i="26"/>
  <c r="R68" i="26"/>
  <c r="K57" i="26"/>
  <c r="K68" i="26"/>
  <c r="P57" i="26"/>
  <c r="M45" i="26"/>
  <c r="M48" i="26" s="1"/>
  <c r="P68" i="26"/>
  <c r="O57" i="26"/>
  <c r="L57" i="26"/>
  <c r="Q59" i="26"/>
  <c r="Q39" i="26"/>
  <c r="Q25" i="26"/>
  <c r="M29" i="26"/>
  <c r="Q60" i="26"/>
  <c r="M59" i="26"/>
  <c r="Q45" i="26"/>
  <c r="Q48" i="26" s="1"/>
  <c r="Q51" i="26"/>
  <c r="F36" i="23"/>
  <c r="J36" i="23" l="1"/>
  <c r="F26" i="22"/>
  <c r="F35" i="22"/>
  <c r="P75" i="26"/>
  <c r="O75" i="26"/>
  <c r="R75" i="26"/>
  <c r="Q43" i="26"/>
  <c r="F28" i="23"/>
  <c r="M68" i="26"/>
  <c r="M43" i="26"/>
  <c r="M57" i="26"/>
  <c r="Q57" i="26"/>
  <c r="Q36" i="26"/>
  <c r="Q68" i="26"/>
  <c r="Q75" i="26" l="1"/>
  <c r="H30" i="34" l="1"/>
  <c r="H81" i="44" l="1"/>
  <c r="H82" i="44" s="1"/>
  <c r="I30" i="34"/>
  <c r="I81" i="44" s="1"/>
  <c r="I82" i="44" s="1"/>
  <c r="K16" i="36"/>
  <c r="I20" i="36"/>
  <c r="J30" i="34" l="1"/>
  <c r="P34" i="7" l="1"/>
  <c r="O34" i="7"/>
  <c r="N34" i="7"/>
  <c r="M34" i="7"/>
  <c r="L34" i="7"/>
  <c r="H43" i="6" s="1"/>
  <c r="K34" i="7"/>
  <c r="J34" i="7"/>
  <c r="I34" i="7"/>
  <c r="A19" i="6" l="1"/>
  <c r="A20" i="6" s="1"/>
  <c r="A21" i="6" s="1"/>
  <c r="A22" i="6" s="1"/>
  <c r="A23" i="6" s="1"/>
  <c r="A24" i="6" s="1"/>
  <c r="A25" i="6" s="1"/>
  <c r="N33" i="26"/>
  <c r="N36" i="26" s="1"/>
  <c r="N75" i="26" s="1"/>
  <c r="P30" i="7" l="1"/>
  <c r="L30" i="7"/>
  <c r="P44" i="7"/>
  <c r="P36" i="7"/>
  <c r="P33" i="7"/>
  <c r="P28" i="7"/>
  <c r="O52" i="44" s="1"/>
  <c r="O54" i="44" s="1"/>
  <c r="P18" i="7"/>
  <c r="S38" i="7"/>
  <c r="S40" i="7" s="1"/>
  <c r="L33" i="7"/>
  <c r="L28" i="7"/>
  <c r="L18" i="7"/>
  <c r="K52" i="44" l="1"/>
  <c r="K54" i="44" s="1"/>
  <c r="K56" i="44"/>
  <c r="K58" i="44" s="1"/>
  <c r="O56" i="44"/>
  <c r="O58" i="44" s="1"/>
  <c r="O44" i="7"/>
  <c r="O18" i="7"/>
  <c r="L44" i="7"/>
  <c r="K44" i="7"/>
  <c r="K18" i="7"/>
  <c r="M42" i="7" l="1"/>
  <c r="L25" i="7" l="1"/>
  <c r="L26" i="7" s="1"/>
  <c r="K20" i="13" l="1"/>
  <c r="AX73" i="17" l="1"/>
  <c r="AX75" i="17" l="1"/>
  <c r="L44" i="31"/>
  <c r="P50" i="7" s="1"/>
  <c r="A8" i="15" l="1"/>
  <c r="A7" i="15"/>
  <c r="A8" i="10"/>
  <c r="F23" i="10" l="1"/>
  <c r="J35" i="4" l="1"/>
  <c r="I79" i="15"/>
  <c r="I78" i="15"/>
  <c r="I77" i="15"/>
  <c r="I76" i="15"/>
  <c r="G22" i="15" s="1"/>
  <c r="I75" i="15"/>
  <c r="G21" i="15" s="1"/>
  <c r="G20" i="15"/>
  <c r="H68" i="15"/>
  <c r="A47" i="15"/>
  <c r="A48" i="15" s="1"/>
  <c r="A49" i="15" s="1"/>
  <c r="A50" i="15" s="1"/>
  <c r="A51" i="15" s="1"/>
  <c r="A52" i="15" s="1"/>
  <c r="A53" i="15" s="1"/>
  <c r="A54" i="15" s="1"/>
  <c r="A55" i="15" s="1"/>
  <c r="A56" i="15" s="1"/>
  <c r="A57" i="15" s="1"/>
  <c r="A58" i="15" s="1"/>
  <c r="A59" i="15" s="1"/>
  <c r="A60" i="15" s="1"/>
  <c r="A61" i="15" s="1"/>
  <c r="A62" i="15" s="1"/>
  <c r="A63" i="15" s="1"/>
  <c r="A64" i="15" s="1"/>
  <c r="A65" i="15" s="1"/>
  <c r="A66" i="15" s="1"/>
  <c r="A68" i="15" s="1"/>
  <c r="E39" i="15"/>
  <c r="F24" i="15"/>
  <c r="F23" i="15"/>
  <c r="E41" i="15"/>
  <c r="I34" i="44" l="1"/>
  <c r="J34" i="44" s="1"/>
  <c r="H20" i="15"/>
  <c r="H22" i="15"/>
  <c r="I80" i="15"/>
  <c r="H24" i="15"/>
  <c r="I24" i="15" s="1"/>
  <c r="J24" i="15" s="1"/>
  <c r="H23" i="15"/>
  <c r="I23" i="15" s="1"/>
  <c r="J23" i="15" s="1"/>
  <c r="H21" i="15"/>
  <c r="F32" i="16" l="1"/>
  <c r="L33" i="26" l="1"/>
  <c r="L36" i="26" s="1"/>
  <c r="L75" i="26" s="1"/>
  <c r="K33" i="26"/>
  <c r="L50" i="41" l="1"/>
  <c r="J50" i="41"/>
  <c r="J52" i="41" s="1"/>
  <c r="N52" i="41"/>
  <c r="U139" i="26"/>
  <c r="S139" i="26"/>
  <c r="W136" i="26"/>
  <c r="W135" i="26"/>
  <c r="W134" i="26"/>
  <c r="W133" i="26"/>
  <c r="W132" i="26"/>
  <c r="W131" i="26"/>
  <c r="W130" i="26"/>
  <c r="W129" i="26"/>
  <c r="W128" i="26"/>
  <c r="W127" i="26"/>
  <c r="W126" i="26"/>
  <c r="W125" i="26"/>
  <c r="W124" i="26"/>
  <c r="U122" i="26"/>
  <c r="S122" i="26"/>
  <c r="W119" i="26"/>
  <c r="W118" i="26"/>
  <c r="W117" i="26"/>
  <c r="W116" i="26"/>
  <c r="W115" i="26"/>
  <c r="W114" i="26"/>
  <c r="W113" i="26"/>
  <c r="W112" i="26"/>
  <c r="W111" i="26"/>
  <c r="W110" i="26"/>
  <c r="W109" i="26"/>
  <c r="U107" i="26"/>
  <c r="S107" i="26"/>
  <c r="W104" i="26"/>
  <c r="W103" i="26"/>
  <c r="W102" i="26"/>
  <c r="W101" i="26"/>
  <c r="W100" i="26"/>
  <c r="W99" i="26"/>
  <c r="W98" i="26"/>
  <c r="W96" i="26"/>
  <c r="U94" i="26"/>
  <c r="S94" i="26"/>
  <c r="W91" i="26"/>
  <c r="W90" i="26"/>
  <c r="U88" i="26"/>
  <c r="S88" i="26"/>
  <c r="W85" i="26"/>
  <c r="W84" i="26"/>
  <c r="W83" i="26"/>
  <c r="W82" i="26"/>
  <c r="W81" i="26"/>
  <c r="W78" i="26"/>
  <c r="U68" i="26"/>
  <c r="S68" i="26"/>
  <c r="W65" i="26"/>
  <c r="W64" i="26"/>
  <c r="W63" i="26"/>
  <c r="W62" i="26"/>
  <c r="W61" i="26"/>
  <c r="W60" i="26"/>
  <c r="W59" i="26"/>
  <c r="U57" i="26"/>
  <c r="S57" i="26"/>
  <c r="W54" i="26"/>
  <c r="W53" i="26"/>
  <c r="W52" i="26"/>
  <c r="W51" i="26"/>
  <c r="W50" i="26"/>
  <c r="W45" i="26"/>
  <c r="U43" i="26"/>
  <c r="S43" i="26"/>
  <c r="W40" i="26"/>
  <c r="W39" i="26"/>
  <c r="W38" i="26"/>
  <c r="W20" i="26"/>
  <c r="N30" i="7" l="1"/>
  <c r="M30" i="7"/>
  <c r="J30" i="7"/>
  <c r="W57" i="26"/>
  <c r="W94" i="26"/>
  <c r="S75" i="26"/>
  <c r="S147" i="26"/>
  <c r="L52" i="41"/>
  <c r="P50" i="41"/>
  <c r="P52" i="41" s="1"/>
  <c r="W43" i="26"/>
  <c r="W107" i="26"/>
  <c r="W139" i="26"/>
  <c r="U75" i="26"/>
  <c r="W68" i="26"/>
  <c r="W88" i="26"/>
  <c r="U147" i="26"/>
  <c r="W122" i="26"/>
  <c r="M33" i="26"/>
  <c r="M36" i="26" s="1"/>
  <c r="M20" i="26"/>
  <c r="M23" i="26" s="1"/>
  <c r="K36" i="26"/>
  <c r="K75" i="26" s="1"/>
  <c r="D71" i="16"/>
  <c r="E54" i="16"/>
  <c r="E55" i="16"/>
  <c r="E20" i="16"/>
  <c r="E21" i="16"/>
  <c r="E22" i="16"/>
  <c r="E23" i="16"/>
  <c r="E56" i="16"/>
  <c r="E57" i="16"/>
  <c r="E58" i="16"/>
  <c r="E59" i="16"/>
  <c r="E53" i="16"/>
  <c r="E24" i="16"/>
  <c r="E25" i="16"/>
  <c r="E60" i="16"/>
  <c r="E61" i="16"/>
  <c r="E62" i="16"/>
  <c r="E63" i="16"/>
  <c r="E27" i="16"/>
  <c r="E28" i="16"/>
  <c r="E29" i="16"/>
  <c r="E30" i="16"/>
  <c r="E64" i="16"/>
  <c r="E65" i="16"/>
  <c r="E66" i="16"/>
  <c r="E67" i="16"/>
  <c r="E68" i="16"/>
  <c r="E69" i="16"/>
  <c r="E33" i="16"/>
  <c r="E34" i="16"/>
  <c r="E35" i="16"/>
  <c r="E36" i="16"/>
  <c r="E37" i="16"/>
  <c r="E38" i="16"/>
  <c r="E39" i="16"/>
  <c r="E41" i="16"/>
  <c r="E40" i="16"/>
  <c r="E42" i="16"/>
  <c r="E43" i="16"/>
  <c r="E47" i="16"/>
  <c r="E44" i="16"/>
  <c r="E45" i="16"/>
  <c r="I56" i="44" l="1"/>
  <c r="L56" i="44"/>
  <c r="M56" i="44"/>
  <c r="M58" i="44" s="1"/>
  <c r="M75" i="26"/>
  <c r="I30" i="7"/>
  <c r="E75" i="16"/>
  <c r="W75" i="26"/>
  <c r="F71" i="16"/>
  <c r="G73" i="16" s="1"/>
  <c r="W147" i="26"/>
  <c r="L58" i="44" l="1"/>
  <c r="N56" i="44"/>
  <c r="H56" i="44"/>
  <c r="H58" i="44" s="1"/>
  <c r="I58" i="44"/>
  <c r="K30" i="7"/>
  <c r="O30" i="7"/>
  <c r="J56" i="44" l="1"/>
  <c r="N58" i="44"/>
  <c r="J58" i="44"/>
  <c r="N33" i="7"/>
  <c r="M28" i="7"/>
  <c r="L52" i="44" s="1"/>
  <c r="M33" i="7"/>
  <c r="J33" i="7"/>
  <c r="I28" i="7"/>
  <c r="L54" i="44" l="1"/>
  <c r="H52" i="44"/>
  <c r="H54" i="44" s="1"/>
  <c r="B19" i="7"/>
  <c r="B20" i="7" s="1"/>
  <c r="B21" i="7" s="1"/>
  <c r="B24" i="7" s="1"/>
  <c r="B25" i="7" l="1"/>
  <c r="B26" i="7" s="1"/>
  <c r="B28" i="7" s="1"/>
  <c r="B30" i="7" s="1"/>
  <c r="B33" i="7" s="1"/>
  <c r="B34" i="7" s="1"/>
  <c r="B35" i="7" s="1"/>
  <c r="B36" i="7" s="1"/>
  <c r="B37" i="7" s="1"/>
  <c r="B38" i="7" s="1"/>
  <c r="B39" i="7" s="1"/>
  <c r="B40" i="7" s="1"/>
  <c r="B44" i="7" l="1"/>
  <c r="B45" i="7" s="1"/>
  <c r="B46" i="7" s="1"/>
  <c r="B48" i="7" s="1"/>
  <c r="B49" i="7" s="1"/>
  <c r="B50" i="7" s="1"/>
  <c r="B51" i="7" s="1"/>
  <c r="D16" i="16"/>
  <c r="D19" i="16"/>
  <c r="D54" i="16"/>
  <c r="D55" i="16"/>
  <c r="D20" i="16"/>
  <c r="D21" i="16"/>
  <c r="D22" i="16"/>
  <c r="D23" i="16"/>
  <c r="D56" i="16"/>
  <c r="D57" i="16"/>
  <c r="D58" i="16"/>
  <c r="D59" i="16"/>
  <c r="D53" i="16"/>
  <c r="D24" i="16"/>
  <c r="D25" i="16"/>
  <c r="D26" i="16"/>
  <c r="D60" i="16"/>
  <c r="D61" i="16"/>
  <c r="D62" i="16"/>
  <c r="D63" i="16"/>
  <c r="D27" i="16"/>
  <c r="D28" i="16"/>
  <c r="D29" i="16"/>
  <c r="D30" i="16"/>
  <c r="D64" i="16"/>
  <c r="D65" i="16"/>
  <c r="D66" i="16"/>
  <c r="D68" i="16"/>
  <c r="D69" i="16"/>
  <c r="D31" i="16"/>
  <c r="D33" i="16"/>
  <c r="D34" i="16"/>
  <c r="D35" i="16"/>
  <c r="D36" i="16"/>
  <c r="D37" i="16"/>
  <c r="D38" i="16"/>
  <c r="D39" i="16"/>
  <c r="D41" i="16"/>
  <c r="D40" i="16"/>
  <c r="D42" i="16"/>
  <c r="D43" i="16"/>
  <c r="D47" i="16"/>
  <c r="D44" i="16"/>
  <c r="D45" i="16"/>
  <c r="D75" i="16" l="1"/>
  <c r="F15" i="16"/>
  <c r="G15" i="16" s="1"/>
  <c r="J23" i="5"/>
  <c r="F42" i="16"/>
  <c r="F44" i="16"/>
  <c r="F43" i="16"/>
  <c r="F40" i="16"/>
  <c r="F41" i="16"/>
  <c r="F39" i="16"/>
  <c r="F38" i="16"/>
  <c r="F37" i="16"/>
  <c r="F36" i="16"/>
  <c r="F35" i="16"/>
  <c r="F34" i="16"/>
  <c r="F33" i="16"/>
  <c r="F69" i="16"/>
  <c r="H28" i="4" s="1"/>
  <c r="F68" i="16"/>
  <c r="H27" i="4" s="1"/>
  <c r="F67" i="16"/>
  <c r="H26" i="4" s="1"/>
  <c r="F66" i="16"/>
  <c r="H25" i="4" s="1"/>
  <c r="F65" i="16"/>
  <c r="H24" i="4" s="1"/>
  <c r="F64" i="16"/>
  <c r="H23" i="4" s="1"/>
  <c r="F30" i="16"/>
  <c r="F25" i="16"/>
  <c r="F24" i="16"/>
  <c r="F53" i="16"/>
  <c r="F58" i="16"/>
  <c r="F57" i="16"/>
  <c r="F56" i="16"/>
  <c r="F22" i="16"/>
  <c r="F21" i="16"/>
  <c r="F20" i="16"/>
  <c r="F54" i="16"/>
  <c r="F19" i="16"/>
  <c r="F16" i="16"/>
  <c r="G16" i="16" s="1"/>
  <c r="F45" i="16"/>
  <c r="F47" i="16"/>
  <c r="F17" i="16"/>
  <c r="F29" i="16"/>
  <c r="F28" i="16"/>
  <c r="F27" i="16"/>
  <c r="F63" i="16"/>
  <c r="F62" i="16"/>
  <c r="F61" i="16"/>
  <c r="F60" i="16"/>
  <c r="F26" i="16"/>
  <c r="F59" i="16"/>
  <c r="F23" i="16"/>
  <c r="F55" i="16"/>
  <c r="F31" i="16"/>
  <c r="H28" i="44" l="1"/>
  <c r="J28" i="44" s="1"/>
  <c r="H25" i="44"/>
  <c r="J25" i="44" s="1"/>
  <c r="H26" i="44"/>
  <c r="J26" i="44" s="1"/>
  <c r="H21" i="44"/>
  <c r="J21" i="44" s="1"/>
  <c r="H22" i="44"/>
  <c r="J22" i="44" s="1"/>
  <c r="G52" i="16"/>
  <c r="H28" i="5"/>
  <c r="H25" i="5"/>
  <c r="H26" i="5"/>
  <c r="H27" i="5"/>
  <c r="H19" i="4"/>
  <c r="H16" i="4"/>
  <c r="H17" i="4"/>
  <c r="H18" i="4"/>
  <c r="H24" i="5"/>
  <c r="H17" i="5"/>
  <c r="H18" i="5"/>
  <c r="H16" i="5"/>
  <c r="H19" i="5"/>
  <c r="G70" i="16"/>
  <c r="H23" i="5"/>
  <c r="H20" i="5"/>
  <c r="H21" i="5"/>
  <c r="C75" i="16"/>
  <c r="F75" i="16"/>
  <c r="H22" i="5"/>
  <c r="G17" i="16"/>
  <c r="H36" i="5" l="1"/>
  <c r="G75" i="16"/>
  <c r="H33" i="5"/>
  <c r="H35" i="5"/>
  <c r="R48" i="7" l="1"/>
  <c r="Q48" i="7"/>
  <c r="T48" i="7" l="1"/>
  <c r="D24" i="24"/>
  <c r="E24" i="24"/>
  <c r="A7" i="13"/>
  <c r="A7" i="14"/>
  <c r="N44" i="7"/>
  <c r="M44" i="7"/>
  <c r="J44" i="7"/>
  <c r="I44" i="7"/>
  <c r="Q49" i="7"/>
  <c r="N18" i="7"/>
  <c r="M18" i="7"/>
  <c r="J18" i="7"/>
  <c r="I18" i="7"/>
  <c r="Q44" i="7" l="1"/>
  <c r="R44" i="7"/>
  <c r="R24" i="7"/>
  <c r="R33" i="7"/>
  <c r="Q24" i="7"/>
  <c r="Q28" i="7"/>
  <c r="R18" i="7"/>
  <c r="Q18" i="7"/>
  <c r="T24" i="7" l="1"/>
  <c r="T44" i="7"/>
  <c r="T18" i="7"/>
  <c r="H37" i="5" l="1"/>
  <c r="A135" i="40" l="1"/>
  <c r="B135" i="40"/>
  <c r="D77" i="40"/>
  <c r="D113" i="40" l="1"/>
  <c r="D60" i="40"/>
  <c r="G35" i="39"/>
  <c r="D62" i="40" l="1"/>
  <c r="D115" i="40"/>
  <c r="G53" i="39"/>
  <c r="G59" i="39" l="1"/>
  <c r="D132" i="40"/>
  <c r="D72" i="40"/>
  <c r="F41" i="37"/>
  <c r="K91" i="44" l="1"/>
  <c r="K92" i="44" s="1"/>
  <c r="G63" i="39"/>
  <c r="M25" i="7"/>
  <c r="P25" i="7"/>
  <c r="P19" i="7"/>
  <c r="G104" i="27"/>
  <c r="J104" i="27"/>
  <c r="P20" i="7"/>
  <c r="K352" i="27"/>
  <c r="N352" i="27"/>
  <c r="P45" i="7" s="1"/>
  <c r="P46" i="7" s="1"/>
  <c r="L45" i="7"/>
  <c r="H60" i="27"/>
  <c r="G60" i="27"/>
  <c r="J60" i="27"/>
  <c r="N28" i="7"/>
  <c r="M52" i="44" s="1"/>
  <c r="J28" i="7"/>
  <c r="O33" i="7"/>
  <c r="M54" i="44" l="1"/>
  <c r="N52" i="44"/>
  <c r="I52" i="44"/>
  <c r="L20" i="7"/>
  <c r="J354" i="27"/>
  <c r="E41" i="37"/>
  <c r="L19" i="7"/>
  <c r="P21" i="7"/>
  <c r="L46" i="7"/>
  <c r="P26" i="7"/>
  <c r="E22" i="24"/>
  <c r="M26" i="7"/>
  <c r="M45" i="7"/>
  <c r="R49" i="7"/>
  <c r="I45" i="7"/>
  <c r="I104" i="27"/>
  <c r="K28" i="7"/>
  <c r="R28" i="7"/>
  <c r="M20" i="7"/>
  <c r="N20" i="7"/>
  <c r="M19" i="7"/>
  <c r="J20" i="7"/>
  <c r="I19" i="7"/>
  <c r="K354" i="27"/>
  <c r="N354" i="27"/>
  <c r="G62" i="27"/>
  <c r="H62" i="27"/>
  <c r="J62" i="27"/>
  <c r="I60" i="27"/>
  <c r="H104" i="27"/>
  <c r="L352" i="27"/>
  <c r="O66" i="44" l="1"/>
  <c r="N54" i="44"/>
  <c r="I91" i="44"/>
  <c r="I92" i="44" s="1"/>
  <c r="I54" i="44"/>
  <c r="J52" i="44"/>
  <c r="N25" i="7"/>
  <c r="N26" i="7" s="1"/>
  <c r="L21" i="7"/>
  <c r="J25" i="7"/>
  <c r="J26" i="7" s="1"/>
  <c r="H354" i="27"/>
  <c r="H357" i="27" s="1"/>
  <c r="J357" i="27"/>
  <c r="O28" i="7"/>
  <c r="K19" i="7"/>
  <c r="O19" i="7"/>
  <c r="O20" i="7"/>
  <c r="M352" i="27"/>
  <c r="R20" i="7"/>
  <c r="I46" i="7"/>
  <c r="T49" i="7"/>
  <c r="M46" i="7"/>
  <c r="T28" i="7"/>
  <c r="M21" i="7"/>
  <c r="Q45" i="7"/>
  <c r="N45" i="7"/>
  <c r="J45" i="7"/>
  <c r="Q19" i="7"/>
  <c r="K357" i="27"/>
  <c r="N19" i="7"/>
  <c r="J19" i="7"/>
  <c r="I62" i="27"/>
  <c r="N357" i="27"/>
  <c r="L354" i="27"/>
  <c r="L357" i="27" s="1"/>
  <c r="L66" i="44" l="1"/>
  <c r="K66" i="44"/>
  <c r="J54" i="44"/>
  <c r="R25" i="7"/>
  <c r="O21" i="7"/>
  <c r="K45" i="7"/>
  <c r="K46" i="7" s="1"/>
  <c r="O45" i="7"/>
  <c r="O46" i="7" s="1"/>
  <c r="M354" i="27"/>
  <c r="M357" i="27" s="1"/>
  <c r="O25" i="7"/>
  <c r="O26" i="7" s="1"/>
  <c r="J46" i="7"/>
  <c r="Q46" i="7"/>
  <c r="N46" i="7"/>
  <c r="R26" i="7"/>
  <c r="J21" i="7"/>
  <c r="N21" i="7"/>
  <c r="R45" i="7"/>
  <c r="T45" i="7" s="1"/>
  <c r="R19" i="7"/>
  <c r="T19" i="7" s="1"/>
  <c r="M66" i="44" l="1"/>
  <c r="N66" i="44"/>
  <c r="I66" i="44"/>
  <c r="R46" i="7"/>
  <c r="T46" i="7" s="1"/>
  <c r="R21" i="7"/>
  <c r="F21" i="33" l="1"/>
  <c r="E14" i="36" l="1"/>
  <c r="L41" i="29"/>
  <c r="R33" i="30"/>
  <c r="P33" i="30"/>
  <c r="R49" i="30"/>
  <c r="R37" i="30"/>
  <c r="P37" i="30"/>
  <c r="R21" i="30"/>
  <c r="P21" i="30"/>
  <c r="R41" i="30"/>
  <c r="P41" i="30"/>
  <c r="R56" i="30" l="1"/>
  <c r="E31" i="36"/>
  <c r="E32" i="36" s="1"/>
  <c r="M14" i="36" s="1"/>
  <c r="P56" i="30"/>
  <c r="A11" i="8"/>
  <c r="F39" i="11" l="1"/>
  <c r="H39" i="11" s="1"/>
  <c r="H43" i="11" s="1"/>
  <c r="A12" i="8"/>
  <c r="A13" i="8" s="1"/>
  <c r="A14" i="8" s="1"/>
  <c r="A15" i="8" s="1"/>
  <c r="A16" i="8" s="1"/>
  <c r="A17" i="8" s="1"/>
  <c r="A18" i="8" s="1"/>
  <c r="G44" i="13"/>
  <c r="A6" i="13"/>
  <c r="A13" i="14"/>
  <c r="A16" i="14" s="1"/>
  <c r="A17" i="14" s="1"/>
  <c r="A18" i="14" s="1"/>
  <c r="A19" i="14" s="1"/>
  <c r="A22" i="14" s="1"/>
  <c r="A23" i="14" s="1"/>
  <c r="A24" i="14" s="1"/>
  <c r="A25" i="14" s="1"/>
  <c r="T66" i="13"/>
  <c r="A39" i="13"/>
  <c r="A38" i="13"/>
  <c r="H49" i="11" l="1"/>
  <c r="A20" i="8"/>
  <c r="A21" i="8" s="1"/>
  <c r="A22" i="8" s="1"/>
  <c r="A23" i="8" s="1"/>
  <c r="A24" i="8" s="1"/>
  <c r="A25" i="8" s="1"/>
  <c r="A26" i="8" s="1"/>
  <c r="A27" i="8" s="1"/>
  <c r="A28" i="8" s="1"/>
  <c r="A29" i="8" s="1"/>
  <c r="A30" i="8" s="1"/>
  <c r="A31" i="8" s="1"/>
  <c r="A32" i="8" s="1"/>
  <c r="A33" i="8" s="1"/>
  <c r="A34" i="8" s="1"/>
  <c r="A37" i="8" s="1"/>
  <c r="A38" i="8" s="1"/>
  <c r="A39" i="8" s="1"/>
  <c r="A40" i="8" s="1"/>
  <c r="A41" i="8" s="1"/>
  <c r="A40" i="13"/>
  <c r="A5" i="8"/>
  <c r="A6" i="14"/>
  <c r="A43" i="29" l="1"/>
  <c r="D21" i="33" l="1"/>
  <c r="R34" i="7" l="1"/>
  <c r="Q34" i="7" l="1"/>
  <c r="T34" i="7" l="1"/>
  <c r="R30" i="7"/>
  <c r="Q30" i="7"/>
  <c r="F21" i="35"/>
  <c r="D26" i="9" l="1"/>
  <c r="T30" i="7"/>
  <c r="N58" i="30" l="1"/>
  <c r="M35" i="7" s="1"/>
  <c r="P35" i="7"/>
  <c r="P58" i="30"/>
  <c r="N35" i="7" s="1"/>
  <c r="O35" i="7" l="1"/>
  <c r="H29" i="4" l="1"/>
  <c r="D22" i="18" l="1"/>
  <c r="D22" i="19"/>
  <c r="G24" i="24" l="1"/>
  <c r="D25" i="9" l="1"/>
  <c r="B17" i="5" l="1"/>
  <c r="B18" i="5" s="1"/>
  <c r="B19" i="5" s="1"/>
  <c r="B20" i="5" s="1"/>
  <c r="B21" i="5" s="1"/>
  <c r="B22" i="5" s="1"/>
  <c r="B23" i="5" s="1"/>
  <c r="B24" i="5" l="1"/>
  <c r="B25" i="5" l="1"/>
  <c r="B26" i="5" s="1"/>
  <c r="B27" i="5" s="1"/>
  <c r="B28" i="5" s="1"/>
  <c r="D21" i="12"/>
  <c r="H32" i="38" l="1"/>
  <c r="H30" i="38"/>
  <c r="H20" i="38"/>
  <c r="H15" i="38"/>
  <c r="H26" i="38"/>
  <c r="H18" i="38"/>
  <c r="H14" i="38"/>
  <c r="H24" i="38"/>
  <c r="H17" i="38"/>
  <c r="H28" i="38"/>
  <c r="H22" i="38"/>
  <c r="H16" i="38"/>
  <c r="B29" i="5"/>
  <c r="B30" i="5" s="1"/>
  <c r="B32" i="5" s="1"/>
  <c r="F38" i="38"/>
  <c r="D23" i="12"/>
  <c r="F21" i="12" s="1"/>
  <c r="J35" i="22"/>
  <c r="H38" i="38" l="1"/>
  <c r="B33" i="5"/>
  <c r="B34" i="5" s="1"/>
  <c r="D19" i="12"/>
  <c r="H21" i="12"/>
  <c r="J27" i="5" s="1"/>
  <c r="H23" i="44" l="1"/>
  <c r="J23" i="44" s="1"/>
  <c r="F19" i="12"/>
  <c r="L30" i="34"/>
  <c r="H28" i="23"/>
  <c r="J28" i="23" s="1"/>
  <c r="B35" i="5"/>
  <c r="B36" i="5" s="1"/>
  <c r="B37" i="5" s="1"/>
  <c r="B38" i="5" s="1"/>
  <c r="B40" i="5" s="1"/>
  <c r="H25" i="9"/>
  <c r="L25" i="9" s="1"/>
  <c r="H36" i="38"/>
  <c r="H31" i="9"/>
  <c r="H26" i="9"/>
  <c r="N30" i="34" l="1"/>
  <c r="H28" i="32"/>
  <c r="I33" i="7" l="1"/>
  <c r="H27" i="32"/>
  <c r="A243" i="27" l="1"/>
  <c r="F99" i="26" s="1"/>
  <c r="K183" i="25"/>
  <c r="K177" i="25"/>
  <c r="K160" i="25"/>
  <c r="K130" i="25"/>
  <c r="K178" i="25"/>
  <c r="K140" i="25"/>
  <c r="K171" i="25"/>
  <c r="K128" i="25"/>
  <c r="K154" i="25"/>
  <c r="K186" i="25"/>
  <c r="K153" i="25"/>
  <c r="K129" i="25"/>
  <c r="K161" i="25"/>
  <c r="K150" i="25"/>
  <c r="K122" i="25"/>
  <c r="K162" i="25"/>
  <c r="K132" i="25"/>
  <c r="K151" i="25"/>
  <c r="K120" i="25"/>
  <c r="K131" i="25"/>
  <c r="K169" i="25"/>
  <c r="K145" i="25"/>
  <c r="K121" i="25"/>
  <c r="K187" i="25"/>
  <c r="K142" i="25"/>
  <c r="K118" i="25"/>
  <c r="K152" i="25"/>
  <c r="K117" i="25"/>
  <c r="K143" i="25"/>
  <c r="K176" i="25"/>
  <c r="K123" i="25"/>
  <c r="K163" i="25"/>
  <c r="K141" i="25"/>
  <c r="K188" i="25"/>
  <c r="K170" i="25"/>
  <c r="K134" i="25"/>
  <c r="K185" i="25"/>
  <c r="K144" i="25"/>
  <c r="K184" i="25"/>
  <c r="K135" i="25"/>
  <c r="K164" i="25"/>
  <c r="K119" i="25"/>
  <c r="K159" i="25"/>
  <c r="K133" i="25"/>
  <c r="K69" i="25"/>
  <c r="K21" i="25"/>
  <c r="K147" i="25"/>
  <c r="K124" i="25"/>
  <c r="K72" i="25"/>
  <c r="K27" i="25"/>
  <c r="K102" i="25"/>
  <c r="K82" i="25"/>
  <c r="K66" i="25"/>
  <c r="K29" i="25"/>
  <c r="K166" i="25"/>
  <c r="K101" i="25"/>
  <c r="K61" i="25"/>
  <c r="K17" i="25"/>
  <c r="K84" i="25"/>
  <c r="K40" i="25"/>
  <c r="K103" i="25"/>
  <c r="K87" i="25"/>
  <c r="K71" i="25"/>
  <c r="K43" i="25"/>
  <c r="K19" i="25"/>
  <c r="K137" i="25"/>
  <c r="L78" i="26"/>
  <c r="R131" i="26"/>
  <c r="L130" i="26"/>
  <c r="N112" i="26"/>
  <c r="R129" i="26"/>
  <c r="K117" i="26"/>
  <c r="P131" i="26"/>
  <c r="N115" i="26"/>
  <c r="O115" i="26"/>
  <c r="O127" i="26"/>
  <c r="N83" i="26"/>
  <c r="P96" i="26"/>
  <c r="L115" i="26"/>
  <c r="K115" i="26"/>
  <c r="P129" i="26"/>
  <c r="L119" i="26"/>
  <c r="P115" i="26"/>
  <c r="N130" i="26"/>
  <c r="K114" i="26"/>
  <c r="P128" i="26"/>
  <c r="L116" i="26"/>
  <c r="L101" i="26"/>
  <c r="K110" i="26"/>
  <c r="L113" i="26"/>
  <c r="R102" i="26"/>
  <c r="O119" i="26"/>
  <c r="O136" i="26"/>
  <c r="K65" i="25"/>
  <c r="K155" i="25"/>
  <c r="K104" i="25"/>
  <c r="K64" i="25"/>
  <c r="K98" i="25"/>
  <c r="K78" i="25"/>
  <c r="K62" i="25"/>
  <c r="K25" i="25"/>
  <c r="K180" i="25"/>
  <c r="K93" i="25"/>
  <c r="K53" i="25"/>
  <c r="K108" i="25"/>
  <c r="K60" i="25"/>
  <c r="K20" i="25"/>
  <c r="K146" i="25"/>
  <c r="K99" i="25"/>
  <c r="K83" i="25"/>
  <c r="K63" i="25"/>
  <c r="R116" i="26"/>
  <c r="L100" i="26"/>
  <c r="P82" i="26"/>
  <c r="K128" i="26"/>
  <c r="O126" i="26"/>
  <c r="P119" i="26"/>
  <c r="N134" i="26"/>
  <c r="O131" i="26"/>
  <c r="R132" i="26"/>
  <c r="R126" i="26"/>
  <c r="K102" i="26"/>
  <c r="P84" i="26"/>
  <c r="R133" i="26"/>
  <c r="P117" i="26"/>
  <c r="N132" i="26"/>
  <c r="R115" i="26"/>
  <c r="N118" i="26"/>
  <c r="K133" i="26"/>
  <c r="P116" i="26"/>
  <c r="N131" i="26"/>
  <c r="L128" i="26"/>
  <c r="L96" i="26"/>
  <c r="R111" i="26"/>
  <c r="O99" i="26"/>
  <c r="L98" i="26"/>
  <c r="R82" i="26"/>
  <c r="O135" i="26"/>
  <c r="P101" i="26"/>
  <c r="N128" i="26"/>
  <c r="P126" i="26"/>
  <c r="L124" i="26"/>
  <c r="O100" i="26"/>
  <c r="P99" i="26"/>
  <c r="O101" i="26"/>
  <c r="R125" i="26"/>
  <c r="K109" i="25"/>
  <c r="K57" i="25"/>
  <c r="K189" i="25"/>
  <c r="K88" i="25"/>
  <c r="K56" i="25"/>
  <c r="K94" i="25"/>
  <c r="K74" i="25"/>
  <c r="K54" i="25"/>
  <c r="K136" i="25"/>
  <c r="K125" i="25"/>
  <c r="K81" i="25"/>
  <c r="K45" i="25"/>
  <c r="K172" i="25"/>
  <c r="K100" i="25"/>
  <c r="K52" i="25"/>
  <c r="K156" i="25"/>
  <c r="K95" i="25"/>
  <c r="K79" i="25"/>
  <c r="K55" i="25"/>
  <c r="K26" i="25"/>
  <c r="K165" i="25"/>
  <c r="R100" i="26"/>
  <c r="O103" i="26"/>
  <c r="L104" i="26"/>
  <c r="P133" i="26"/>
  <c r="O118" i="26"/>
  <c r="O124" i="26"/>
  <c r="N126" i="26"/>
  <c r="L127" i="26"/>
  <c r="O133" i="26"/>
  <c r="R124" i="26"/>
  <c r="R130" i="26"/>
  <c r="K91" i="26"/>
  <c r="R113" i="26"/>
  <c r="O130" i="26"/>
  <c r="N124" i="26"/>
  <c r="O134" i="26"/>
  <c r="K125" i="26"/>
  <c r="P135" i="26"/>
  <c r="N119" i="26"/>
  <c r="K134" i="26"/>
  <c r="L136" i="26"/>
  <c r="K89" i="25"/>
  <c r="K49" i="25"/>
  <c r="K16" i="25"/>
  <c r="K80" i="25"/>
  <c r="K48" i="25"/>
  <c r="K190" i="25"/>
  <c r="K110" i="25"/>
  <c r="K90" i="25"/>
  <c r="K70" i="25"/>
  <c r="K46" i="25"/>
  <c r="K18" i="25"/>
  <c r="K73" i="25"/>
  <c r="K28" i="25"/>
  <c r="K92" i="25"/>
  <c r="K44" i="25"/>
  <c r="K173" i="25"/>
  <c r="K111" i="25"/>
  <c r="K91" i="25"/>
  <c r="K75" i="25"/>
  <c r="K47" i="25"/>
  <c r="K22" i="25"/>
  <c r="K179" i="25"/>
  <c r="K132" i="26"/>
  <c r="L85" i="26"/>
  <c r="R78" i="26"/>
  <c r="P78" i="26"/>
  <c r="L133" i="26"/>
  <c r="N114" i="26"/>
  <c r="K129" i="26"/>
  <c r="L135" i="26"/>
  <c r="O125" i="26"/>
  <c r="R114" i="26"/>
  <c r="N104" i="26"/>
  <c r="P111" i="26"/>
  <c r="L125" i="26"/>
  <c r="O128" i="26"/>
  <c r="K127" i="26"/>
  <c r="L129" i="26"/>
  <c r="O132" i="26"/>
  <c r="P127" i="26"/>
  <c r="L131" i="26"/>
  <c r="K126" i="26"/>
  <c r="P136" i="26"/>
  <c r="L83" i="26"/>
  <c r="N84" i="26"/>
  <c r="R96" i="26"/>
  <c r="O104" i="26"/>
  <c r="L82" i="26"/>
  <c r="L112" i="26"/>
  <c r="N113" i="26"/>
  <c r="O114" i="26"/>
  <c r="P114" i="26"/>
  <c r="N133" i="26"/>
  <c r="K100" i="26"/>
  <c r="R104" i="26"/>
  <c r="R83" i="26"/>
  <c r="R99" i="26"/>
  <c r="N98" i="26"/>
  <c r="O102" i="26"/>
  <c r="O112" i="26"/>
  <c r="K96" i="26"/>
  <c r="R134" i="26"/>
  <c r="K131" i="26"/>
  <c r="N127" i="26"/>
  <c r="L126" i="26"/>
  <c r="P85" i="26"/>
  <c r="N100" i="26"/>
  <c r="N136" i="26"/>
  <c r="L134" i="26"/>
  <c r="O78" i="26"/>
  <c r="R136" i="26"/>
  <c r="K116" i="26"/>
  <c r="R117" i="26"/>
  <c r="N101" i="26"/>
  <c r="K112" i="26"/>
  <c r="K98" i="26"/>
  <c r="K78" i="26"/>
  <c r="O129" i="26"/>
  <c r="O85" i="26"/>
  <c r="O116" i="26"/>
  <c r="K118" i="26"/>
  <c r="K136" i="26"/>
  <c r="R101" i="26"/>
  <c r="R91" i="26"/>
  <c r="R94" i="26" s="1"/>
  <c r="O113" i="26"/>
  <c r="P124" i="26"/>
  <c r="N85" i="26"/>
  <c r="P118" i="26"/>
  <c r="P103" i="26"/>
  <c r="K124" i="26"/>
  <c r="L84" i="26"/>
  <c r="N96" i="26"/>
  <c r="L103" i="26"/>
  <c r="R98" i="26"/>
  <c r="P113" i="26"/>
  <c r="K101" i="26"/>
  <c r="R118" i="26"/>
  <c r="R103" i="26"/>
  <c r="P125" i="26"/>
  <c r="N125" i="26"/>
  <c r="L118" i="26"/>
  <c r="O96" i="26"/>
  <c r="K113" i="26"/>
  <c r="R84" i="26"/>
  <c r="K119" i="26"/>
  <c r="N102" i="26"/>
  <c r="O98" i="26"/>
  <c r="K84" i="26"/>
  <c r="N135" i="26"/>
  <c r="N103" i="26"/>
  <c r="K130" i="26"/>
  <c r="L110" i="26"/>
  <c r="P112" i="26"/>
  <c r="N116" i="26"/>
  <c r="P130" i="26"/>
  <c r="O110" i="26"/>
  <c r="P110" i="26"/>
  <c r="P98" i="26"/>
  <c r="R85" i="26"/>
  <c r="K103" i="26"/>
  <c r="O84" i="26"/>
  <c r="N110" i="26"/>
  <c r="K135" i="26"/>
  <c r="N129" i="26"/>
  <c r="L132" i="26"/>
  <c r="O83" i="26"/>
  <c r="R110" i="26"/>
  <c r="K82" i="26"/>
  <c r="R112" i="26"/>
  <c r="K85" i="26"/>
  <c r="N91" i="26"/>
  <c r="N94" i="26" s="1"/>
  <c r="P104" i="26"/>
  <c r="O117" i="26"/>
  <c r="R119" i="26"/>
  <c r="L117" i="26"/>
  <c r="O82" i="26"/>
  <c r="L91" i="26"/>
  <c r="L94" i="26" s="1"/>
  <c r="P91" i="26"/>
  <c r="P94" i="26" s="1"/>
  <c r="R127" i="26"/>
  <c r="P134" i="26"/>
  <c r="N78" i="26"/>
  <c r="P83" i="26"/>
  <c r="L111" i="26"/>
  <c r="N82" i="26"/>
  <c r="O111" i="26"/>
  <c r="R135" i="26"/>
  <c r="P132" i="26"/>
  <c r="N111" i="26"/>
  <c r="K104" i="26"/>
  <c r="K83" i="26"/>
  <c r="L102" i="26"/>
  <c r="L99" i="26"/>
  <c r="P102" i="26"/>
  <c r="K111" i="26"/>
  <c r="L114" i="26"/>
  <c r="R128" i="26"/>
  <c r="N99" i="26"/>
  <c r="P100" i="26"/>
  <c r="N117" i="26"/>
  <c r="O91" i="26"/>
  <c r="Q33" i="7"/>
  <c r="T33" i="7" s="1"/>
  <c r="K33" i="7"/>
  <c r="I25" i="7"/>
  <c r="G354" i="27"/>
  <c r="G357" i="27" s="1"/>
  <c r="D21" i="35"/>
  <c r="K99" i="26" l="1"/>
  <c r="K107" i="26" s="1"/>
  <c r="F136" i="26"/>
  <c r="R143" i="26"/>
  <c r="P143" i="26"/>
  <c r="O143" i="26"/>
  <c r="N143" i="26"/>
  <c r="L143" i="26"/>
  <c r="K143" i="26"/>
  <c r="F143" i="26"/>
  <c r="I26" i="7"/>
  <c r="F80" i="26"/>
  <c r="N79" i="26"/>
  <c r="L80" i="26"/>
  <c r="P80" i="26"/>
  <c r="R79" i="26"/>
  <c r="N80" i="26"/>
  <c r="O79" i="26"/>
  <c r="K79" i="26"/>
  <c r="P79" i="26"/>
  <c r="F79" i="26"/>
  <c r="K80" i="26"/>
  <c r="L79" i="26"/>
  <c r="R80" i="26"/>
  <c r="O80" i="26"/>
  <c r="F133" i="26"/>
  <c r="F134" i="26"/>
  <c r="F135" i="26"/>
  <c r="N81" i="26"/>
  <c r="F118" i="26"/>
  <c r="F98" i="26"/>
  <c r="R81" i="26"/>
  <c r="F129" i="26"/>
  <c r="F78" i="26"/>
  <c r="K81" i="26"/>
  <c r="F124" i="26"/>
  <c r="L81" i="26"/>
  <c r="F111" i="26"/>
  <c r="F114" i="26"/>
  <c r="F85" i="26"/>
  <c r="F116" i="26"/>
  <c r="F127" i="26"/>
  <c r="F125" i="26"/>
  <c r="F101" i="26"/>
  <c r="P81" i="26"/>
  <c r="F112" i="26"/>
  <c r="F131" i="26"/>
  <c r="F82" i="26"/>
  <c r="F126" i="26"/>
  <c r="F102" i="26"/>
  <c r="F83" i="26"/>
  <c r="F113" i="26"/>
  <c r="F91" i="26"/>
  <c r="F130" i="26"/>
  <c r="F110" i="26"/>
  <c r="F81" i="26"/>
  <c r="F100" i="26"/>
  <c r="F115" i="26"/>
  <c r="O81" i="26"/>
  <c r="F117" i="26"/>
  <c r="F96" i="26"/>
  <c r="F132" i="26"/>
  <c r="F104" i="26"/>
  <c r="F119" i="26"/>
  <c r="F103" i="26"/>
  <c r="F84" i="26"/>
  <c r="F128" i="26"/>
  <c r="M103" i="26"/>
  <c r="M82" i="26"/>
  <c r="M98" i="26"/>
  <c r="M130" i="26"/>
  <c r="C20" i="25"/>
  <c r="C79" i="25"/>
  <c r="C72" i="25"/>
  <c r="C73" i="25"/>
  <c r="C101" i="25"/>
  <c r="C93" i="25"/>
  <c r="C109" i="25"/>
  <c r="C52" i="25"/>
  <c r="C54" i="25"/>
  <c r="C47" i="25"/>
  <c r="C26" i="25"/>
  <c r="C38" i="25"/>
  <c r="C44" i="25"/>
  <c r="C30" i="25"/>
  <c r="K32" i="25"/>
  <c r="K34" i="25"/>
  <c r="K38" i="25"/>
  <c r="C78" i="25"/>
  <c r="C71" i="25"/>
  <c r="C88" i="25"/>
  <c r="C69" i="25"/>
  <c r="C90" i="25"/>
  <c r="C62" i="25"/>
  <c r="C63" i="25"/>
  <c r="C31" i="25"/>
  <c r="C28" i="25"/>
  <c r="C43" i="25"/>
  <c r="C21" i="25"/>
  <c r="C34" i="25"/>
  <c r="C29" i="25"/>
  <c r="K36" i="25"/>
  <c r="K31" i="25"/>
  <c r="K30" i="25"/>
  <c r="C100" i="25"/>
  <c r="C89" i="25"/>
  <c r="C102" i="25"/>
  <c r="C70" i="25"/>
  <c r="C87" i="25"/>
  <c r="C61" i="25"/>
  <c r="C64" i="25"/>
  <c r="C55" i="25"/>
  <c r="C45" i="25"/>
  <c r="C33" i="25"/>
  <c r="C27" i="25"/>
  <c r="C39" i="25"/>
  <c r="C32" i="25"/>
  <c r="K33" i="25"/>
  <c r="K35" i="25"/>
  <c r="C108" i="25"/>
  <c r="C80" i="25"/>
  <c r="C92" i="25"/>
  <c r="C98" i="25"/>
  <c r="C99" i="25"/>
  <c r="C81" i="25"/>
  <c r="C91" i="25"/>
  <c r="C82" i="25"/>
  <c r="C53" i="25"/>
  <c r="C60" i="25"/>
  <c r="C46" i="25"/>
  <c r="C25" i="25"/>
  <c r="C36" i="25"/>
  <c r="C37" i="25"/>
  <c r="C19" i="25"/>
  <c r="C17" i="25"/>
  <c r="C16" i="25"/>
  <c r="K37" i="25"/>
  <c r="K39" i="25"/>
  <c r="M119" i="26"/>
  <c r="K181" i="25"/>
  <c r="Q128" i="26"/>
  <c r="M113" i="26"/>
  <c r="M100" i="26"/>
  <c r="K25" i="7"/>
  <c r="K26" i="7" s="1"/>
  <c r="I354" i="27"/>
  <c r="I357" i="27" s="1"/>
  <c r="M136" i="26"/>
  <c r="K138" i="25"/>
  <c r="H19" i="6" s="1"/>
  <c r="Q116" i="26"/>
  <c r="K148" i="25"/>
  <c r="H20" i="6" s="1"/>
  <c r="M116" i="26"/>
  <c r="Q82" i="26"/>
  <c r="M127" i="26"/>
  <c r="M135" i="26"/>
  <c r="Q117" i="26"/>
  <c r="M112" i="26"/>
  <c r="M101" i="26"/>
  <c r="Q111" i="26"/>
  <c r="Q84" i="26"/>
  <c r="K167" i="25"/>
  <c r="M83" i="26"/>
  <c r="Q133" i="26"/>
  <c r="M111" i="26"/>
  <c r="M85" i="26"/>
  <c r="Q85" i="26"/>
  <c r="Q131" i="26"/>
  <c r="M115" i="26"/>
  <c r="Q129" i="26"/>
  <c r="M104" i="26"/>
  <c r="M131" i="26"/>
  <c r="P122" i="26"/>
  <c r="M84" i="26"/>
  <c r="P139" i="26"/>
  <c r="Q114" i="26"/>
  <c r="K139" i="26"/>
  <c r="M124" i="26"/>
  <c r="R122" i="26"/>
  <c r="Q98" i="26"/>
  <c r="N107" i="26"/>
  <c r="Q78" i="26"/>
  <c r="Q104" i="26"/>
  <c r="Q132" i="26"/>
  <c r="N139" i="26"/>
  <c r="Q126" i="26"/>
  <c r="K112" i="25"/>
  <c r="Q136" i="26"/>
  <c r="M110" i="26"/>
  <c r="K122" i="26"/>
  <c r="M114" i="26"/>
  <c r="K50" i="25"/>
  <c r="K126" i="25"/>
  <c r="Q83" i="26"/>
  <c r="N122" i="26"/>
  <c r="Q96" i="26"/>
  <c r="O107" i="26"/>
  <c r="M96" i="26"/>
  <c r="R107" i="26"/>
  <c r="M126" i="26"/>
  <c r="Q125" i="26"/>
  <c r="M132" i="26"/>
  <c r="Q130" i="26"/>
  <c r="R139" i="26"/>
  <c r="O139" i="26"/>
  <c r="Q124" i="26"/>
  <c r="Q103" i="26"/>
  <c r="K58" i="25"/>
  <c r="Q100" i="26"/>
  <c r="Q99" i="26"/>
  <c r="M128" i="26"/>
  <c r="Q119" i="26"/>
  <c r="Q127" i="26"/>
  <c r="M117" i="26"/>
  <c r="Q112" i="26"/>
  <c r="M125" i="26"/>
  <c r="Q118" i="26"/>
  <c r="K191" i="25"/>
  <c r="Q101" i="26"/>
  <c r="L139" i="26"/>
  <c r="Q135" i="26"/>
  <c r="M102" i="26"/>
  <c r="K85" i="25"/>
  <c r="K157" i="25"/>
  <c r="Q115" i="26"/>
  <c r="K96" i="25"/>
  <c r="O94" i="26"/>
  <c r="Q91" i="26"/>
  <c r="Q94" i="26" s="1"/>
  <c r="O122" i="26"/>
  <c r="Q110" i="26"/>
  <c r="L122" i="26"/>
  <c r="Q113" i="26"/>
  <c r="M118" i="26"/>
  <c r="M78" i="26"/>
  <c r="M99" i="26"/>
  <c r="Q102" i="26"/>
  <c r="M129" i="26"/>
  <c r="K23" i="25"/>
  <c r="M134" i="26"/>
  <c r="Q134" i="26"/>
  <c r="K94" i="26"/>
  <c r="M91" i="26"/>
  <c r="M94" i="26" s="1"/>
  <c r="K174" i="25"/>
  <c r="L107" i="26"/>
  <c r="M133" i="26"/>
  <c r="K67" i="25"/>
  <c r="K105" i="25"/>
  <c r="P107" i="26"/>
  <c r="K76" i="25"/>
  <c r="K20" i="7"/>
  <c r="K21" i="7" s="1"/>
  <c r="D22" i="24"/>
  <c r="Q25" i="7"/>
  <c r="A21" i="12"/>
  <c r="A23" i="12" s="1"/>
  <c r="Q143" i="26" l="1"/>
  <c r="M143" i="26"/>
  <c r="J66" i="44"/>
  <c r="Q80" i="26"/>
  <c r="M79" i="26"/>
  <c r="Q79" i="26"/>
  <c r="M80" i="26"/>
  <c r="P88" i="26"/>
  <c r="P147" i="26" s="1"/>
  <c r="Q81" i="26"/>
  <c r="L88" i="26"/>
  <c r="L147" i="26" s="1"/>
  <c r="R88" i="26"/>
  <c r="R147" i="26" s="1"/>
  <c r="K88" i="26"/>
  <c r="K147" i="26" s="1"/>
  <c r="O88" i="26"/>
  <c r="O147" i="26" s="1"/>
  <c r="N88" i="26"/>
  <c r="N147" i="26" s="1"/>
  <c r="M81" i="26"/>
  <c r="K41" i="25"/>
  <c r="Q122" i="26"/>
  <c r="K193" i="25"/>
  <c r="H25" i="6"/>
  <c r="M122" i="26"/>
  <c r="Q139" i="26"/>
  <c r="M139" i="26"/>
  <c r="Q107" i="26"/>
  <c r="M107" i="26"/>
  <c r="D16" i="19"/>
  <c r="D16" i="18"/>
  <c r="T25" i="7"/>
  <c r="Q26" i="7"/>
  <c r="T26" i="7" s="1"/>
  <c r="I21" i="7"/>
  <c r="Q20" i="7"/>
  <c r="T20" i="7" s="1"/>
  <c r="H66" i="44" l="1"/>
  <c r="Q88" i="26"/>
  <c r="Q147" i="26" s="1"/>
  <c r="M88" i="26"/>
  <c r="M147" i="26" s="1"/>
  <c r="Q21" i="7"/>
  <c r="T21" i="7" s="1"/>
  <c r="A26" i="6"/>
  <c r="A28" i="6" s="1"/>
  <c r="A29" i="6" s="1"/>
  <c r="A30" i="6" s="1"/>
  <c r="A31" i="6" s="1"/>
  <c r="A32" i="6" s="1"/>
  <c r="A33" i="6" s="1"/>
  <c r="A34" i="6" s="1"/>
  <c r="A35" i="6" s="1"/>
  <c r="A36" i="6" s="1"/>
  <c r="A37" i="6" s="1"/>
  <c r="A38" i="6" s="1"/>
  <c r="A41" i="6" s="1"/>
  <c r="A42" i="6" s="1"/>
  <c r="A43" i="6" s="1"/>
  <c r="A44" i="6" s="1"/>
  <c r="J28" i="6"/>
  <c r="J29" i="6"/>
  <c r="J30" i="6"/>
  <c r="J31" i="6"/>
  <c r="J32" i="6"/>
  <c r="J34" i="6"/>
  <c r="H18" i="6"/>
  <c r="H21" i="6"/>
  <c r="H22" i="6"/>
  <c r="H23" i="6"/>
  <c r="H24" i="6"/>
  <c r="A45" i="6" l="1"/>
  <c r="A47" i="6" s="1"/>
  <c r="H26" i="6"/>
  <c r="B52" i="7" l="1"/>
  <c r="B54" i="7" s="1"/>
  <c r="M36" i="7"/>
  <c r="M38" i="7" s="1"/>
  <c r="L60" i="44" l="1"/>
  <c r="N36" i="7"/>
  <c r="M40" i="7" l="1"/>
  <c r="O36" i="7"/>
  <c r="G43" i="29"/>
  <c r="I36" i="7"/>
  <c r="J50" i="7"/>
  <c r="L67" i="44" l="1"/>
  <c r="I35" i="7"/>
  <c r="I38" i="7" s="1"/>
  <c r="J36" i="7"/>
  <c r="H58" i="30"/>
  <c r="P52" i="7"/>
  <c r="O61" i="44" s="1"/>
  <c r="H60" i="44" l="1"/>
  <c r="I40" i="7"/>
  <c r="L50" i="7"/>
  <c r="K50" i="7"/>
  <c r="K52" i="7" s="1"/>
  <c r="K54" i="7" s="1"/>
  <c r="L36" i="7"/>
  <c r="H42" i="6" s="1"/>
  <c r="K36" i="7"/>
  <c r="P54" i="7"/>
  <c r="O68" i="44" s="1"/>
  <c r="N50" i="7"/>
  <c r="J35" i="7"/>
  <c r="M50" i="7"/>
  <c r="I52" i="7"/>
  <c r="O50" i="7"/>
  <c r="O52" i="7" s="1"/>
  <c r="O54" i="7" s="1"/>
  <c r="N68" i="44" s="1"/>
  <c r="R51" i="7"/>
  <c r="H61" i="44" l="1"/>
  <c r="H62" i="44" s="1"/>
  <c r="J68" i="44"/>
  <c r="H67" i="44"/>
  <c r="L52" i="7"/>
  <c r="M52" i="7"/>
  <c r="L61" i="44" s="1"/>
  <c r="I54" i="7"/>
  <c r="L35" i="7"/>
  <c r="H44" i="6" s="1"/>
  <c r="K35" i="7"/>
  <c r="N52" i="7"/>
  <c r="M61" i="44" s="1"/>
  <c r="J45" i="6"/>
  <c r="N61" i="44" l="1"/>
  <c r="L62" i="44"/>
  <c r="H68" i="44"/>
  <c r="H69" i="44" s="1"/>
  <c r="K61" i="44"/>
  <c r="H64" i="44"/>
  <c r="L54" i="7"/>
  <c r="M54" i="7"/>
  <c r="N54" i="7"/>
  <c r="M68" i="44" s="1"/>
  <c r="D26" i="24"/>
  <c r="Q51" i="7"/>
  <c r="L64" i="44" l="1"/>
  <c r="L68" i="44"/>
  <c r="L69" i="44" s="1"/>
  <c r="H70" i="44"/>
  <c r="K68" i="44"/>
  <c r="T51" i="7"/>
  <c r="G22" i="24"/>
  <c r="L70" i="44" l="1"/>
  <c r="G26" i="24"/>
  <c r="I26" i="24" l="1"/>
  <c r="I24" i="24"/>
  <c r="H26" i="22" s="1"/>
  <c r="I22" i="24"/>
  <c r="B17" i="4"/>
  <c r="B18" i="4" s="1"/>
  <c r="B19" i="4" l="1"/>
  <c r="B20" i="4" s="1"/>
  <c r="B23" i="4" s="1"/>
  <c r="B24" i="4" s="1"/>
  <c r="B25" i="4" s="1"/>
  <c r="B26" i="4" s="1"/>
  <c r="B27" i="4" s="1"/>
  <c r="B28" i="4" s="1"/>
  <c r="B29" i="4" s="1"/>
  <c r="B30" i="4" s="1"/>
  <c r="B33" i="4" s="1"/>
  <c r="F23" i="11"/>
  <c r="H20" i="4"/>
  <c r="J30" i="4" l="1"/>
  <c r="B34" i="4"/>
  <c r="B35" i="4" s="1"/>
  <c r="B37" i="4" s="1"/>
  <c r="J52" i="7"/>
  <c r="I61" i="44" l="1"/>
  <c r="J61" i="44" s="1"/>
  <c r="J54" i="7"/>
  <c r="I38" i="5"/>
  <c r="L47" i="6"/>
  <c r="H19" i="9"/>
  <c r="I68" i="44" l="1"/>
  <c r="P37" i="7"/>
  <c r="P38" i="7" s="1"/>
  <c r="B19" i="28"/>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H17" i="14"/>
  <c r="O60" i="44" l="1"/>
  <c r="O62" i="44" s="1"/>
  <c r="O64" i="44" s="1"/>
  <c r="P40" i="7"/>
  <c r="L37" i="7"/>
  <c r="H69" i="28"/>
  <c r="O67" i="44" l="1"/>
  <c r="O69" i="44" s="1"/>
  <c r="O70" i="44" s="1"/>
  <c r="L38" i="7"/>
  <c r="H41" i="6"/>
  <c r="H47" i="6" l="1"/>
  <c r="L47" i="13" s="1"/>
  <c r="L67" i="13" s="1"/>
  <c r="K60" i="44"/>
  <c r="K62" i="44" s="1"/>
  <c r="K64" i="44" s="1"/>
  <c r="L40" i="7"/>
  <c r="K67" i="44" l="1"/>
  <c r="K69" i="44" s="1"/>
  <c r="K70" i="44" s="1"/>
  <c r="O38" i="7" l="1"/>
  <c r="O40" i="7" s="1"/>
  <c r="N38" i="7"/>
  <c r="M60" i="44" l="1"/>
  <c r="N60" i="44" s="1"/>
  <c r="N67" i="44"/>
  <c r="N69" i="44" s="1"/>
  <c r="K38" i="7"/>
  <c r="K40" i="7" s="1"/>
  <c r="J38" i="7"/>
  <c r="N40" i="7"/>
  <c r="M62" i="44" l="1"/>
  <c r="M64" i="44" s="1"/>
  <c r="N64" i="44" s="1"/>
  <c r="N70" i="44" s="1"/>
  <c r="I60" i="44"/>
  <c r="I62" i="44" s="1"/>
  <c r="M67" i="44"/>
  <c r="M69" i="44" s="1"/>
  <c r="J67" i="44"/>
  <c r="J69" i="44" s="1"/>
  <c r="J40" i="7"/>
  <c r="N62" i="44" l="1"/>
  <c r="M70" i="44"/>
  <c r="J60" i="44"/>
  <c r="I64" i="44"/>
  <c r="J64" i="44" s="1"/>
  <c r="J70" i="44" s="1"/>
  <c r="J62" i="44"/>
  <c r="I67" i="44"/>
  <c r="I69" i="44" s="1"/>
  <c r="I70" i="44" l="1"/>
  <c r="E36" i="36" l="1"/>
  <c r="M16" i="36"/>
  <c r="F21" i="10" l="1"/>
  <c r="H16" i="14" s="1"/>
  <c r="E24" i="36" l="1"/>
  <c r="E18" i="36" s="1"/>
  <c r="E27" i="36" l="1"/>
  <c r="E20" i="36" l="1"/>
  <c r="G14" i="36" l="1"/>
  <c r="G18" i="36"/>
  <c r="G16" i="36"/>
  <c r="O16" i="36"/>
  <c r="E26" i="24"/>
  <c r="K18" i="36" l="1"/>
  <c r="D25" i="11"/>
  <c r="D23" i="11" s="1"/>
  <c r="G20" i="36"/>
  <c r="K14" i="36" l="1"/>
  <c r="O14" i="36" s="1"/>
  <c r="O18" i="36"/>
  <c r="D23" i="10"/>
  <c r="F17" i="14" s="1"/>
  <c r="J17" i="14" s="1"/>
  <c r="H25" i="11"/>
  <c r="D21" i="10" l="1"/>
  <c r="F16" i="14" s="1"/>
  <c r="J16" i="14" s="1"/>
  <c r="J18" i="14" s="1"/>
  <c r="K20" i="36"/>
  <c r="H23" i="10"/>
  <c r="O20" i="36"/>
  <c r="H23" i="11"/>
  <c r="H27" i="11" s="1"/>
  <c r="D27" i="11"/>
  <c r="J38" i="23"/>
  <c r="J21" i="5" s="1"/>
  <c r="J26" i="22"/>
  <c r="J37" i="22" s="1"/>
  <c r="J20" i="5" s="1"/>
  <c r="H21" i="10" l="1"/>
  <c r="H25" i="10" s="1"/>
  <c r="N31" i="9" s="1"/>
  <c r="D25" i="10"/>
  <c r="H31" i="44"/>
  <c r="J31" i="44" s="1"/>
  <c r="H30" i="44"/>
  <c r="H33" i="11"/>
  <c r="H31" i="11"/>
  <c r="H47" i="11"/>
  <c r="H51" i="11" s="1"/>
  <c r="H32" i="5"/>
  <c r="J30" i="44" l="1"/>
  <c r="H36" i="44"/>
  <c r="H35" i="11"/>
  <c r="Q48" i="13" s="1"/>
  <c r="Q49" i="13"/>
  <c r="H54" i="11" l="1"/>
  <c r="D30" i="3" s="1"/>
  <c r="L24" i="9" l="1"/>
  <c r="L26" i="9" l="1"/>
  <c r="Q36" i="7" l="1"/>
  <c r="D18" i="19" s="1"/>
  <c r="R36" i="7"/>
  <c r="E20" i="19" l="1"/>
  <c r="D24" i="19" s="1"/>
  <c r="J34" i="4" s="1"/>
  <c r="T36" i="7"/>
  <c r="R35" i="7"/>
  <c r="Q35" i="7"/>
  <c r="D18" i="18" s="1"/>
  <c r="I33" i="44" l="1"/>
  <c r="J33" i="44" s="1"/>
  <c r="F20" i="18"/>
  <c r="D24" i="18" s="1"/>
  <c r="J33" i="4" s="1"/>
  <c r="Q38" i="7"/>
  <c r="Q40" i="7" s="1"/>
  <c r="E47" i="13" s="1"/>
  <c r="R38" i="7"/>
  <c r="R40" i="7" s="1"/>
  <c r="F47" i="13" s="1"/>
  <c r="Q50" i="7"/>
  <c r="Q52" i="7" s="1"/>
  <c r="Q54" i="7" s="1"/>
  <c r="R50" i="7"/>
  <c r="R52" i="7" s="1"/>
  <c r="R54" i="7" s="1"/>
  <c r="T35" i="7"/>
  <c r="T38" i="7" s="1"/>
  <c r="I32" i="44" l="1"/>
  <c r="J37" i="4"/>
  <c r="T40" i="7"/>
  <c r="I47" i="13" s="1"/>
  <c r="T50" i="7"/>
  <c r="T52" i="7" s="1"/>
  <c r="T54" i="7" s="1"/>
  <c r="D18" i="3" l="1"/>
  <c r="J32" i="44"/>
  <c r="I36" i="44"/>
  <c r="F19" i="9"/>
  <c r="I37" i="44" l="1"/>
  <c r="J36" i="44"/>
  <c r="J19" i="9"/>
  <c r="F31" i="9"/>
  <c r="H30" i="5"/>
  <c r="J31" i="9" l="1"/>
  <c r="H38" i="5"/>
  <c r="J38" i="5" l="1"/>
  <c r="J40" i="5" l="1"/>
  <c r="K19" i="13"/>
  <c r="D19" i="9"/>
  <c r="D23" i="9" l="1"/>
  <c r="L23" i="9" s="1"/>
  <c r="H37" i="44"/>
  <c r="J37" i="44" s="1"/>
  <c r="K24" i="13"/>
  <c r="D20" i="3"/>
  <c r="K24" i="14"/>
  <c r="K18" i="13"/>
  <c r="L19" i="9"/>
  <c r="L31" i="9" l="1"/>
  <c r="K11" i="14" s="1"/>
  <c r="D31" i="9"/>
  <c r="K21" i="13"/>
  <c r="F67" i="13"/>
  <c r="E67" i="13"/>
  <c r="P31" i="9" l="1"/>
  <c r="K32" i="13" s="1"/>
  <c r="K34" i="13" s="1"/>
  <c r="D26" i="3"/>
  <c r="I67" i="13"/>
  <c r="K19" i="14"/>
  <c r="D28" i="3" l="1"/>
  <c r="K22" i="14"/>
  <c r="K23" i="14" s="1"/>
  <c r="K25" i="14" s="1"/>
  <c r="O48" i="13" s="1"/>
  <c r="M34" i="13"/>
  <c r="J47" i="13" s="1"/>
  <c r="J48" i="13" s="1"/>
  <c r="J49" i="13" s="1"/>
  <c r="K48" i="13" l="1"/>
  <c r="K47" i="13"/>
  <c r="O47" i="13"/>
  <c r="O52" i="13"/>
  <c r="O61" i="13"/>
  <c r="O57" i="13"/>
  <c r="O64" i="13"/>
  <c r="O63" i="13"/>
  <c r="O53" i="13"/>
  <c r="O49" i="13"/>
  <c r="O55" i="13"/>
  <c r="O54" i="13"/>
  <c r="O56" i="13"/>
  <c r="O51" i="13"/>
  <c r="O50" i="13"/>
  <c r="O59" i="13"/>
  <c r="O60" i="13"/>
  <c r="O65" i="13"/>
  <c r="O62" i="13"/>
  <c r="O58" i="13"/>
  <c r="J50" i="13"/>
  <c r="K49" i="13"/>
  <c r="O67" i="13" l="1"/>
  <c r="D34" i="3" s="1"/>
  <c r="K50" i="13"/>
  <c r="J51" i="13"/>
  <c r="J52" i="13" l="1"/>
  <c r="K51" i="13"/>
  <c r="J53" i="13" l="1"/>
  <c r="K52" i="13"/>
  <c r="K53" i="13" l="1"/>
  <c r="J54" i="13"/>
  <c r="K54" i="13" l="1"/>
  <c r="J55" i="13"/>
  <c r="J56" i="13" l="1"/>
  <c r="K55" i="13"/>
  <c r="K56" i="13" l="1"/>
  <c r="J57" i="13"/>
  <c r="K57" i="13" l="1"/>
  <c r="J58" i="13"/>
  <c r="K58" i="13" l="1"/>
  <c r="J59" i="13"/>
  <c r="K59" i="13" l="1"/>
  <c r="J60" i="13"/>
  <c r="K60" i="13" l="1"/>
  <c r="J61" i="13"/>
  <c r="J62" i="13" l="1"/>
  <c r="K61" i="13"/>
  <c r="K62" i="13" l="1"/>
  <c r="J63" i="13"/>
  <c r="J64" i="13" l="1"/>
  <c r="K63" i="13"/>
  <c r="K64" i="13" l="1"/>
  <c r="J65" i="13"/>
  <c r="K65" i="13" s="1"/>
  <c r="B20" i="15" l="1"/>
  <c r="C47" i="13" s="1"/>
  <c r="J33" i="6" l="1"/>
  <c r="J35" i="6"/>
  <c r="J36" i="6"/>
  <c r="K114" i="25"/>
  <c r="J37" i="6"/>
  <c r="J38" i="6" l="1"/>
  <c r="J47" i="6" l="1"/>
  <c r="N47" i="6" s="1"/>
  <c r="P47" i="6" s="1"/>
  <c r="D22" i="3" s="1"/>
  <c r="D24" i="3" l="1"/>
  <c r="K27" i="13"/>
  <c r="K29" i="13" s="1"/>
  <c r="G47" i="13" s="1"/>
  <c r="D32" i="3" l="1"/>
  <c r="G48" i="13"/>
  <c r="G49" i="13" s="1"/>
  <c r="H47" i="13"/>
  <c r="M47" i="13" s="1"/>
  <c r="R47" i="13" s="1"/>
  <c r="M29" i="13"/>
  <c r="H48" i="13" l="1"/>
  <c r="M48" i="13" s="1"/>
  <c r="R48" i="13" s="1"/>
  <c r="E20" i="15"/>
  <c r="H49" i="13"/>
  <c r="G50" i="13"/>
  <c r="F20" i="15" l="1"/>
  <c r="I20" i="15" s="1"/>
  <c r="J20" i="15" s="1"/>
  <c r="S47" i="13" s="1"/>
  <c r="E21" i="15"/>
  <c r="F21" i="15" s="1"/>
  <c r="G51" i="13"/>
  <c r="H50" i="13"/>
  <c r="M50" i="13" s="1"/>
  <c r="M49" i="13"/>
  <c r="R49" i="13" s="1"/>
  <c r="E22" i="15" s="1"/>
  <c r="F22" i="15" s="1"/>
  <c r="I22" i="15" s="1"/>
  <c r="J22" i="15" s="1"/>
  <c r="S49" i="13" s="1"/>
  <c r="T47" i="13" l="1"/>
  <c r="D42" i="3" s="1"/>
  <c r="F28" i="15"/>
  <c r="I21" i="15"/>
  <c r="R50" i="13"/>
  <c r="T50" i="13" s="1"/>
  <c r="D45" i="3" s="1"/>
  <c r="G52" i="13"/>
  <c r="H51" i="13"/>
  <c r="J21" i="15" l="1"/>
  <c r="I28" i="15"/>
  <c r="M51" i="13"/>
  <c r="R51" i="13" s="1"/>
  <c r="H52" i="13"/>
  <c r="M52" i="13" s="1"/>
  <c r="R52" i="13" s="1"/>
  <c r="G53" i="13"/>
  <c r="T49" i="13"/>
  <c r="J28" i="15" l="1"/>
  <c r="S48" i="13"/>
  <c r="T52" i="13"/>
  <c r="D44" i="3"/>
  <c r="H53" i="13"/>
  <c r="M53" i="13" s="1"/>
  <c r="R53" i="13" s="1"/>
  <c r="G54" i="13"/>
  <c r="J30" i="15" l="1"/>
  <c r="D36" i="3" s="1"/>
  <c r="S67" i="13"/>
  <c r="T48" i="13"/>
  <c r="D43" i="3" s="1"/>
  <c r="T53" i="13"/>
  <c r="T51" i="13"/>
  <c r="D46" i="3" s="1"/>
  <c r="H54" i="13"/>
  <c r="M54" i="13" s="1"/>
  <c r="R54" i="13" s="1"/>
  <c r="G55" i="13"/>
  <c r="D38" i="3" l="1"/>
  <c r="D48" i="3"/>
  <c r="H55" i="13"/>
  <c r="M55" i="13" s="1"/>
  <c r="R55" i="13" s="1"/>
  <c r="G56" i="13"/>
  <c r="T54" i="13"/>
  <c r="G57" i="13" l="1"/>
  <c r="H56" i="13"/>
  <c r="M56" i="13" s="1"/>
  <c r="R56" i="13" s="1"/>
  <c r="T55" i="13"/>
  <c r="G58" i="13" l="1"/>
  <c r="H57" i="13"/>
  <c r="M57" i="13" s="1"/>
  <c r="R57" i="13" s="1"/>
  <c r="T56" i="13"/>
  <c r="T57" i="13" l="1"/>
  <c r="H58" i="13"/>
  <c r="M58" i="13" s="1"/>
  <c r="R58" i="13" s="1"/>
  <c r="G59" i="13"/>
  <c r="G60" i="13" l="1"/>
  <c r="H59" i="13"/>
  <c r="M59" i="13" s="1"/>
  <c r="R59" i="13" s="1"/>
  <c r="T58" i="13"/>
  <c r="T59" i="13" l="1"/>
  <c r="H60" i="13"/>
  <c r="M60" i="13" s="1"/>
  <c r="R60" i="13" s="1"/>
  <c r="G61" i="13"/>
  <c r="H61" i="13" l="1"/>
  <c r="M61" i="13" s="1"/>
  <c r="R61" i="13" s="1"/>
  <c r="G62" i="13"/>
  <c r="T60" i="13"/>
  <c r="G63" i="13" l="1"/>
  <c r="H62" i="13"/>
  <c r="M62" i="13" s="1"/>
  <c r="R62" i="13" s="1"/>
  <c r="T61" i="13"/>
  <c r="T62" i="13" l="1"/>
  <c r="G64" i="13"/>
  <c r="H63" i="13"/>
  <c r="M63" i="13" s="1"/>
  <c r="R63" i="13" s="1"/>
  <c r="T63" i="13" l="1"/>
  <c r="H64" i="13"/>
  <c r="M64" i="13" s="1"/>
  <c r="R64" i="13" s="1"/>
  <c r="G65" i="13"/>
  <c r="H65" i="13" s="1"/>
  <c r="M65" i="13" l="1"/>
  <c r="R65" i="13" s="1"/>
  <c r="H67" i="13"/>
  <c r="T64" i="13"/>
  <c r="R67" i="13" l="1"/>
  <c r="T65" i="13"/>
  <c r="T67" i="13" s="1"/>
  <c r="M67" i="13"/>
</calcChain>
</file>

<file path=xl/sharedStrings.xml><?xml version="1.0" encoding="utf-8"?>
<sst xmlns="http://schemas.openxmlformats.org/spreadsheetml/2006/main" count="7298" uniqueCount="2102">
  <si>
    <t xml:space="preserve">FERC   </t>
  </si>
  <si>
    <t>Line No.</t>
  </si>
  <si>
    <t>Account</t>
  </si>
  <si>
    <t>FERC Account Description</t>
  </si>
  <si>
    <t>Total</t>
  </si>
  <si>
    <t>Grand Total</t>
  </si>
  <si>
    <t xml:space="preserve"> (1)</t>
  </si>
  <si>
    <t xml:space="preserve"> (2)</t>
  </si>
  <si>
    <t xml:space="preserve"> (3)</t>
  </si>
  <si>
    <t xml:space="preserve"> (4)</t>
  </si>
  <si>
    <t>Transmission:</t>
  </si>
  <si>
    <t/>
  </si>
  <si>
    <t>OPERATION:</t>
  </si>
  <si>
    <t>Supervision &amp; Engineering</t>
  </si>
  <si>
    <t>Load Dispatching</t>
  </si>
  <si>
    <t>Station Expenses</t>
  </si>
  <si>
    <t>Misc. Trans. Expenses</t>
  </si>
  <si>
    <t>Rents</t>
  </si>
  <si>
    <t>MAINTENANCE:</t>
  </si>
  <si>
    <t>Structures</t>
  </si>
  <si>
    <t>Station Equipment</t>
  </si>
  <si>
    <t>Overhead Lines</t>
  </si>
  <si>
    <t>Underground Lines</t>
  </si>
  <si>
    <t>Misc. Transm. Plant</t>
  </si>
  <si>
    <t>TRANSM.</t>
  </si>
  <si>
    <t>LABOR</t>
  </si>
  <si>
    <t>ALLOCATED TO</t>
  </si>
  <si>
    <t>TRANSMISSION</t>
  </si>
  <si>
    <t xml:space="preserve"> (5)</t>
  </si>
  <si>
    <t xml:space="preserve"> (6)</t>
  </si>
  <si>
    <t>NIAGARA</t>
  </si>
  <si>
    <t xml:space="preserve"> </t>
  </si>
  <si>
    <t>TOTAL</t>
  </si>
  <si>
    <t>Allocated to</t>
  </si>
  <si>
    <t>Transmission</t>
  </si>
  <si>
    <t>Source/Comments</t>
  </si>
  <si>
    <t>Administrative &amp; General Expenses</t>
  </si>
  <si>
    <t>A&amp;G Salaries</t>
  </si>
  <si>
    <t>Office Supplies &amp; Expenses</t>
  </si>
  <si>
    <t>Outside Services Employed</t>
  </si>
  <si>
    <t>Property Insurance</t>
  </si>
  <si>
    <t>Employee Pensions &amp; Benefits</t>
  </si>
  <si>
    <t>Reg. Commission Expenses</t>
  </si>
  <si>
    <t>Maint of General Plant A/C 932</t>
  </si>
  <si>
    <t>Less A/C 924</t>
  </si>
  <si>
    <t>TOTAL A&amp;G Expense</t>
  </si>
  <si>
    <t>RATE OF</t>
  </si>
  <si>
    <t>RETURN</t>
  </si>
  <si>
    <t>RETURN ON</t>
  </si>
  <si>
    <t>RATE BASE</t>
  </si>
  <si>
    <t xml:space="preserve"> (7)</t>
  </si>
  <si>
    <t>A)  Net Electric Plant in Service</t>
  </si>
  <si>
    <t>B)  Rate Base Adjustments</t>
  </si>
  <si>
    <t>PRODUCTION</t>
  </si>
  <si>
    <t>TITLE</t>
  </si>
  <si>
    <t>SOURCE/COMMENTS</t>
  </si>
  <si>
    <t>COMMON EQUITY</t>
  </si>
  <si>
    <t xml:space="preserve"> TOTAL CAPITALIZATION</t>
  </si>
  <si>
    <t xml:space="preserve">Line </t>
  </si>
  <si>
    <t>No.</t>
  </si>
  <si>
    <t>DESCRIPTION</t>
  </si>
  <si>
    <t>RATIO</t>
  </si>
  <si>
    <t>TOTAL LABOR</t>
  </si>
  <si>
    <t>St. Lawrence</t>
  </si>
  <si>
    <t>Niagara</t>
  </si>
  <si>
    <t>Blenheim-Gilboa</t>
  </si>
  <si>
    <t>Average</t>
  </si>
  <si>
    <t>Other</t>
  </si>
  <si>
    <t>Depreciation</t>
  </si>
  <si>
    <t>Structures &amp; Improvements</t>
  </si>
  <si>
    <t>Towers &amp; Fixtures</t>
  </si>
  <si>
    <t>Poles &amp; Fixtures</t>
  </si>
  <si>
    <t>Overhead Conductors &amp; Devices</t>
  </si>
  <si>
    <t>Underground Conduit</t>
  </si>
  <si>
    <t>Underground Conductors &amp; Devices</t>
  </si>
  <si>
    <t>Roads &amp; Trails</t>
  </si>
  <si>
    <t>Office Furniture &amp; Equipment</t>
  </si>
  <si>
    <t>Transportation Equipment</t>
  </si>
  <si>
    <t>Stores Equipment</t>
  </si>
  <si>
    <t>Tools, Shop &amp; Garage Equipment</t>
  </si>
  <si>
    <t>Laboratory Equipment</t>
  </si>
  <si>
    <t>Power Operated Equipment</t>
  </si>
  <si>
    <t>Communication Equipment</t>
  </si>
  <si>
    <t>Miscellaneous Equipment</t>
  </si>
  <si>
    <t>Other Tangible Property</t>
  </si>
  <si>
    <t>Headquarters</t>
  </si>
  <si>
    <t>Poletti</t>
  </si>
  <si>
    <t>Balance</t>
  </si>
  <si>
    <t>Purchased Power</t>
  </si>
  <si>
    <t xml:space="preserve">                </t>
  </si>
  <si>
    <t>A. OPERATING EXPENSES</t>
  </si>
  <si>
    <t>Operation &amp; Maintenance Expense</t>
  </si>
  <si>
    <t>Depreciation &amp; Amortization Expense</t>
  </si>
  <si>
    <t>Administration &amp; General Expenses</t>
  </si>
  <si>
    <t>TOTAL OPERATING EXPENSE</t>
  </si>
  <si>
    <t>B. RATE BASE</t>
  </si>
  <si>
    <t>Return on Rate Base</t>
  </si>
  <si>
    <t>General Plant</t>
  </si>
  <si>
    <t xml:space="preserve">Labor Ratio (%)  </t>
  </si>
  <si>
    <t xml:space="preserve"> Annual</t>
  </si>
  <si>
    <t>Annual Financial Statements</t>
  </si>
  <si>
    <t>(a)</t>
  </si>
  <si>
    <t>(b)</t>
  </si>
  <si>
    <t>TRANSMISSION REVENUE REQUIREMENT</t>
  </si>
  <si>
    <t>Description</t>
  </si>
  <si>
    <t>Electric</t>
  </si>
  <si>
    <t>Operating Expenses</t>
  </si>
  <si>
    <t>General</t>
  </si>
  <si>
    <t>501 -    Steam Product-Fuel</t>
  </si>
  <si>
    <t>514 -    SP-Maint Misc Stm Pl</t>
  </si>
  <si>
    <t>535 -    HP-Oper Supvr&amp;Engrg</t>
  </si>
  <si>
    <t>537 -    HP-Hydraulic Expense</t>
  </si>
  <si>
    <t>539 -    HP-Misc Hyd Pwr Gen</t>
  </si>
  <si>
    <t>541 -    HP-Maint Supvn&amp;Engrg</t>
  </si>
  <si>
    <t>542 -    HP-Maint of Struct</t>
  </si>
  <si>
    <t>543 -    HP-Maint Res Dam&amp;Wtr</t>
  </si>
  <si>
    <t>544 -    HP-Maint Elect Plant</t>
  </si>
  <si>
    <t>545 -    HP-Maint Misc Hyd Pl</t>
  </si>
  <si>
    <t>546 -    OP-Oper Supvr&amp;Engrg</t>
  </si>
  <si>
    <t>548 -    OP-Generation Expens</t>
  </si>
  <si>
    <t>549 -    OP-Misc Oth Pwr Gen</t>
  </si>
  <si>
    <t>551 -    OP-Maint Supvn &amp; Eng</t>
  </si>
  <si>
    <t>552 -    OP-Maint of Struct</t>
  </si>
  <si>
    <t>553 -    OP-Maint Gen &amp; Elect</t>
  </si>
  <si>
    <t>554 -    OP-Maint Oth Pwr Prd</t>
  </si>
  <si>
    <t>555 -    OPSE-Purchased Power</t>
  </si>
  <si>
    <t>560 -    Trans-Oper Supvr&amp;Eng</t>
  </si>
  <si>
    <t>561 -    Trans-Load Dispatcng</t>
  </si>
  <si>
    <t>562 -    Trans-Station Expens</t>
  </si>
  <si>
    <t>565 -    Trans-Xmsn Elect Oth</t>
  </si>
  <si>
    <t>566 -    Trans-Misc Xmsn Exp</t>
  </si>
  <si>
    <t>568 -    Trans-Maint Sup &amp; En</t>
  </si>
  <si>
    <t>569 -    Trans-Maint Struct</t>
  </si>
  <si>
    <t>570 -    Trans-Maint St Equip</t>
  </si>
  <si>
    <t>571 -    Trans-Maint Ovhd Lns</t>
  </si>
  <si>
    <t>572 -    Trans-Maint Ungrd Ln</t>
  </si>
  <si>
    <t>573 -    Trans-Maint Misc Xmn</t>
  </si>
  <si>
    <t>905 -   Misc. Customer Accts. Exps</t>
  </si>
  <si>
    <t>916 -   Misc. Sales Expense</t>
  </si>
  <si>
    <t>920 -    Misc. Admin &amp; Gen'l Salaries</t>
  </si>
  <si>
    <t>921 -    Misc. Office Supp &amp; Exps</t>
  </si>
  <si>
    <t>922 -   Administrative Expenses Transferred</t>
  </si>
  <si>
    <t>930 -    Obsolete/Excess Inv</t>
  </si>
  <si>
    <t>930.5-R &amp; D Expense</t>
  </si>
  <si>
    <t>931 -    Rents</t>
  </si>
  <si>
    <t>Step-up Transformers</t>
  </si>
  <si>
    <t>FACTS</t>
  </si>
  <si>
    <t>Ratio</t>
  </si>
  <si>
    <t>EXCL</t>
  </si>
  <si>
    <t>Plant   in</t>
  </si>
  <si>
    <t>Accumulated</t>
  </si>
  <si>
    <t>Service</t>
  </si>
  <si>
    <t>Service  (Net)</t>
  </si>
  <si>
    <t>500mW C - C at Astoria</t>
  </si>
  <si>
    <t>Crescent</t>
  </si>
  <si>
    <t>FLYNN  (Holtsville)</t>
  </si>
  <si>
    <t>GOWANUS  (Brooklyn)</t>
  </si>
  <si>
    <t>HARLEM RIVER YARDS  (Bronx)</t>
  </si>
  <si>
    <t>HELLGATE  (Bronx)</t>
  </si>
  <si>
    <t>BRENTWOOD  (Long Island)</t>
  </si>
  <si>
    <t>TOTAL EXCLUDED GENERAL</t>
  </si>
  <si>
    <t>POLETTI  (Astoria)</t>
  </si>
  <si>
    <t>Jarvis</t>
  </si>
  <si>
    <t>Kensico</t>
  </si>
  <si>
    <t>Vischer Ferry</t>
  </si>
  <si>
    <t>KENT  (Brooklyn)</t>
  </si>
  <si>
    <t>POUCH TERMINAL  (Richmond)</t>
  </si>
  <si>
    <t>VERNON BOULEVARD  (Queens)</t>
  </si>
  <si>
    <t>CAPITAL STRUCTURE</t>
  </si>
  <si>
    <t>Cost</t>
  </si>
  <si>
    <t>Weighted</t>
  </si>
  <si>
    <t>Component</t>
  </si>
  <si>
    <t>Amount</t>
  </si>
  <si>
    <t>Long-Term Debt</t>
  </si>
  <si>
    <t>Preferred Stock</t>
  </si>
  <si>
    <t>Common Equity</t>
  </si>
  <si>
    <t xml:space="preserve">         Total</t>
  </si>
  <si>
    <t>Total Proprietary Capital</t>
  </si>
  <si>
    <t xml:space="preserve">  less Preferred </t>
  </si>
  <si>
    <t xml:space="preserve">  less Acct. 216.1</t>
  </si>
  <si>
    <t>Long Term Debt</t>
  </si>
  <si>
    <t>Preferred Cost Rate</t>
  </si>
  <si>
    <t>Ashokan</t>
  </si>
  <si>
    <t>Adjustments</t>
  </si>
  <si>
    <t>CWIP</t>
  </si>
  <si>
    <t>Beginning</t>
  </si>
  <si>
    <t>Unamortized</t>
  </si>
  <si>
    <t>Ending</t>
  </si>
  <si>
    <t>Capitalized</t>
  </si>
  <si>
    <t>Lease Asset/</t>
  </si>
  <si>
    <t>Lease</t>
  </si>
  <si>
    <t>Year</t>
  </si>
  <si>
    <t>(1)</t>
  </si>
  <si>
    <t>(2)</t>
  </si>
  <si>
    <t>(3)</t>
  </si>
  <si>
    <t>(4)</t>
  </si>
  <si>
    <t>(5)</t>
  </si>
  <si>
    <t>Net Adjusted Transmission</t>
  </si>
  <si>
    <t>Net Adjusted General Plant</t>
  </si>
  <si>
    <t>NEW YORK POWER AUTHORITY</t>
  </si>
  <si>
    <t>NEW  YORK POWER AUTHORITY</t>
  </si>
  <si>
    <t>ADMINISTRATIVE AND GENERAL EXPENSES</t>
  </si>
  <si>
    <t>OPERATION &amp; MAINTENANCE EXPENSE SUMMARY</t>
  </si>
  <si>
    <t>ANNUAL DEPRECIATION AND AMORTIZATION EXPENSES</t>
  </si>
  <si>
    <t>TRANSMISSION - RATE BASE CALCULATION</t>
  </si>
  <si>
    <t>ADJUSTED PLANT IN SERVICE</t>
  </si>
  <si>
    <t>BG Trans</t>
  </si>
  <si>
    <t>JAF Trans</t>
  </si>
  <si>
    <t>IP3/Pol Trans</t>
  </si>
  <si>
    <t>Marcy/Clark Trans</t>
  </si>
  <si>
    <t>Marcy South Trans</t>
  </si>
  <si>
    <t>Niagara Trans</t>
  </si>
  <si>
    <t>Sound Cable</t>
  </si>
  <si>
    <t>ST Law Trans</t>
  </si>
  <si>
    <t>765 KV Trans</t>
  </si>
  <si>
    <t>Asset</t>
  </si>
  <si>
    <t>Net</t>
  </si>
  <si>
    <t>Debt Discount/Premium</t>
  </si>
  <si>
    <t>Overall Result</t>
  </si>
  <si>
    <t>SENY</t>
  </si>
  <si>
    <t>Flynn</t>
  </si>
  <si>
    <t>JAF</t>
  </si>
  <si>
    <t>Operating Revenues</t>
  </si>
  <si>
    <t>Wheeling</t>
  </si>
  <si>
    <t>Investments and Other Income</t>
  </si>
  <si>
    <t>Total Operating Expenses</t>
  </si>
  <si>
    <t>Total Operating Revenues</t>
  </si>
  <si>
    <t>Incl</t>
  </si>
  <si>
    <t>Acct #</t>
  </si>
  <si>
    <t>Item</t>
  </si>
  <si>
    <t>FERC</t>
  </si>
  <si>
    <t>Site</t>
  </si>
  <si>
    <t>Asset  No.</t>
  </si>
  <si>
    <t>Electric Plant</t>
  </si>
  <si>
    <t>Plant in</t>
  </si>
  <si>
    <t>SUBTOTAL 500Mw CC</t>
  </si>
  <si>
    <t>SUBTOTAL Small Hydro</t>
  </si>
  <si>
    <t>SUBTOTAL Flynn</t>
  </si>
  <si>
    <t>SUBTOTAL Poletti</t>
  </si>
  <si>
    <t>SUBTOTAL SCPP</t>
  </si>
  <si>
    <t>EXCLUDED TRANSMISSION</t>
  </si>
  <si>
    <t>T</t>
  </si>
  <si>
    <t>TOTAL EXCLUDED TRANSMISSION</t>
  </si>
  <si>
    <t>EXCLUDED GENERAL</t>
  </si>
  <si>
    <t>G</t>
  </si>
  <si>
    <t>Total Included Transmission</t>
  </si>
  <si>
    <t>Windfarm</t>
  </si>
  <si>
    <t>Asset Description</t>
  </si>
  <si>
    <t>Facility</t>
  </si>
  <si>
    <t>TOTAL O&amp;M TRANSMISSION</t>
  </si>
  <si>
    <t xml:space="preserve">       Total Operation</t>
  </si>
  <si>
    <t>NYPA</t>
  </si>
  <si>
    <t>RELICENSING/RECLASSIFICATION EXPENSES</t>
  </si>
  <si>
    <t>Total Expenses</t>
  </si>
  <si>
    <t>Total Plant</t>
  </si>
  <si>
    <t>Cap.Date</t>
  </si>
  <si>
    <t>CALCULATION OF LABOR RATIO</t>
  </si>
  <si>
    <t>DEPRECIATION AND AMORTIZATION EXPENSES (BY FERC ACCOUNT)</t>
  </si>
  <si>
    <t>Included General Plant</t>
  </si>
  <si>
    <t>Included Transmission Plant</t>
  </si>
  <si>
    <t>Total Included General Plant</t>
  </si>
  <si>
    <t>Subtotal General - Structures &amp; Improvements</t>
  </si>
  <si>
    <t>Subtotal General - Office Furniture &amp; Equipment</t>
  </si>
  <si>
    <t>Subtotal General - Transportation Equipment</t>
  </si>
  <si>
    <t>Subtotal General - Stores Equipment</t>
  </si>
  <si>
    <t>Subtotal General - Tools, Shop &amp; Garage Equipment</t>
  </si>
  <si>
    <t>Subtotal General - Laboratory Equipment</t>
  </si>
  <si>
    <t>Subtotal General - Power Operated Equipment</t>
  </si>
  <si>
    <t>Subtotal General - Communication Equipment</t>
  </si>
  <si>
    <t>Subtotal General - Miscellaneous Equipment</t>
  </si>
  <si>
    <t>Subtotal General - Other Tangible Property</t>
  </si>
  <si>
    <t>Subtotal Transmission -  Structures &amp; Improvements</t>
  </si>
  <si>
    <t>Subtotal Transmission -  Station Equipment</t>
  </si>
  <si>
    <t>Subtotal Transmission -  Towers &amp; Fixtures</t>
  </si>
  <si>
    <t>Subtotal Transmission -  Poles &amp; Fixtures</t>
  </si>
  <si>
    <t>Subtotal Transmission -  Overhead Conductors &amp; Devices</t>
  </si>
  <si>
    <t>Subtotal Transmission -  Underground Conduit</t>
  </si>
  <si>
    <t>Subtotal Transmission -  Underground Conductors &amp; Devices</t>
  </si>
  <si>
    <t>Subtotal Transmission -  Roads &amp; Trails</t>
  </si>
  <si>
    <t>Total Included Transmission Plant</t>
  </si>
  <si>
    <t>Depreciation ($)</t>
  </si>
  <si>
    <t>Property</t>
  </si>
  <si>
    <t>Insurance</t>
  </si>
  <si>
    <t>ESTIMATED PREPAYMENTS AND INSURANCE</t>
  </si>
  <si>
    <t>Impairment</t>
  </si>
  <si>
    <t xml:space="preserve"> (2) * (3)</t>
  </si>
  <si>
    <t>Col (1); Ln (2) / Ln (3)</t>
  </si>
  <si>
    <t>LONG-TERM DEBT AND RELATED INTEREST</t>
  </si>
  <si>
    <t>WEIGHTED COST OF CAPITAL</t>
  </si>
  <si>
    <t>FACTS PROJECT PLANT IN SERVICE AND ACCUMULATED DEPRECIATION</t>
  </si>
  <si>
    <t>MATERIALS AND SUPPLIES</t>
  </si>
  <si>
    <t>(c)</t>
  </si>
  <si>
    <t>MARCY-SOUTH CAPITALIZED LEASE AMORTIZATION</t>
  </si>
  <si>
    <t>AND UNAMORTIZED BALANCE</t>
  </si>
  <si>
    <t>INDEX</t>
  </si>
  <si>
    <t>          </t>
  </si>
  <si>
    <t>       </t>
  </si>
  <si>
    <t>                                              </t>
  </si>
  <si>
    <t>Total Impairment - Transmission</t>
  </si>
  <si>
    <t>Total Impairment - Production</t>
  </si>
  <si>
    <t>Total Impairment - General Plant</t>
  </si>
  <si>
    <t>Center</t>
  </si>
  <si>
    <t>Posting</t>
  </si>
  <si>
    <t>Date</t>
  </si>
  <si>
    <t>Unallocated</t>
  </si>
  <si>
    <t>105</t>
  </si>
  <si>
    <t>110</t>
  </si>
  <si>
    <t>115</t>
  </si>
  <si>
    <t>120</t>
  </si>
  <si>
    <t>165</t>
  </si>
  <si>
    <t>125</t>
  </si>
  <si>
    <t>Hell Gate</t>
  </si>
  <si>
    <t>Harlem River</t>
  </si>
  <si>
    <t>Vernon Blvd.</t>
  </si>
  <si>
    <t>23rd &amp; 3rd (Gowanus)</t>
  </si>
  <si>
    <t>N 1st &amp;Grand (Kent)</t>
  </si>
  <si>
    <t>Pouch Terminal</t>
  </si>
  <si>
    <t>Brentwood</t>
  </si>
  <si>
    <t>Power for Jobs</t>
  </si>
  <si>
    <t>Recharge NY</t>
  </si>
  <si>
    <t>Admin. Exp. Transferred-Cr</t>
  </si>
  <si>
    <t>Labor Actual</t>
  </si>
  <si>
    <t>Total Small Hydro</t>
  </si>
  <si>
    <t>Total - Production + Transmission</t>
  </si>
  <si>
    <t>Total - Production Only</t>
  </si>
  <si>
    <t>AE II</t>
  </si>
  <si>
    <t>130-150</t>
  </si>
  <si>
    <t>155-161</t>
  </si>
  <si>
    <t>205-245</t>
  </si>
  <si>
    <t>Total Small Clean Power Plants</t>
  </si>
  <si>
    <t>Name</t>
  </si>
  <si>
    <t>Cost-of-Service Summary</t>
  </si>
  <si>
    <t>925 -    A&amp;G-Injuries &amp; Damages Insurance</t>
  </si>
  <si>
    <t>925</t>
  </si>
  <si>
    <t>Injuries &amp; Damages Insurance</t>
  </si>
  <si>
    <t>PROPERTY INSURANCE ALLOCATION</t>
  </si>
  <si>
    <t>Allocated</t>
  </si>
  <si>
    <t>Expense -</t>
  </si>
  <si>
    <t>Amount ($)</t>
  </si>
  <si>
    <t>Ratio (%)</t>
  </si>
  <si>
    <t>Transmission ($)</t>
  </si>
  <si>
    <t>Notes</t>
  </si>
  <si>
    <t>Injury/Damage</t>
  </si>
  <si>
    <t>Less A/C 925</t>
  </si>
  <si>
    <t>INJURIES &amp; DAMAGES INSURANCE EXPENSE ALLOCATION</t>
  </si>
  <si>
    <t>FACTS Plant-in-Service</t>
  </si>
  <si>
    <t>Reclassified FACTS Transmission Plant</t>
  </si>
  <si>
    <t>Transmission Maintenance</t>
  </si>
  <si>
    <t>Generator Step-Up Transformer Plant-in-Service</t>
  </si>
  <si>
    <t xml:space="preserve">       Total  Maintenance</t>
  </si>
  <si>
    <t>TOTAL ADJUSTED O&amp;M TRANSMISSION</t>
  </si>
  <si>
    <t>TRANSMISSION REVENUE REQUIREMENT SUMMARY</t>
  </si>
  <si>
    <t>NET A&amp;G TRANSMISSION EXPENSE</t>
  </si>
  <si>
    <t xml:space="preserve">     Subtotal</t>
  </si>
  <si>
    <t xml:space="preserve">     Subtotal (Full Transmission)</t>
  </si>
  <si>
    <t>500MW Combined Cycle</t>
  </si>
  <si>
    <t>Capitalized Lease Amortization</t>
  </si>
  <si>
    <t>Total Adjustments</t>
  </si>
  <si>
    <t>TOTAL $</t>
  </si>
  <si>
    <t>Labor Ratio</t>
  </si>
  <si>
    <t>1/</t>
  </si>
  <si>
    <t>2/</t>
  </si>
  <si>
    <t>3/</t>
  </si>
  <si>
    <t>4/</t>
  </si>
  <si>
    <t>1/  Source:</t>
  </si>
  <si>
    <t>Share</t>
  </si>
  <si>
    <t>Rate</t>
  </si>
  <si>
    <t>1/:</t>
  </si>
  <si>
    <t>2/:</t>
  </si>
  <si>
    <t>3/:</t>
  </si>
  <si>
    <t>GENERATOR STEP-UP TRANSFORMERS BREAKOUT</t>
  </si>
  <si>
    <t>(6)</t>
  </si>
  <si>
    <t>(7)</t>
  </si>
  <si>
    <t>Col 1, Ln 2 / Col 1, Ln 1</t>
  </si>
  <si>
    <t xml:space="preserve">    (4)</t>
  </si>
  <si>
    <t>924 -    A&amp;G-Property Insurance</t>
  </si>
  <si>
    <t>Postings $</t>
  </si>
  <si>
    <t>930.5</t>
  </si>
  <si>
    <t>Misc. General Expenses</t>
  </si>
  <si>
    <t>Research &amp; Development</t>
  </si>
  <si>
    <t>930.2</t>
  </si>
  <si>
    <t>Total M&amp;S</t>
  </si>
  <si>
    <t>Inventory</t>
  </si>
  <si>
    <t>NIA</t>
  </si>
  <si>
    <t>STL</t>
  </si>
  <si>
    <t>POL</t>
  </si>
  <si>
    <t>B/G</t>
  </si>
  <si>
    <t>500MW</t>
  </si>
  <si>
    <t>CEC</t>
  </si>
  <si>
    <t>0100/105</t>
  </si>
  <si>
    <t>0100/110</t>
  </si>
  <si>
    <t>0100/115</t>
  </si>
  <si>
    <t>0100/120</t>
  </si>
  <si>
    <t>0100/122</t>
  </si>
  <si>
    <t>0100/125</t>
  </si>
  <si>
    <t>0100/130</t>
  </si>
  <si>
    <t>0100/135</t>
  </si>
  <si>
    <t>0100/140</t>
  </si>
  <si>
    <t>0100/145</t>
  </si>
  <si>
    <t>0100/150</t>
  </si>
  <si>
    <t>0100/155</t>
  </si>
  <si>
    <t>0100/156</t>
  </si>
  <si>
    <t>0100/157</t>
  </si>
  <si>
    <t>0100/158</t>
  </si>
  <si>
    <t>0100/159</t>
  </si>
  <si>
    <t>0100/160</t>
  </si>
  <si>
    <t>0100/161</t>
  </si>
  <si>
    <t>0100/165</t>
  </si>
  <si>
    <t>0100/205</t>
  </si>
  <si>
    <t>0100/210</t>
  </si>
  <si>
    <t>0100/215</t>
  </si>
  <si>
    <t>0100/220</t>
  </si>
  <si>
    <t>0100/225</t>
  </si>
  <si>
    <t>0100/230</t>
  </si>
  <si>
    <t>0100/235</t>
  </si>
  <si>
    <t>0100/240</t>
  </si>
  <si>
    <t>0100/245</t>
  </si>
  <si>
    <t>0100/305</t>
  </si>
  <si>
    <t>0100/310</t>
  </si>
  <si>
    <t>0100/320</t>
  </si>
  <si>
    <t>0100/321</t>
  </si>
  <si>
    <t>0100/410</t>
  </si>
  <si>
    <t>0100/600</t>
  </si>
  <si>
    <t>Astoria Energy II</t>
  </si>
  <si>
    <t>DSM</t>
  </si>
  <si>
    <t>506 -    SP-Misc Steam Power</t>
  </si>
  <si>
    <t>512 -    SP-Maint Boiler Plt</t>
  </si>
  <si>
    <t>538 -    HP-Electric Expenses</t>
  </si>
  <si>
    <t>923 -   Outside Services Employed</t>
  </si>
  <si>
    <t>926 -    A&amp;G-Employee Pension &amp; Benefits</t>
  </si>
  <si>
    <t>928 -    A&amp;G-Regulatory Commission Expense</t>
  </si>
  <si>
    <t>930.2-A&amp;G-Miscellaneous &amp; General Expense</t>
  </si>
  <si>
    <t>935 -    A&amp;G-Maintenance of General Plant</t>
  </si>
  <si>
    <t>Actual</t>
  </si>
  <si>
    <t>Production      </t>
  </si>
  <si>
    <t>Transmission    </t>
  </si>
  <si>
    <t>General         </t>
  </si>
  <si>
    <t>P/T/G</t>
  </si>
  <si>
    <t>Plant Name</t>
  </si>
  <si>
    <t>A/C</t>
  </si>
  <si>
    <t>Allocator</t>
  </si>
  <si>
    <t>Avg. M&amp;S</t>
  </si>
  <si>
    <t>0100/255</t>
  </si>
  <si>
    <t>FERC G/L Accounts</t>
  </si>
  <si>
    <t>HTP Trans</t>
  </si>
  <si>
    <t>Obsolete/Excess Inv</t>
  </si>
  <si>
    <t>Net position at January 1</t>
  </si>
  <si>
    <t>Net position at December 31</t>
  </si>
  <si>
    <t>Astoria 2 (AE-II) Substation</t>
  </si>
  <si>
    <t>930</t>
  </si>
  <si>
    <t>Year-Over-Year Accumulated Depreciation</t>
  </si>
  <si>
    <t>Production</t>
  </si>
  <si>
    <t>Avg. Transmission Plant in Service</t>
  </si>
  <si>
    <t>Cost of Removal to Regulatory Assets - Depreciation:</t>
  </si>
  <si>
    <t>TOTAL REVENUE REQUIREMENT</t>
  </si>
  <si>
    <t>Source</t>
  </si>
  <si>
    <t>A</t>
  </si>
  <si>
    <t>B</t>
  </si>
  <si>
    <t>C</t>
  </si>
  <si>
    <t>D</t>
  </si>
  <si>
    <t>E</t>
  </si>
  <si>
    <t>F</t>
  </si>
  <si>
    <t>H</t>
  </si>
  <si>
    <t>Less line 6</t>
  </si>
  <si>
    <t>Less line 5</t>
  </si>
  <si>
    <t>LN</t>
  </si>
  <si>
    <t>(sum lines 1-14)</t>
  </si>
  <si>
    <t>Project Revenue Requirement Worksheet</t>
  </si>
  <si>
    <t>Line</t>
  </si>
  <si>
    <t>Page, Line, Col.</t>
  </si>
  <si>
    <t>Gross Transmission Plant - Total</t>
  </si>
  <si>
    <t>1a</t>
  </si>
  <si>
    <t>Transmission Accumulated Depreciation</t>
  </si>
  <si>
    <t>1b</t>
  </si>
  <si>
    <t>Net Transmission Plant - Total</t>
  </si>
  <si>
    <t>Line 1 minus Line 1a plus Line 1b</t>
  </si>
  <si>
    <t>O&amp;M TRANSMISSION EXPENSE</t>
  </si>
  <si>
    <t>Total O&amp;M Allocated to Transmission</t>
  </si>
  <si>
    <t>5</t>
  </si>
  <si>
    <t>6</t>
  </si>
  <si>
    <t>7</t>
  </si>
  <si>
    <t>8</t>
  </si>
  <si>
    <t xml:space="preserve">RETURN </t>
  </si>
  <si>
    <t>Annual Allocation Factor for Return on Rate Base</t>
  </si>
  <si>
    <t>Annual Allocation Factor for Return</t>
  </si>
  <si>
    <t>(14)</t>
  </si>
  <si>
    <t>(15)</t>
  </si>
  <si>
    <t>(16)</t>
  </si>
  <si>
    <t>Project Name and #</t>
  </si>
  <si>
    <t>Type</t>
  </si>
  <si>
    <t>Incentive Return in basis Points</t>
  </si>
  <si>
    <t>Col. 3 * Col. 5</t>
  </si>
  <si>
    <t>(Note E)</t>
  </si>
  <si>
    <t>(Note F)</t>
  </si>
  <si>
    <t>1c</t>
  </si>
  <si>
    <t>1d</t>
  </si>
  <si>
    <t>1e</t>
  </si>
  <si>
    <t>1f</t>
  </si>
  <si>
    <t>1g</t>
  </si>
  <si>
    <t>1h</t>
  </si>
  <si>
    <t>1i</t>
  </si>
  <si>
    <t>1j</t>
  </si>
  <si>
    <t>1k</t>
  </si>
  <si>
    <t>1l</t>
  </si>
  <si>
    <t>1m</t>
  </si>
  <si>
    <t>1n</t>
  </si>
  <si>
    <t>1o</t>
  </si>
  <si>
    <t>2</t>
  </si>
  <si>
    <t>Note</t>
  </si>
  <si>
    <t>Letter</t>
  </si>
  <si>
    <t>Incentives</t>
  </si>
  <si>
    <t>Rate Base</t>
  </si>
  <si>
    <t>100 Basis Point Incentive Return</t>
  </si>
  <si>
    <t>$</t>
  </si>
  <si>
    <t>%</t>
  </si>
  <si>
    <t xml:space="preserve">  Long Term Debt </t>
  </si>
  <si>
    <t xml:space="preserve">  Common Stock</t>
  </si>
  <si>
    <t>Total  (sum lines 3-4)</t>
  </si>
  <si>
    <t>100 Basis Point Incentive Return multiplied by Rate Base (line 1 * line 5)</t>
  </si>
  <si>
    <t>Incremental Return for 100 basis point increase in ROE</t>
  </si>
  <si>
    <t>(Line 6 less line 7)</t>
  </si>
  <si>
    <t>Incremental Return for 100 basis point increase in ROE divided by Rate Base</t>
  </si>
  <si>
    <t>(Line 8 / line 9)</t>
  </si>
  <si>
    <t xml:space="preserve">Notes: </t>
  </si>
  <si>
    <t>Line 5 includes a 100 basis point increase in ROE that is used only to determine the increase in return and income taxes associated with</t>
  </si>
  <si>
    <t>Project True-Up</t>
  </si>
  <si>
    <t>(d)</t>
  </si>
  <si>
    <t>(e)</t>
  </si>
  <si>
    <t>True-Up</t>
  </si>
  <si>
    <t>Applicable</t>
  </si>
  <si>
    <t>Adjustment</t>
  </si>
  <si>
    <t>Interest</t>
  </si>
  <si>
    <t>Project</t>
  </si>
  <si>
    <t>Revenue</t>
  </si>
  <si>
    <t>Principal</t>
  </si>
  <si>
    <t xml:space="preserve">Prior Period </t>
  </si>
  <si>
    <t>Rate on</t>
  </si>
  <si>
    <t>Number</t>
  </si>
  <si>
    <t>Under/(Over)</t>
  </si>
  <si>
    <t>Line 24</t>
  </si>
  <si>
    <t>Schedule 1</t>
  </si>
  <si>
    <t>…</t>
  </si>
  <si>
    <t>Subtotal</t>
  </si>
  <si>
    <t>Under/(Over) Recovery</t>
  </si>
  <si>
    <t>FERC Refund Interest Rate</t>
  </si>
  <si>
    <t>Interest Rate (Note A):</t>
  </si>
  <si>
    <t>Interest Rates under Section 35.19(a)</t>
  </si>
  <si>
    <t>January</t>
  </si>
  <si>
    <t>February</t>
  </si>
  <si>
    <t>March</t>
  </si>
  <si>
    <t>April</t>
  </si>
  <si>
    <t>May</t>
  </si>
  <si>
    <t>June</t>
  </si>
  <si>
    <t>July</t>
  </si>
  <si>
    <t>August</t>
  </si>
  <si>
    <t>September</t>
  </si>
  <si>
    <t>October</t>
  </si>
  <si>
    <t>November</t>
  </si>
  <si>
    <t>December</t>
  </si>
  <si>
    <t>Avg. Monthly FERC Rate</t>
  </si>
  <si>
    <t>Prior Period Adjustments</t>
  </si>
  <si>
    <t xml:space="preserve">Project or </t>
  </si>
  <si>
    <t>Total Adjustment</t>
  </si>
  <si>
    <t xml:space="preserve">A Description of the Adjustment </t>
  </si>
  <si>
    <t>In Dollars</t>
  </si>
  <si>
    <t>(Note  A)</t>
  </si>
  <si>
    <t>Col. (c) + Col. (d)</t>
  </si>
  <si>
    <t>25a</t>
  </si>
  <si>
    <t>25b</t>
  </si>
  <si>
    <t>25c</t>
  </si>
  <si>
    <t>..</t>
  </si>
  <si>
    <t>Notes:</t>
  </si>
  <si>
    <t>GENERAL DEPRECIATION EXPENSE</t>
  </si>
  <si>
    <t>Total General Depreciation Expense</t>
  </si>
  <si>
    <t>Annual Allocation Factor for Expenses</t>
  </si>
  <si>
    <t>(Sum Col. 6, 9 &amp; 10)</t>
  </si>
  <si>
    <t>check</t>
  </si>
  <si>
    <t>Docket Number</t>
  </si>
  <si>
    <t>Authorized Amount</t>
  </si>
  <si>
    <t xml:space="preserve"> TOTAL         (sum lines 1-9)</t>
  </si>
  <si>
    <t>352</t>
  </si>
  <si>
    <t>353</t>
  </si>
  <si>
    <t xml:space="preserve">     5 Year Property</t>
  </si>
  <si>
    <t xml:space="preserve">     10 Year Property</t>
  </si>
  <si>
    <t xml:space="preserve">     20 Year Property</t>
  </si>
  <si>
    <t xml:space="preserve">     7 Year Property</t>
  </si>
  <si>
    <t>Per FERC order (Note H)</t>
  </si>
  <si>
    <t>The Total General and Common Depreciation Expense excludes any depreciation expense directly associated with a project and thereby included in page 2 column 8.</t>
  </si>
  <si>
    <t>Reserved</t>
  </si>
  <si>
    <t>Cost = Schedule E, line 2, Cost plus .01</t>
  </si>
  <si>
    <t>or Project</t>
  </si>
  <si>
    <t>True-up Adjustment</t>
  </si>
  <si>
    <t>NET ADJUSTED REVENUE REQUIREMENT</t>
  </si>
  <si>
    <t xml:space="preserve">Sum lines 1, 2, &amp; 3 </t>
  </si>
  <si>
    <t>Breakout by Project</t>
  </si>
  <si>
    <t>Total Break out</t>
  </si>
  <si>
    <t>PROJECT REVENUE REQUIREMENT WORKSHEET</t>
  </si>
  <si>
    <t>INCENTIVES</t>
  </si>
  <si>
    <t>PROJECT TRUE-UP</t>
  </si>
  <si>
    <t xml:space="preserve">DEPRECIATION AND AMORTIZATION RATES </t>
  </si>
  <si>
    <t>MARCY-SOUTH CAPITALIZED LEASE AMORTIZATION AND UNAMORTIZED BALANCE</t>
  </si>
  <si>
    <t>Page 1 of 2</t>
  </si>
  <si>
    <t>Page 2 of 2</t>
  </si>
  <si>
    <t>TRANSMISSION (353 Station Equip.)</t>
  </si>
  <si>
    <t>930.1-A&amp;G-General Advertising Expense</t>
  </si>
  <si>
    <t>930.1</t>
  </si>
  <si>
    <t>General Advertising Expense</t>
  </si>
  <si>
    <t>Interest LTD (including Swaps, Deferred Refinancing)</t>
  </si>
  <si>
    <t>Land</t>
  </si>
  <si>
    <t>Construction in progress</t>
  </si>
  <si>
    <t>Production - Hydro</t>
  </si>
  <si>
    <t>Production - Gas turbine/combined cycle</t>
  </si>
  <si>
    <t>Category</t>
  </si>
  <si>
    <t>Transmission Total</t>
  </si>
  <si>
    <t>Production - Hydro Total</t>
  </si>
  <si>
    <t>Production - Gas turbine/combined cycle Total</t>
  </si>
  <si>
    <t>Land Total</t>
  </si>
  <si>
    <t>General Total</t>
  </si>
  <si>
    <t>Construction in progress Total</t>
  </si>
  <si>
    <t>SUBTOTAL Astoria 2 (AE-II) Substation</t>
  </si>
  <si>
    <t>Capital assets, not being depreciated:</t>
  </si>
  <si>
    <t>Total capital assets not being depreciated</t>
  </si>
  <si>
    <t>Capital assets, being depreciated:</t>
  </si>
  <si>
    <t>Total capital assets, being depreciated</t>
  </si>
  <si>
    <t>Power Sales</t>
  </si>
  <si>
    <t>Transmission Charges</t>
  </si>
  <si>
    <t>Wheeling Charges</t>
  </si>
  <si>
    <t>Fuel Oil and Gas</t>
  </si>
  <si>
    <t>Operations</t>
  </si>
  <si>
    <t>Maintenance</t>
  </si>
  <si>
    <t>Operating Income</t>
  </si>
  <si>
    <t>Nonoperating Revenues</t>
  </si>
  <si>
    <t>Nonoperating Expenses</t>
  </si>
  <si>
    <t>Contribution to New York State</t>
  </si>
  <si>
    <t>Interest on Long-Term Debt</t>
  </si>
  <si>
    <t>Interest Capitalized</t>
  </si>
  <si>
    <t>Amortization of Debt Premium</t>
  </si>
  <si>
    <t>Interest - Other</t>
  </si>
  <si>
    <t>Net Income Before Contributed Capital</t>
  </si>
  <si>
    <t>Contributed Capital - Wind Farm Transmission  Assets</t>
  </si>
  <si>
    <t>Change in net position</t>
  </si>
  <si>
    <t>Liabilities, Deferred Inflows and Net Position</t>
  </si>
  <si>
    <t>Current Liabilities:</t>
  </si>
  <si>
    <t>Accounts payable and accrued liabilities</t>
  </si>
  <si>
    <t>Short-term debt</t>
  </si>
  <si>
    <t>Long-term debt due within one year</t>
  </si>
  <si>
    <t>Capital lease obligation due within one year</t>
  </si>
  <si>
    <t>Risk management activities - derivatives</t>
  </si>
  <si>
    <t>Total current liabilities</t>
  </si>
  <si>
    <t>Noncurrent liabilities:</t>
  </si>
  <si>
    <t>Long-term debt:</t>
  </si>
  <si>
    <t>Senior:</t>
  </si>
  <si>
    <t>Revenue bonds</t>
  </si>
  <si>
    <t>Adjustable rate tender notes</t>
  </si>
  <si>
    <t>Subordinated:</t>
  </si>
  <si>
    <t>Commercial paper</t>
  </si>
  <si>
    <t>Total long-term debt</t>
  </si>
  <si>
    <t>Other noncurrent liabilities:</t>
  </si>
  <si>
    <t>Capital lease obligation</t>
  </si>
  <si>
    <t>Liability to decommission divested nuclear facilities</t>
  </si>
  <si>
    <t>Disposal of spent nuclear fuel</t>
  </si>
  <si>
    <t>Relicensing</t>
  </si>
  <si>
    <t>Other long-term liabilities</t>
  </si>
  <si>
    <t>Total other noncurrent liabilities</t>
  </si>
  <si>
    <t>Total noncurrent liabilities</t>
  </si>
  <si>
    <t>Total liabilities</t>
  </si>
  <si>
    <t>Deferred inflows:</t>
  </si>
  <si>
    <t>Cost of removal obligation</t>
  </si>
  <si>
    <t>Net position:</t>
  </si>
  <si>
    <t>Net investment in capital assets</t>
  </si>
  <si>
    <t>Restricted</t>
  </si>
  <si>
    <t>Unrestricted</t>
  </si>
  <si>
    <t>Total net position</t>
  </si>
  <si>
    <t>Total liabilities, deferred inflows and net position</t>
  </si>
  <si>
    <t>Assets and Deferred Outflows</t>
  </si>
  <si>
    <t>Cash and cash equivalents</t>
  </si>
  <si>
    <t>Investment in securities</t>
  </si>
  <si>
    <t>Receivables - customers</t>
  </si>
  <si>
    <t>Materials and supplies, at average Cost:</t>
  </si>
  <si>
    <t>Plant and general</t>
  </si>
  <si>
    <t>Fuel</t>
  </si>
  <si>
    <t>Miscellaneous receivables and other</t>
  </si>
  <si>
    <t>Total current assets</t>
  </si>
  <si>
    <t>Noncurrent Assets:</t>
  </si>
  <si>
    <t>Current Assets:</t>
  </si>
  <si>
    <t>Restricted funds:</t>
  </si>
  <si>
    <t>Total restricted assets</t>
  </si>
  <si>
    <t>Capital funds:</t>
  </si>
  <si>
    <t>Capital Assets</t>
  </si>
  <si>
    <t>Capital assets not being depreciated</t>
  </si>
  <si>
    <t>Capital assets, net of accumulated depreciation</t>
  </si>
  <si>
    <t>Total capital funds</t>
  </si>
  <si>
    <t>Total capital assets</t>
  </si>
  <si>
    <t>Other noncurrent assets:</t>
  </si>
  <si>
    <t>Receivable - New York State</t>
  </si>
  <si>
    <t>Notes receivable - nuclear plant sale</t>
  </si>
  <si>
    <t>Other long-term assets</t>
  </si>
  <si>
    <t>Total other noncurrent assets</t>
  </si>
  <si>
    <t>Total noncurrent assets</t>
  </si>
  <si>
    <t>Total assets</t>
  </si>
  <si>
    <t>Deferred outflows:</t>
  </si>
  <si>
    <t>Total assets and deferred outflows</t>
  </si>
  <si>
    <t>Unadjusted General Plant Depreciation</t>
  </si>
  <si>
    <t>Subordinated Notes, Series 2012</t>
  </si>
  <si>
    <t>COST OF REMOVAL</t>
  </si>
  <si>
    <t>Production - Land</t>
  </si>
  <si>
    <t>Production - Gas Turbine / Combined Cycle</t>
  </si>
  <si>
    <t>Transmission - Land</t>
  </si>
  <si>
    <t>Transmission - Asset Impairment</t>
  </si>
  <si>
    <t>General - Land</t>
  </si>
  <si>
    <t>General - Asset Impairment</t>
  </si>
  <si>
    <t>General - Cost of Removal</t>
  </si>
  <si>
    <t>Operation and Maintenance Summary</t>
  </si>
  <si>
    <t>TOTALS</t>
  </si>
  <si>
    <t>OVERALL</t>
  </si>
  <si>
    <t>RESULT</t>
  </si>
  <si>
    <t xml:space="preserve">              FERC by accounts and profit center</t>
  </si>
  <si>
    <t>Generator Step-ups</t>
  </si>
  <si>
    <t>GENERAL</t>
  </si>
  <si>
    <t>ADMIN &amp; GENERAL</t>
  </si>
  <si>
    <t>403 -    Depreciation Expense</t>
  </si>
  <si>
    <t>New York Power Authority</t>
  </si>
  <si>
    <t>Capital Assets - Note 5</t>
  </si>
  <si>
    <t>balance</t>
  </si>
  <si>
    <t>Additions</t>
  </si>
  <si>
    <t>Deletions</t>
  </si>
  <si>
    <t>Production – Hydro</t>
  </si>
  <si>
    <t>Production – Gas</t>
  </si>
  <si>
    <t>turbine/combined cycle</t>
  </si>
  <si>
    <t>Major</t>
  </si>
  <si>
    <t>O&amp;M AND A&amp;G SUMMARY</t>
  </si>
  <si>
    <t>O&amp;M AND A&amp;G DETAIL</t>
  </si>
  <si>
    <t>EXCLUDED PLANT IN SERVICE</t>
  </si>
  <si>
    <t>Accumulated decrease in fair value of hedging derivatives</t>
  </si>
  <si>
    <t>Investment Income</t>
  </si>
  <si>
    <t>PLANT IN SERVICE DETAIL</t>
  </si>
  <si>
    <t>Gross Plant in</t>
  </si>
  <si>
    <t>Service Ratio</t>
  </si>
  <si>
    <t>926 -    A&amp;G-Employee Pension &amp; Benefits(PBOP)</t>
  </si>
  <si>
    <t xml:space="preserve">Actual Revenues </t>
  </si>
  <si>
    <t>Received (Note 1)</t>
  </si>
  <si>
    <t>Requirement (Note 2)</t>
  </si>
  <si>
    <t>Line 25, Col. (e)</t>
  </si>
  <si>
    <t>Less EPRI Dues</t>
  </si>
  <si>
    <t>Less A/C 928</t>
  </si>
  <si>
    <t>Less line 8</t>
  </si>
  <si>
    <t>PBOP Adjustment</t>
  </si>
  <si>
    <t xml:space="preserve">CAPITAL STRUCTURE AND COST OF CAPITAL </t>
  </si>
  <si>
    <t>LABOR  RATIO</t>
  </si>
  <si>
    <t>Col (1) * Col (2)</t>
  </si>
  <si>
    <t>Col (3); Ln (1) + Ln (2)</t>
  </si>
  <si>
    <t>Income</t>
  </si>
  <si>
    <t>St. Lawrence/FDR</t>
  </si>
  <si>
    <t>Massena-Marcy</t>
  </si>
  <si>
    <t>Marcy-South</t>
  </si>
  <si>
    <t>New Project</t>
  </si>
  <si>
    <t>Microwave Tower Rental Income</t>
  </si>
  <si>
    <t>MICROWAVE TOWER RENTAL INCOME</t>
  </si>
  <si>
    <t>Adjustments to Rate Base</t>
  </si>
  <si>
    <t>CAPITAL ASSETS - Note 5 ($ Millions)</t>
  </si>
  <si>
    <t>Recharge New York</t>
  </si>
  <si>
    <t>Base PBOP Amount</t>
  </si>
  <si>
    <t>Operation and Maintenance Detail</t>
  </si>
  <si>
    <t>Line 4 less line 3</t>
  </si>
  <si>
    <t>Line 1 less line 2</t>
  </si>
  <si>
    <t>PBOP contained in Cost of Service</t>
  </si>
  <si>
    <t>Flexible Alternating Current Transmission System device</t>
  </si>
  <si>
    <t>Note 1</t>
  </si>
  <si>
    <t>FACTS (Note 1)</t>
  </si>
  <si>
    <t>NTAC ATRR</t>
  </si>
  <si>
    <t>Reference</t>
  </si>
  <si>
    <t xml:space="preserve">STATEMENT OF REVENUES, EXPENSES AND CHANGES IN NET POSITION </t>
  </si>
  <si>
    <t>(sum lines 1-4)</t>
  </si>
  <si>
    <t>(sum lines 6-11)</t>
  </si>
  <si>
    <t>(sum lines 5 &amp; 12)</t>
  </si>
  <si>
    <t>(Page 1, line 8)</t>
  </si>
  <si>
    <t>(Col. 7 * Col. 8)</t>
  </si>
  <si>
    <t>NTAC Facilities</t>
  </si>
  <si>
    <t xml:space="preserve">The revenue requirements shown on lines 11 and 11a et seq. and annual revenue requirements.  If the first year is a partial year, 1/12 of the amounts should be recovered for every month of the Rate Year. </t>
  </si>
  <si>
    <t>STEP-UP TRANSFORMERS O&amp;M ALLOCATOR</t>
  </si>
  <si>
    <t>FACTS O&amp;M ALLOCATOR</t>
  </si>
  <si>
    <t>PROPERTY INSURANCE ALLOCATOR</t>
  </si>
  <si>
    <t>Removed Step-up Transmission O&amp;M</t>
  </si>
  <si>
    <t>($)</t>
  </si>
  <si>
    <t>Insurance ($)</t>
  </si>
  <si>
    <t>Prepayments ($)</t>
  </si>
  <si>
    <t>Obligation ($)</t>
  </si>
  <si>
    <t>Lease/Asset ($)</t>
  </si>
  <si>
    <t>Amortization ($)</t>
  </si>
  <si>
    <t>Inventory ($)</t>
  </si>
  <si>
    <t>M&amp;S ($)</t>
  </si>
  <si>
    <t>Service ($)</t>
  </si>
  <si>
    <t>Service (Net $)</t>
  </si>
  <si>
    <t>Expense ($)</t>
  </si>
  <si>
    <t>Service  (Net $)</t>
  </si>
  <si>
    <t>Depreciation Expense ($)</t>
  </si>
  <si>
    <t>Electric Plant in Service ($)</t>
  </si>
  <si>
    <t>Accumulated Depreciation ($)</t>
  </si>
  <si>
    <t>Electric Plant in Service  (Net $ )</t>
  </si>
  <si>
    <t>Electric Plant in Service  (Net $)</t>
  </si>
  <si>
    <t>Project Gross Plant ($)</t>
  </si>
  <si>
    <t>Project Accumulated Depreciation ($)</t>
  </si>
  <si>
    <t>Annual Allocation for Expenses ($)</t>
  </si>
  <si>
    <t>Project Net Plant ($)</t>
  </si>
  <si>
    <t>Annual Return Charge ($)</t>
  </si>
  <si>
    <t>Project Depreciation/Amortization Expense ($)</t>
  </si>
  <si>
    <t>Annual Revenue Requirement ($)</t>
  </si>
  <si>
    <t>Incentive Return ($)</t>
  </si>
  <si>
    <t>Total Annual Revenue Requirement ($)</t>
  </si>
  <si>
    <t>True-Up Adjustment ($)</t>
  </si>
  <si>
    <t>Net Revenue Requirement ($)</t>
  </si>
  <si>
    <t>LABOR AMOUNT ($)</t>
  </si>
  <si>
    <t>PLANT ($)</t>
  </si>
  <si>
    <t>GENERAL PLANT ($)</t>
  </si>
  <si>
    <t>TRANSMISSION ($)</t>
  </si>
  <si>
    <t>ANNUAL DEPRECIATION AND AMORTIZATION EXPENSES ($)</t>
  </si>
  <si>
    <t>A&amp;G ($)</t>
  </si>
  <si>
    <t>OPERATION &amp; MAINTENANCE EXPENSE SUMMARY ($)</t>
  </si>
  <si>
    <t>(sum lines 13-16)</t>
  </si>
  <si>
    <t>5/</t>
  </si>
  <si>
    <t>6/</t>
  </si>
  <si>
    <t>Amount Actually Received for Transmission Service</t>
  </si>
  <si>
    <t>Preferred Dividends</t>
  </si>
  <si>
    <t>LTD Cost Rate</t>
  </si>
  <si>
    <t>POSTRETIREMENT BENEFITS OTHER THAN PENSIONS (PBOP)</t>
  </si>
  <si>
    <t>PBOP Capitalized</t>
  </si>
  <si>
    <t>(Net $)</t>
  </si>
  <si>
    <t>J. A. FitzPatrick</t>
  </si>
  <si>
    <t>Transmission CWIP, Regulatory Asset and Abandoned Plant</t>
  </si>
  <si>
    <t>Inclusive of any CWIP, Unamortized Regulatory Asset or Unamortized Abandoned Plant balances included in rate base when authorized by FERC order.</t>
  </si>
  <si>
    <t>Project Net Plant is the Project Gross Plant Identified in Column 3 less the associated Accumulated Depreciation in page 2, column 4.  Net Plant includes any FERC approved CWIP, Unamortized Abandoned Plant and Regulatory Asset.</t>
  </si>
  <si>
    <t>Col (2)+(5)</t>
  </si>
  <si>
    <t xml:space="preserve"> (1) + (4)</t>
  </si>
  <si>
    <t>CAPITALIZATION RATIO</t>
  </si>
  <si>
    <t xml:space="preserve">COST RATE </t>
  </si>
  <si>
    <t>AVERAGE</t>
  </si>
  <si>
    <t xml:space="preserve">WEIGHTED  </t>
  </si>
  <si>
    <t>Note 2</t>
  </si>
  <si>
    <t>Adjustments   (Note 2)</t>
  </si>
  <si>
    <t>(Note A)</t>
  </si>
  <si>
    <t>Incentive Return</t>
  </si>
  <si>
    <t>Net Transmission Plant</t>
  </si>
  <si>
    <t>Line 7 + line 8 + line 9</t>
  </si>
  <si>
    <t>Exhibit No. PA-102, INDEX</t>
  </si>
  <si>
    <t>Total Capital Assets</t>
  </si>
  <si>
    <t>Less CWIP</t>
  </si>
  <si>
    <t>Total Assets in Service</t>
  </si>
  <si>
    <t>Comprising:</t>
  </si>
  <si>
    <t>Service - Net ($)</t>
  </si>
  <si>
    <t>Unadjusted Depreciation</t>
  </si>
  <si>
    <t>Total Assets in Service - As per ATRR</t>
  </si>
  <si>
    <t>Capital Assets not being depreciated</t>
  </si>
  <si>
    <t>Capital Assets being depreciated</t>
  </si>
  <si>
    <t>Adjustments for ATRR</t>
  </si>
  <si>
    <t>Cost of Removal (note 1)</t>
  </si>
  <si>
    <t>Excluded (note 2)</t>
  </si>
  <si>
    <t>Adjustments to Rate Base (note 3)</t>
  </si>
  <si>
    <t>RECONCILIATIONS BETWEEN ANNUAL REPORT &amp; ATRR</t>
  </si>
  <si>
    <t>As per Annual Report</t>
  </si>
  <si>
    <t>925 - Injuries &amp; Damages Insurance as allocated</t>
  </si>
  <si>
    <t>924 -Property Insurance as allocated</t>
  </si>
  <si>
    <t>A&amp;G allocated to Production and General</t>
  </si>
  <si>
    <t>Less A/C 924 - Property Insurance</t>
  </si>
  <si>
    <t>Less A/C 925 - Injuries &amp; Damages Insurance</t>
  </si>
  <si>
    <t>OPERATION &amp; MAINTANANCE EXPENSES</t>
  </si>
  <si>
    <t>Cost of Removal: Bringing back to accumulated depreciation cost of removal which was reclassified to regulatory liabilities in annual report</t>
  </si>
  <si>
    <t>Excluded: Assets not recoverable under ATRR</t>
  </si>
  <si>
    <t>Excluded Expenses</t>
  </si>
  <si>
    <t>As per ATRR</t>
  </si>
  <si>
    <t>Total O&amp;M</t>
  </si>
  <si>
    <t>Operations &amp; Maintenance Expenses - as per Annual Report</t>
  </si>
  <si>
    <t>Operations &amp; Maintenance Expenses - as per ATRR</t>
  </si>
  <si>
    <t>MATERIALS &amp; SUPPLIES</t>
  </si>
  <si>
    <t>Plant and General</t>
  </si>
  <si>
    <t>Long-Term</t>
  </si>
  <si>
    <t>Short-Term</t>
  </si>
  <si>
    <t>Long -Term Debt</t>
  </si>
  <si>
    <t>INTEREST ON LONG-TERM DEBT</t>
  </si>
  <si>
    <t>Transmission - Cost of Removal 1/</t>
  </si>
  <si>
    <t>Excluded Transmission   2/</t>
  </si>
  <si>
    <t>2/   Excluded Transmission: Assets not recoverable under ATRR, FERC Accounts 350 and 352-359 for 500 MW, AEII, Poletti, SCPPs, Small Hydro, and Flynn.</t>
  </si>
  <si>
    <t>Schedule B1, Col 6, Ln 26</t>
  </si>
  <si>
    <t>Schedule C1, Col 5, Ln 10</t>
  </si>
  <si>
    <t>Schedule C1, Col 7, Ln 10</t>
  </si>
  <si>
    <t>Schedule F1</t>
  </si>
  <si>
    <t>Schedule A1, Col 5, Ln 17</t>
  </si>
  <si>
    <t>Schedule A2, Col 5, Ln 22</t>
  </si>
  <si>
    <t>SCHEDULE  A1</t>
  </si>
  <si>
    <t>Exhibit No. PA-102, SCH-A1</t>
  </si>
  <si>
    <t>SCHEDULE   A2</t>
  </si>
  <si>
    <t>Exhibit No. PA-102, SCH-A2</t>
  </si>
  <si>
    <t>SCHEDULE   B1</t>
  </si>
  <si>
    <t>Exhibit No. PA-102, SCH-B1</t>
  </si>
  <si>
    <t>Exhibit No. PA-102, WP-AE</t>
  </si>
  <si>
    <t>WP-AF</t>
  </si>
  <si>
    <t>REVENUE REQUIREMENT</t>
  </si>
  <si>
    <t>Compensation for FACTS through the NYISO’s issuance of Transmission Congestion Contract (“TCC”) payments</t>
  </si>
  <si>
    <t>Timing differences</t>
  </si>
  <si>
    <t>SENY load (note 4)</t>
  </si>
  <si>
    <t>FACTS revenue (note 5)</t>
  </si>
  <si>
    <t>(8)</t>
  </si>
  <si>
    <t>(9)</t>
  </si>
  <si>
    <t>(10)</t>
  </si>
  <si>
    <t>(11)</t>
  </si>
  <si>
    <t>Schedule B2, Col 4, line 14</t>
  </si>
  <si>
    <t>Schedule B2, Col 4, line 13</t>
  </si>
  <si>
    <t>Schedule B2, Col 4, line 11</t>
  </si>
  <si>
    <t>Schedule B2, Col 4, line 12</t>
  </si>
  <si>
    <t>WP-BG, Col 4</t>
  </si>
  <si>
    <t>SCHEDULE B2</t>
  </si>
  <si>
    <t>Exhibit No. PA-102, SCH- B2</t>
  </si>
  <si>
    <t>Exhibit No. PA-102, WP-BE</t>
  </si>
  <si>
    <t>WORK PAPER AA</t>
  </si>
  <si>
    <t>Exhibit No. PA-102, WP-AA</t>
  </si>
  <si>
    <t>Exhibit No. PA-102, SCH-B3</t>
  </si>
  <si>
    <t>SCHEDULE C1</t>
  </si>
  <si>
    <t>Exhibit No. PA-102, SCH-C1</t>
  </si>
  <si>
    <t>1/  Schedule B2; Net Electric Plant in Service; Ln 17</t>
  </si>
  <si>
    <t>2/  Schedule B2; Net Electric Plant in Service; Ln 25</t>
  </si>
  <si>
    <t>SCHEDULE  D1</t>
  </si>
  <si>
    <t>Exhibit No. PA-102, SCH-D1</t>
  </si>
  <si>
    <t>4/  WP-BD; Average of Year-end Unamortized Balances, Col 5</t>
  </si>
  <si>
    <t xml:space="preserve"> from WP-DA</t>
  </si>
  <si>
    <t>from WP-DA</t>
  </si>
  <si>
    <t>Exhibit No. PA-102, SCH-E1</t>
  </si>
  <si>
    <t>WP-BE</t>
  </si>
  <si>
    <t>Exhibit No. PA-102, SCH-F1</t>
  </si>
  <si>
    <t>Exhibit PA-102, SCH-F1</t>
  </si>
  <si>
    <t>Schedule B2, line 17, col 10</t>
  </si>
  <si>
    <t>Schedule A1, line 17, col 5 and Schedule A2, line 22, Col 5</t>
  </si>
  <si>
    <t>Schedule C1 line 10, col 7</t>
  </si>
  <si>
    <t>(Schedule F2, Line 10  * (Col. 12/100)* Col. 7)</t>
  </si>
  <si>
    <r>
      <t xml:space="preserve">Schedule B3 - </t>
    </r>
    <r>
      <rPr>
        <b/>
        <sz val="12"/>
        <color indexed="8"/>
        <rFont val="Calibri"/>
        <family val="2"/>
        <scheme val="minor"/>
      </rPr>
      <t>Depreciation and Amortization Rates</t>
    </r>
    <r>
      <rPr>
        <b/>
        <sz val="12"/>
        <rFont val="Calibri"/>
        <family val="2"/>
        <scheme val="minor"/>
      </rPr>
      <t xml:space="preserve"> </t>
    </r>
  </si>
  <si>
    <t>Schedule C1, lines 7, 8, &amp; 9 (Note B)</t>
  </si>
  <si>
    <t>Schedule F2</t>
  </si>
  <si>
    <t>Exhibit No. PA-102, SCH-F2</t>
  </si>
  <si>
    <t xml:space="preserve">Schedule C1, line 10, Col. 5 </t>
  </si>
  <si>
    <t>(Schedule D1, line 1)</t>
  </si>
  <si>
    <t>(Schedule D1, line 2)</t>
  </si>
  <si>
    <t>(Schedule C1, line 1, col. (1)</t>
  </si>
  <si>
    <t>Return    (Schedule C1, line 10, Col. 7)</t>
  </si>
  <si>
    <t>Exhibit No. PA-102, SCH-F3</t>
  </si>
  <si>
    <t>Schedule F3</t>
  </si>
  <si>
    <t>Schedule F2 Using Actual Cost Data</t>
  </si>
  <si>
    <t>WORK PAPER AB</t>
  </si>
  <si>
    <t>Sch A1; Col 4, Ln 12</t>
  </si>
  <si>
    <t>Exhibit No. PA-102, WP-AD</t>
  </si>
  <si>
    <t>WORK PAPER AD</t>
  </si>
  <si>
    <t>Sch B2; Col 5, Sum Ln 5, 6 and 10</t>
  </si>
  <si>
    <t>Sch A1: Col 4, Ln 12</t>
  </si>
  <si>
    <t>WORK PAPER AC</t>
  </si>
  <si>
    <t>WORK PAPER AE</t>
  </si>
  <si>
    <t>Exhibit No. PA-102, WP-AF</t>
  </si>
  <si>
    <t>WORK PAPER AF</t>
  </si>
  <si>
    <t>Exhibit No. PA-102, WP-AG</t>
  </si>
  <si>
    <t>WORK PAPER AG</t>
  </si>
  <si>
    <t>WORK PAPER AH</t>
  </si>
  <si>
    <t>Exhibit No. PA-102, WP-AH</t>
  </si>
  <si>
    <t>WORK PAPER AI</t>
  </si>
  <si>
    <t>Exhibit No. PA-102, WP-AI</t>
  </si>
  <si>
    <t>Exhibit No. PA-102, WP-BA</t>
  </si>
  <si>
    <t>WORK PAPER BA</t>
  </si>
  <si>
    <t>WORK PAPER BB</t>
  </si>
  <si>
    <t>Exhibit No. PA-102, WP-BB</t>
  </si>
  <si>
    <t>Exhibit No. PA-102, WP-BC</t>
  </si>
  <si>
    <t>WORK PAPER BC</t>
  </si>
  <si>
    <t>Exhibit No. PA-102, WP-BD</t>
  </si>
  <si>
    <t>WORK PAPER BD</t>
  </si>
  <si>
    <t>Exhibit No. PA-102, WP-BF</t>
  </si>
  <si>
    <t>WORK PAPER BF</t>
  </si>
  <si>
    <t>Exhibit No. PA-102, WP-BG</t>
  </si>
  <si>
    <t>WORK PAPER BG</t>
  </si>
  <si>
    <t>WORK PAPER BH</t>
  </si>
  <si>
    <t>Exhibit No. PA-102, WP-BH</t>
  </si>
  <si>
    <t>Exhibit No. PA-102, WP-BI</t>
  </si>
  <si>
    <t>WORK PAPER BI</t>
  </si>
  <si>
    <t>Exhibit No. PA-102, WP-CA</t>
  </si>
  <si>
    <t>WORK PAPER CA</t>
  </si>
  <si>
    <t>Exhibit No. PA-102, WP-CB</t>
  </si>
  <si>
    <t>WORK PAPER CB</t>
  </si>
  <si>
    <t>Exhibit No. PA-102, WP-DA</t>
  </si>
  <si>
    <t>WORK PAPER DA</t>
  </si>
  <si>
    <t>Exhibit No. PA-102, WP-DB</t>
  </si>
  <si>
    <t>WORK PAPER DB</t>
  </si>
  <si>
    <t>WORK PAPER EA</t>
  </si>
  <si>
    <t>Exhibit No. PA-102, WP-EA</t>
  </si>
  <si>
    <t>Exhibit No. PA-102, WP-AR-IS</t>
  </si>
  <si>
    <t>Exhibit No. PA-102, WP-AR-BS</t>
  </si>
  <si>
    <t>WORK PAPER AR-BS</t>
  </si>
  <si>
    <t>Exhibit No. PA-102, WP-AR-Cap Assets</t>
  </si>
  <si>
    <t>WORK PAPER AR-Cap Assets</t>
  </si>
  <si>
    <t>WORK PAPER Reconciliations</t>
  </si>
  <si>
    <t>Exhibit No. PA-102, WP-Reconciliations</t>
  </si>
  <si>
    <t>WORK PAPER AR- IS</t>
  </si>
  <si>
    <r>
      <rPr>
        <b/>
        <sz val="10"/>
        <color indexed="8"/>
        <rFont val="Arial"/>
        <family val="2"/>
      </rPr>
      <t>TRANSMISSION PLANT</t>
    </r>
    <r>
      <rPr>
        <b/>
        <sz val="10"/>
        <rFont val="Arial"/>
        <family val="2"/>
      </rPr>
      <t xml:space="preserve"> </t>
    </r>
  </si>
  <si>
    <r>
      <t xml:space="preserve"> </t>
    </r>
    <r>
      <rPr>
        <sz val="10"/>
        <color indexed="8"/>
        <rFont val="Arial"/>
        <family val="2"/>
      </rPr>
      <t>Land Rights</t>
    </r>
    <r>
      <rPr>
        <sz val="10"/>
        <rFont val="Arial"/>
        <family val="2"/>
      </rPr>
      <t xml:space="preserve"> </t>
    </r>
  </si>
  <si>
    <r>
      <t xml:space="preserve"> </t>
    </r>
    <r>
      <rPr>
        <sz val="10"/>
        <color indexed="8"/>
        <rFont val="Arial"/>
        <family val="2"/>
      </rPr>
      <t>Structures and Improvements</t>
    </r>
    <r>
      <rPr>
        <sz val="10"/>
        <rFont val="Arial"/>
        <family val="2"/>
      </rPr>
      <t xml:space="preserve"> </t>
    </r>
  </si>
  <si>
    <r>
      <t xml:space="preserve"> </t>
    </r>
    <r>
      <rPr>
        <sz val="10"/>
        <color indexed="8"/>
        <rFont val="Arial"/>
        <family val="2"/>
      </rPr>
      <t>Station Equipment</t>
    </r>
    <r>
      <rPr>
        <sz val="10"/>
        <rFont val="Arial"/>
        <family val="2"/>
      </rPr>
      <t xml:space="preserve"> </t>
    </r>
  </si>
  <si>
    <r>
      <t xml:space="preserve"> </t>
    </r>
    <r>
      <rPr>
        <sz val="10"/>
        <color indexed="8"/>
        <rFont val="Arial"/>
        <family val="2"/>
      </rPr>
      <t>354</t>
    </r>
    <r>
      <rPr>
        <sz val="10"/>
        <rFont val="Arial"/>
        <family val="2"/>
      </rPr>
      <t xml:space="preserve"> </t>
    </r>
  </si>
  <si>
    <r>
      <t xml:space="preserve"> </t>
    </r>
    <r>
      <rPr>
        <sz val="10"/>
        <color indexed="8"/>
        <rFont val="Arial"/>
        <family val="2"/>
      </rPr>
      <t>Towers and Fixtures</t>
    </r>
    <r>
      <rPr>
        <sz val="10"/>
        <rFont val="Arial"/>
        <family val="2"/>
      </rPr>
      <t xml:space="preserve"> </t>
    </r>
  </si>
  <si>
    <r>
      <t xml:space="preserve"> </t>
    </r>
    <r>
      <rPr>
        <sz val="10"/>
        <color indexed="8"/>
        <rFont val="Arial"/>
        <family val="2"/>
      </rPr>
      <t>355</t>
    </r>
    <r>
      <rPr>
        <sz val="10"/>
        <rFont val="Arial"/>
        <family val="2"/>
      </rPr>
      <t xml:space="preserve"> </t>
    </r>
  </si>
  <si>
    <r>
      <t xml:space="preserve"> </t>
    </r>
    <r>
      <rPr>
        <sz val="10"/>
        <color indexed="8"/>
        <rFont val="Arial"/>
        <family val="2"/>
      </rPr>
      <t>Poles and Fixtures</t>
    </r>
    <r>
      <rPr>
        <sz val="10"/>
        <rFont val="Arial"/>
        <family val="2"/>
      </rPr>
      <t xml:space="preserve"> </t>
    </r>
  </si>
  <si>
    <r>
      <t xml:space="preserve"> </t>
    </r>
    <r>
      <rPr>
        <sz val="10"/>
        <color indexed="8"/>
        <rFont val="Arial"/>
        <family val="2"/>
      </rPr>
      <t>356</t>
    </r>
    <r>
      <rPr>
        <sz val="10"/>
        <rFont val="Arial"/>
        <family val="2"/>
      </rPr>
      <t xml:space="preserve"> </t>
    </r>
  </si>
  <si>
    <r>
      <t xml:space="preserve"> </t>
    </r>
    <r>
      <rPr>
        <sz val="10"/>
        <color indexed="8"/>
        <rFont val="Arial"/>
        <family val="2"/>
      </rPr>
      <t>Overhead Conductor and Devices</t>
    </r>
    <r>
      <rPr>
        <sz val="10"/>
        <rFont val="Arial"/>
        <family val="2"/>
      </rPr>
      <t xml:space="preserve"> </t>
    </r>
  </si>
  <si>
    <r>
      <t xml:space="preserve"> </t>
    </r>
    <r>
      <rPr>
        <sz val="10"/>
        <color indexed="8"/>
        <rFont val="Arial"/>
        <family val="2"/>
      </rPr>
      <t>357</t>
    </r>
    <r>
      <rPr>
        <sz val="10"/>
        <rFont val="Arial"/>
        <family val="2"/>
      </rPr>
      <t xml:space="preserve"> </t>
    </r>
  </si>
  <si>
    <r>
      <t xml:space="preserve"> </t>
    </r>
    <r>
      <rPr>
        <sz val="10"/>
        <color indexed="8"/>
        <rFont val="Arial"/>
        <family val="2"/>
      </rPr>
      <t>Underground Conduit</t>
    </r>
    <r>
      <rPr>
        <sz val="10"/>
        <rFont val="Arial"/>
        <family val="2"/>
      </rPr>
      <t xml:space="preserve"> </t>
    </r>
  </si>
  <si>
    <r>
      <t xml:space="preserve"> </t>
    </r>
    <r>
      <rPr>
        <sz val="10"/>
        <color indexed="8"/>
        <rFont val="Arial"/>
        <family val="2"/>
      </rPr>
      <t>358</t>
    </r>
    <r>
      <rPr>
        <sz val="10"/>
        <rFont val="Arial"/>
        <family val="2"/>
      </rPr>
      <t xml:space="preserve"> </t>
    </r>
  </si>
  <si>
    <r>
      <t xml:space="preserve"> </t>
    </r>
    <r>
      <rPr>
        <sz val="10"/>
        <color indexed="8"/>
        <rFont val="Arial"/>
        <family val="2"/>
      </rPr>
      <t>Underground Conductor and Devices</t>
    </r>
    <r>
      <rPr>
        <sz val="10"/>
        <rFont val="Arial"/>
        <family val="2"/>
      </rPr>
      <t xml:space="preserve"> </t>
    </r>
  </si>
  <si>
    <r>
      <t xml:space="preserve"> </t>
    </r>
    <r>
      <rPr>
        <sz val="10"/>
        <color indexed="8"/>
        <rFont val="Arial"/>
        <family val="2"/>
      </rPr>
      <t>359</t>
    </r>
    <r>
      <rPr>
        <sz val="10"/>
        <rFont val="Arial"/>
        <family val="2"/>
      </rPr>
      <t xml:space="preserve"> </t>
    </r>
  </si>
  <si>
    <r>
      <t xml:space="preserve"> </t>
    </r>
    <r>
      <rPr>
        <sz val="10"/>
        <color indexed="8"/>
        <rFont val="Arial"/>
        <family val="2"/>
      </rPr>
      <t>Roads and Trails</t>
    </r>
    <r>
      <rPr>
        <sz val="10"/>
        <rFont val="Arial"/>
        <family val="2"/>
      </rPr>
      <t xml:space="preserve"> </t>
    </r>
  </si>
  <si>
    <r>
      <t xml:space="preserve"> </t>
    </r>
    <r>
      <rPr>
        <b/>
        <sz val="10"/>
        <color indexed="8"/>
        <rFont val="Arial"/>
        <family val="2"/>
      </rPr>
      <t>GENERAL PLANT</t>
    </r>
    <r>
      <rPr>
        <sz val="10"/>
        <rFont val="Arial"/>
        <family val="2"/>
      </rPr>
      <t xml:space="preserve"> </t>
    </r>
  </si>
  <si>
    <r>
      <t xml:space="preserve"> </t>
    </r>
    <r>
      <rPr>
        <sz val="10"/>
        <color indexed="8"/>
        <rFont val="Arial"/>
        <family val="2"/>
      </rPr>
      <t>390</t>
    </r>
    <r>
      <rPr>
        <sz val="10"/>
        <rFont val="Arial"/>
        <family val="2"/>
      </rPr>
      <t xml:space="preserve"> </t>
    </r>
  </si>
  <si>
    <r>
      <t xml:space="preserve"> </t>
    </r>
    <r>
      <rPr>
        <sz val="10"/>
        <color indexed="8"/>
        <rFont val="Arial"/>
        <family val="2"/>
      </rPr>
      <t>Structures &amp; Improvements</t>
    </r>
    <r>
      <rPr>
        <sz val="10"/>
        <rFont val="Arial"/>
        <family val="2"/>
      </rPr>
      <t xml:space="preserve"> </t>
    </r>
  </si>
  <si>
    <r>
      <t xml:space="preserve"> </t>
    </r>
    <r>
      <rPr>
        <sz val="10"/>
        <color indexed="8"/>
        <rFont val="Arial"/>
        <family val="2"/>
      </rPr>
      <t>391</t>
    </r>
    <r>
      <rPr>
        <sz val="10"/>
        <rFont val="Arial"/>
        <family val="2"/>
      </rPr>
      <t xml:space="preserve"> </t>
    </r>
  </si>
  <si>
    <r>
      <t xml:space="preserve"> </t>
    </r>
    <r>
      <rPr>
        <sz val="10"/>
        <color indexed="8"/>
        <rFont val="Arial"/>
        <family val="2"/>
      </rPr>
      <t>Office Furniture &amp; Equipment</t>
    </r>
    <r>
      <rPr>
        <sz val="10"/>
        <rFont val="Arial"/>
        <family val="2"/>
      </rPr>
      <t xml:space="preserve"> </t>
    </r>
  </si>
  <si>
    <r>
      <t xml:space="preserve"> </t>
    </r>
    <r>
      <rPr>
        <sz val="10"/>
        <color indexed="8"/>
        <rFont val="Arial"/>
        <family val="2"/>
      </rPr>
      <t>392</t>
    </r>
    <r>
      <rPr>
        <sz val="10"/>
        <rFont val="Arial"/>
        <family val="2"/>
      </rPr>
      <t xml:space="preserve"> </t>
    </r>
  </si>
  <si>
    <r>
      <t xml:space="preserve"> </t>
    </r>
    <r>
      <rPr>
        <sz val="10"/>
        <color indexed="8"/>
        <rFont val="Arial"/>
        <family val="2"/>
      </rPr>
      <t>Transportation Equipment</t>
    </r>
    <r>
      <rPr>
        <sz val="10"/>
        <rFont val="Arial"/>
        <family val="2"/>
      </rPr>
      <t xml:space="preserve"> </t>
    </r>
  </si>
  <si>
    <r>
      <t xml:space="preserve"> </t>
    </r>
    <r>
      <rPr>
        <sz val="10"/>
        <color indexed="8"/>
        <rFont val="Arial"/>
        <family val="2"/>
      </rPr>
      <t>393</t>
    </r>
    <r>
      <rPr>
        <sz val="10"/>
        <rFont val="Arial"/>
        <family val="2"/>
      </rPr>
      <t xml:space="preserve"> </t>
    </r>
  </si>
  <si>
    <r>
      <t xml:space="preserve"> </t>
    </r>
    <r>
      <rPr>
        <sz val="10"/>
        <color indexed="8"/>
        <rFont val="Arial"/>
        <family val="2"/>
      </rPr>
      <t>Stores Equipment</t>
    </r>
    <r>
      <rPr>
        <sz val="10"/>
        <rFont val="Arial"/>
        <family val="2"/>
      </rPr>
      <t xml:space="preserve"> </t>
    </r>
  </si>
  <si>
    <r>
      <t xml:space="preserve"> </t>
    </r>
    <r>
      <rPr>
        <sz val="10"/>
        <color indexed="8"/>
        <rFont val="Arial"/>
        <family val="2"/>
      </rPr>
      <t>394</t>
    </r>
    <r>
      <rPr>
        <sz val="10"/>
        <rFont val="Arial"/>
        <family val="2"/>
      </rPr>
      <t xml:space="preserve"> </t>
    </r>
  </si>
  <si>
    <r>
      <t xml:space="preserve"> </t>
    </r>
    <r>
      <rPr>
        <sz val="10"/>
        <color indexed="8"/>
        <rFont val="Arial"/>
        <family val="2"/>
      </rPr>
      <t>Tools, Shop &amp; Garage Equipment</t>
    </r>
    <r>
      <rPr>
        <sz val="10"/>
        <rFont val="Arial"/>
        <family val="2"/>
      </rPr>
      <t xml:space="preserve"> </t>
    </r>
  </si>
  <si>
    <r>
      <t xml:space="preserve"> </t>
    </r>
    <r>
      <rPr>
        <sz val="10"/>
        <color indexed="8"/>
        <rFont val="Arial"/>
        <family val="2"/>
      </rPr>
      <t>395</t>
    </r>
    <r>
      <rPr>
        <sz val="10"/>
        <rFont val="Arial"/>
        <family val="2"/>
      </rPr>
      <t xml:space="preserve"> </t>
    </r>
  </si>
  <si>
    <r>
      <t xml:space="preserve"> </t>
    </r>
    <r>
      <rPr>
        <sz val="10"/>
        <color indexed="8"/>
        <rFont val="Arial"/>
        <family val="2"/>
      </rPr>
      <t>Laboratory Equipment</t>
    </r>
    <r>
      <rPr>
        <sz val="10"/>
        <rFont val="Arial"/>
        <family val="2"/>
      </rPr>
      <t xml:space="preserve"> </t>
    </r>
  </si>
  <si>
    <r>
      <t xml:space="preserve"> </t>
    </r>
    <r>
      <rPr>
        <sz val="10"/>
        <color indexed="8"/>
        <rFont val="Arial"/>
        <family val="2"/>
      </rPr>
      <t>396</t>
    </r>
    <r>
      <rPr>
        <sz val="10"/>
        <rFont val="Arial"/>
        <family val="2"/>
      </rPr>
      <t xml:space="preserve"> </t>
    </r>
  </si>
  <si>
    <r>
      <t xml:space="preserve"> </t>
    </r>
    <r>
      <rPr>
        <sz val="10"/>
        <color indexed="8"/>
        <rFont val="Arial"/>
        <family val="2"/>
      </rPr>
      <t>Power Operated Equipment</t>
    </r>
    <r>
      <rPr>
        <sz val="10"/>
        <rFont val="Arial"/>
        <family val="2"/>
      </rPr>
      <t xml:space="preserve"> </t>
    </r>
  </si>
  <si>
    <r>
      <t xml:space="preserve"> </t>
    </r>
    <r>
      <rPr>
        <sz val="10"/>
        <color indexed="8"/>
        <rFont val="Arial"/>
        <family val="2"/>
      </rPr>
      <t>397</t>
    </r>
    <r>
      <rPr>
        <sz val="10"/>
        <rFont val="Arial"/>
        <family val="2"/>
      </rPr>
      <t xml:space="preserve"> </t>
    </r>
  </si>
  <si>
    <r>
      <t xml:space="preserve"> </t>
    </r>
    <r>
      <rPr>
        <sz val="10"/>
        <color indexed="8"/>
        <rFont val="Arial"/>
        <family val="2"/>
      </rPr>
      <t>Communication Equipment</t>
    </r>
    <r>
      <rPr>
        <sz val="10"/>
        <rFont val="Arial"/>
        <family val="2"/>
      </rPr>
      <t xml:space="preserve"> </t>
    </r>
  </si>
  <si>
    <r>
      <t xml:space="preserve"> </t>
    </r>
    <r>
      <rPr>
        <sz val="10"/>
        <color indexed="8"/>
        <rFont val="Arial"/>
        <family val="2"/>
      </rPr>
      <t>398</t>
    </r>
    <r>
      <rPr>
        <sz val="10"/>
        <rFont val="Arial"/>
        <family val="2"/>
      </rPr>
      <t xml:space="preserve"> </t>
    </r>
  </si>
  <si>
    <r>
      <t xml:space="preserve"> </t>
    </r>
    <r>
      <rPr>
        <b/>
        <sz val="10"/>
        <color indexed="8"/>
        <rFont val="Arial"/>
        <family val="2"/>
      </rPr>
      <t>INTANGIBLE PLANT</t>
    </r>
    <r>
      <rPr>
        <sz val="10"/>
        <rFont val="Arial"/>
        <family val="2"/>
      </rPr>
      <t xml:space="preserve"> </t>
    </r>
  </si>
  <si>
    <r>
      <t xml:space="preserve"> </t>
    </r>
    <r>
      <rPr>
        <sz val="10"/>
        <color indexed="8"/>
        <rFont val="Arial"/>
        <family val="2"/>
      </rPr>
      <t>303</t>
    </r>
    <r>
      <rPr>
        <sz val="10"/>
        <rFont val="Arial"/>
        <family val="2"/>
      </rPr>
      <t xml:space="preserve"> </t>
    </r>
  </si>
  <si>
    <r>
      <t xml:space="preserve"> </t>
    </r>
    <r>
      <rPr>
        <sz val="10"/>
        <color indexed="8"/>
        <rFont val="Arial"/>
        <family val="2"/>
      </rPr>
      <t>Miscellaneous Intangible Plant</t>
    </r>
    <r>
      <rPr>
        <sz val="10"/>
        <rFont val="Arial"/>
        <family val="2"/>
      </rPr>
      <t xml:space="preserve"> </t>
    </r>
  </si>
  <si>
    <r>
      <rPr>
        <sz val="10"/>
        <color indexed="8"/>
        <rFont val="Arial"/>
        <family val="2"/>
      </rPr>
      <t xml:space="preserve"> Transmission facility Contributions in Aid of Construction</t>
    </r>
    <r>
      <rPr>
        <sz val="10"/>
        <rFont val="Arial"/>
        <family val="2"/>
      </rPr>
      <t xml:space="preserve"> </t>
    </r>
  </si>
  <si>
    <t>Schedule A1</t>
  </si>
  <si>
    <t>Schedule A2</t>
  </si>
  <si>
    <t>Schedule B1</t>
  </si>
  <si>
    <t>Schedule C1</t>
  </si>
  <si>
    <t>Schedule D1</t>
  </si>
  <si>
    <t>Schedule E1</t>
  </si>
  <si>
    <t>Schedule B2</t>
  </si>
  <si>
    <t>Schedule B3</t>
  </si>
  <si>
    <t>Work Paper-BC</t>
  </si>
  <si>
    <t>Work Paper-BB</t>
  </si>
  <si>
    <t>Work Paper-AR-IS</t>
  </si>
  <si>
    <t>Work Paper-AA</t>
  </si>
  <si>
    <t>Work Paper-AB</t>
  </si>
  <si>
    <t>Work Paper-EA</t>
  </si>
  <si>
    <t>Work Paper-DA</t>
  </si>
  <si>
    <t>Work Paper-BA</t>
  </si>
  <si>
    <t>Work Paper-BH</t>
  </si>
  <si>
    <t>Work Paper-BF</t>
  </si>
  <si>
    <t>Work Paper-BG</t>
  </si>
  <si>
    <t>Work Paper-BE</t>
  </si>
  <si>
    <t>Work Paper-CA</t>
  </si>
  <si>
    <t>Work Paper-BD</t>
  </si>
  <si>
    <t>Work Paper-CB</t>
  </si>
  <si>
    <t>Work Paper-AC</t>
  </si>
  <si>
    <t>Work Paper-AF</t>
  </si>
  <si>
    <t>Work Paper-AD</t>
  </si>
  <si>
    <t>Work Paper-AI</t>
  </si>
  <si>
    <t>Work Paper-AG</t>
  </si>
  <si>
    <t>Work Paper-AH</t>
  </si>
  <si>
    <t>Work Paper-BI</t>
  </si>
  <si>
    <t>Work Paper-AE</t>
  </si>
  <si>
    <t xml:space="preserve">Work Paper-Reconciliations </t>
  </si>
  <si>
    <t>3/  1/8 of (Schedule A1; Col 5, Ln 17 + Schedule A2; Col 5, Ln 22)  [45 days]</t>
  </si>
  <si>
    <t>Schedule B2, line 17, col 9 (Note A)</t>
  </si>
  <si>
    <t>Schedule B1 line 26, col 5</t>
  </si>
  <si>
    <t>From WP-EA</t>
  </si>
  <si>
    <t>Total NYPA PBOP</t>
  </si>
  <si>
    <t>Adjusted Grand Total (Excludes 500MW C - C at Astoria)</t>
  </si>
  <si>
    <t>($ Millions)</t>
  </si>
  <si>
    <t>Total capital assets being depreciated</t>
  </si>
  <si>
    <t>Total accumulated depreciation</t>
  </si>
  <si>
    <t>Net value of capital assets being depreciated</t>
  </si>
  <si>
    <t>Net value of all capital assets</t>
  </si>
  <si>
    <t>ASSET IMPAIRMENT</t>
  </si>
  <si>
    <t>Work Paper-AR-BS</t>
  </si>
  <si>
    <t>Work Paper-AR-Cap Assets</t>
  </si>
  <si>
    <t>11a</t>
  </si>
  <si>
    <t>11b</t>
  </si>
  <si>
    <t>11c</t>
  </si>
  <si>
    <t xml:space="preserve">Sum lines 11 </t>
  </si>
  <si>
    <t>STATEMENT OF REVENUES , EXPENSES, AND CHANGES IN NET POSITION</t>
  </si>
  <si>
    <t>STATEMENT OF NET POSITION</t>
  </si>
  <si>
    <t>CAPITAL ASSETS</t>
  </si>
  <si>
    <t>FERC acct 916 - Misc Sales Expense</t>
  </si>
  <si>
    <t>Work Paper-DB</t>
  </si>
  <si>
    <t>- Allocated based on</t>
  </si>
  <si>
    <t xml:space="preserve">  allocator (Schedule E1)</t>
  </si>
  <si>
    <t xml:space="preserve">  transmission labor </t>
  </si>
  <si>
    <t>Transm. Col (3)*(4)</t>
  </si>
  <si>
    <t>4/   Excluded General: Assets not recoverable under ATRR, FERC Accounts 389-399 for 500 MW, AEII, Poletti, SCPPs, Small Hydro, and Flynn.</t>
  </si>
  <si>
    <t>Excluded General   4/</t>
  </si>
  <si>
    <t>Marcy South Capitalized Lease 3/</t>
  </si>
  <si>
    <t>[Schedule E1]</t>
  </si>
  <si>
    <t>GENERAL PLANT</t>
  </si>
  <si>
    <t>[Schedule D1]</t>
  </si>
  <si>
    <t>* Cash Working Capital (1/8 O&amp;M)</t>
  </si>
  <si>
    <t>* Marcy South Capitalized Lease</t>
  </si>
  <si>
    <t>* Materials &amp; Supplies</t>
  </si>
  <si>
    <t>* Prepayments</t>
  </si>
  <si>
    <t>* CWIP</t>
  </si>
  <si>
    <t>* Regulatory Asset</t>
  </si>
  <si>
    <t>* Abandoned Plant</t>
  </si>
  <si>
    <t xml:space="preserve"> (5) * (6)</t>
  </si>
  <si>
    <t>LONG-TERM DEBT</t>
  </si>
  <si>
    <t>SOURCE/</t>
  </si>
  <si>
    <t>COMMENTS</t>
  </si>
  <si>
    <t>LABOR RATIO</t>
  </si>
  <si>
    <t>SCHEDULE E1</t>
  </si>
  <si>
    <t>For example, if FERC were to grant a 137 basis point ROE incentive, the increase in return and taxes for a 100 basis point</t>
  </si>
  <si>
    <t xml:space="preserve">1)  For all projects and NTAC ATRR, the Actual Revenues Received are the actual revenues NYPA receives from the NYISO in that calendar year.  If NYISO does not break out the revenues per project, </t>
  </si>
  <si>
    <t>Col 1, Ln 4 x Col 2, Ln 3</t>
  </si>
  <si>
    <t>Subtract Col 1, Ln 4 * Col 2, Ln 3</t>
  </si>
  <si>
    <t xml:space="preserve">     Subtotal (Gross Transmission Plant Ratio)</t>
  </si>
  <si>
    <t>Allocated based on transmission gross plant ratio from Work Paper AI</t>
  </si>
  <si>
    <t>Allocated based on transmission labor ratio from Schedule E1</t>
  </si>
  <si>
    <t>WORK PAPER BE</t>
  </si>
  <si>
    <t>FACTS PROJECT PLANT IN SERVICE, ACCUMULATED DEPRECIATION AND DEPRECIATION EXPENSE</t>
  </si>
  <si>
    <t>ST. LAWRENCE</t>
  </si>
  <si>
    <t>Beginning/End of Year Average</t>
  </si>
  <si>
    <t>Center(s)</t>
  </si>
  <si>
    <t>Less accumulated depreciation for:</t>
  </si>
  <si>
    <t>Less A/C 928 - Regulatory Commission Expense</t>
  </si>
  <si>
    <t>A&amp;G in FERC Acct   549 -    OP-Misc Oth Pwr Gen</t>
  </si>
  <si>
    <t xml:space="preserve">differences due to rounding   </t>
  </si>
  <si>
    <t>Cap</t>
  </si>
  <si>
    <t>Reserve for Excess and Obsolete Inventory</t>
  </si>
  <si>
    <t>Reserve for Degraded Materials</t>
  </si>
  <si>
    <t>Facility Subtotal</t>
  </si>
  <si>
    <t>Reserves Subtotal</t>
  </si>
  <si>
    <t>Schedule F1, page 2, line 1a, col. 16</t>
  </si>
  <si>
    <t>Schedule F1, page 2, line 1c, col. 16</t>
  </si>
  <si>
    <t>Schedule F1, page 2, line 1b, col. 16</t>
  </si>
  <si>
    <t>Schedule F1, page 2, line 2, col. 13</t>
  </si>
  <si>
    <t>Schedule F3, page 1, line 3, col. 10</t>
  </si>
  <si>
    <t>WP-BC</t>
  </si>
  <si>
    <t>WP-BF</t>
  </si>
  <si>
    <t>WP-BG</t>
  </si>
  <si>
    <t>WP-BB</t>
  </si>
  <si>
    <t>Reclassifications (post Annual Report)</t>
  </si>
  <si>
    <t>FERC acct 905 (less contribution to New York State)</t>
  </si>
  <si>
    <t>Electric Plant in</t>
  </si>
  <si>
    <t>Adjustments to Rate Base: Relicensing, Windfarm, Step-up transformers, FACTS &amp; Asset Impairment</t>
  </si>
  <si>
    <r>
      <t>FERC approved ATRR</t>
    </r>
    <r>
      <rPr>
        <sz val="11"/>
        <color theme="1"/>
        <rFont val="Arial"/>
        <family val="2"/>
      </rPr>
      <t xml:space="preserve"> </t>
    </r>
    <r>
      <rPr>
        <sz val="10"/>
        <color theme="1"/>
        <rFont val="Arial"/>
        <family val="2"/>
      </rPr>
      <t>(line 63 - line 67)</t>
    </r>
  </si>
  <si>
    <t>Total (sum lines 64-66)</t>
  </si>
  <si>
    <t>Amount that NYPA will credit to its ATRR assessed to the SENY customer load.  These revenues are included in the Annual Report within Production Revenues.</t>
  </si>
  <si>
    <t>ELECTRIC PLANT IN SERVICE &amp; DEPRECIATION</t>
  </si>
  <si>
    <t>(Note C)</t>
  </si>
  <si>
    <t>(Note D)</t>
  </si>
  <si>
    <t>Exhibit No. PA-102, WP-AB</t>
  </si>
  <si>
    <t>Applied</t>
  </si>
  <si>
    <t>Equity</t>
  </si>
  <si>
    <t>OTHER POSTEMPLOYMENT BENEFIT PLANS</t>
  </si>
  <si>
    <t>Annual OPEB Cost</t>
  </si>
  <si>
    <t>Exhibit No. PA-102, SCH - Summary</t>
  </si>
  <si>
    <t>Project 1 - Marcy South Series Compensation</t>
  </si>
  <si>
    <r>
      <t xml:space="preserve">FERC </t>
    </r>
    <r>
      <rPr>
        <sz val="10"/>
        <color indexed="8"/>
        <rFont val="Arial"/>
        <family val="2"/>
      </rPr>
      <t xml:space="preserve">Account </t>
    </r>
    <r>
      <rPr>
        <sz val="10"/>
        <rFont val="Arial"/>
        <family val="2"/>
      </rPr>
      <t xml:space="preserve"> </t>
    </r>
  </si>
  <si>
    <r>
      <t xml:space="preserve"> </t>
    </r>
    <r>
      <rPr>
        <sz val="10"/>
        <color indexed="8"/>
        <rFont val="Arial"/>
        <family val="2"/>
      </rPr>
      <t>FERC Account</t>
    </r>
    <r>
      <rPr>
        <sz val="10"/>
        <rFont val="Arial"/>
        <family val="2"/>
      </rPr>
      <t xml:space="preserve">  Description</t>
    </r>
  </si>
  <si>
    <t>a 100 basis point increase in ROE.  Any actual incentive is calculated on Schedule F1 and must be approved by FERC.</t>
  </si>
  <si>
    <t>Revenues that are credited in the NTAC are not revenue credited here.</t>
  </si>
  <si>
    <t>Project Gross Plant is the total capital investment for the project calculated in the same method as the gross plant value in page 1, line 1 .  This value includes subsequent capital investments required to maintain the facilities to their original capabilities.  
Gross plant does not include CWIP, Unamortized Regulatory Asset or Unamortized Abandoned Plant.</t>
  </si>
  <si>
    <t>Page 1 line 6</t>
  </si>
  <si>
    <t>(line 7 divided by line 2 col 2)</t>
  </si>
  <si>
    <t>([line 3 + line 5] divided by line 1, col 2)</t>
  </si>
  <si>
    <t>-</t>
  </si>
  <si>
    <t>8a</t>
  </si>
  <si>
    <t>8b</t>
  </si>
  <si>
    <t>1p</t>
  </si>
  <si>
    <t>1q</t>
  </si>
  <si>
    <t>1r</t>
  </si>
  <si>
    <t>1s</t>
  </si>
  <si>
    <t>1t</t>
  </si>
  <si>
    <t>1u</t>
  </si>
  <si>
    <t>1v</t>
  </si>
  <si>
    <t>1w</t>
  </si>
  <si>
    <t>1x</t>
  </si>
  <si>
    <t>1y</t>
  </si>
  <si>
    <t>1z</t>
  </si>
  <si>
    <t>1aa</t>
  </si>
  <si>
    <t>1ab</t>
  </si>
  <si>
    <t>1ac</t>
  </si>
  <si>
    <t>1ad</t>
  </si>
  <si>
    <t>1ae</t>
  </si>
  <si>
    <t>1af</t>
  </si>
  <si>
    <t>1ag</t>
  </si>
  <si>
    <t>1ah</t>
  </si>
  <si>
    <t>8c</t>
  </si>
  <si>
    <t>8d</t>
  </si>
  <si>
    <t>8e</t>
  </si>
  <si>
    <t>8f</t>
  </si>
  <si>
    <t>8g</t>
  </si>
  <si>
    <t>8h</t>
  </si>
  <si>
    <t>8i</t>
  </si>
  <si>
    <t>8j</t>
  </si>
  <si>
    <t>8k</t>
  </si>
  <si>
    <t>8l</t>
  </si>
  <si>
    <t>8n</t>
  </si>
  <si>
    <t>8m</t>
  </si>
  <si>
    <t>8o</t>
  </si>
  <si>
    <t>8p</t>
  </si>
  <si>
    <t>8q</t>
  </si>
  <si>
    <t>8r</t>
  </si>
  <si>
    <t>8s</t>
  </si>
  <si>
    <t>8t</t>
  </si>
  <si>
    <t>8u</t>
  </si>
  <si>
    <t>8v</t>
  </si>
  <si>
    <t>8w</t>
  </si>
  <si>
    <t>8x</t>
  </si>
  <si>
    <t>8y</t>
  </si>
  <si>
    <t>8z</t>
  </si>
  <si>
    <t>8aa</t>
  </si>
  <si>
    <t>8ab</t>
  </si>
  <si>
    <t>8ac</t>
  </si>
  <si>
    <t>8ad</t>
  </si>
  <si>
    <t>8ae</t>
  </si>
  <si>
    <t>8af</t>
  </si>
  <si>
    <t>10a</t>
  </si>
  <si>
    <t>10b</t>
  </si>
  <si>
    <t>10c</t>
  </si>
  <si>
    <t>10d</t>
  </si>
  <si>
    <t>10e</t>
  </si>
  <si>
    <t>10f</t>
  </si>
  <si>
    <t>10g</t>
  </si>
  <si>
    <t>.</t>
  </si>
  <si>
    <t>(12)</t>
  </si>
  <si>
    <t>1ai</t>
  </si>
  <si>
    <t>1ak</t>
  </si>
  <si>
    <t>1al</t>
  </si>
  <si>
    <t>1am</t>
  </si>
  <si>
    <t>1an</t>
  </si>
  <si>
    <t>1ao</t>
  </si>
  <si>
    <t>1ap</t>
  </si>
  <si>
    <t>1aq</t>
  </si>
  <si>
    <t>1ar</t>
  </si>
  <si>
    <t>1as</t>
  </si>
  <si>
    <t>1at</t>
  </si>
  <si>
    <t>1au</t>
  </si>
  <si>
    <t>1av</t>
  </si>
  <si>
    <t>1aw</t>
  </si>
  <si>
    <t>1ax</t>
  </si>
  <si>
    <t>1ay</t>
  </si>
  <si>
    <t>1az</t>
  </si>
  <si>
    <t>(13)</t>
  </si>
  <si>
    <t>(17)</t>
  </si>
  <si>
    <t>(18)</t>
  </si>
  <si>
    <t>(19)</t>
  </si>
  <si>
    <t>(20)</t>
  </si>
  <si>
    <t>(21)</t>
  </si>
  <si>
    <t>(22)</t>
  </si>
  <si>
    <t>(23)</t>
  </si>
  <si>
    <t>(24)</t>
  </si>
  <si>
    <t>(25)</t>
  </si>
  <si>
    <t>(26)</t>
  </si>
  <si>
    <t>(27)</t>
  </si>
  <si>
    <t>(28)</t>
  </si>
  <si>
    <t>(29)</t>
  </si>
  <si>
    <t>(30)</t>
  </si>
  <si>
    <t>(31)</t>
  </si>
  <si>
    <t>(32)</t>
  </si>
  <si>
    <t>(33)</t>
  </si>
  <si>
    <t>(34)</t>
  </si>
  <si>
    <t>(35)</t>
  </si>
  <si>
    <t>(36)</t>
  </si>
  <si>
    <t>(37)</t>
  </si>
  <si>
    <t>2a</t>
  </si>
  <si>
    <t>2b</t>
  </si>
  <si>
    <t>2c</t>
  </si>
  <si>
    <t>2d</t>
  </si>
  <si>
    <t>2e</t>
  </si>
  <si>
    <t>2f</t>
  </si>
  <si>
    <t>2g</t>
  </si>
  <si>
    <t>2h</t>
  </si>
  <si>
    <t>5a</t>
  </si>
  <si>
    <t>5b</t>
  </si>
  <si>
    <t>5c</t>
  </si>
  <si>
    <t>3a</t>
  </si>
  <si>
    <t>3b</t>
  </si>
  <si>
    <t>3c</t>
  </si>
  <si>
    <t>3d</t>
  </si>
  <si>
    <t>3e</t>
  </si>
  <si>
    <t>5d</t>
  </si>
  <si>
    <t>5e</t>
  </si>
  <si>
    <t>7a</t>
  </si>
  <si>
    <t>7b</t>
  </si>
  <si>
    <t>7c</t>
  </si>
  <si>
    <t>7d</t>
  </si>
  <si>
    <t>9a</t>
  </si>
  <si>
    <t>9b</t>
  </si>
  <si>
    <t>9c</t>
  </si>
  <si>
    <t>9d</t>
  </si>
  <si>
    <t>9e</t>
  </si>
  <si>
    <t>11d</t>
  </si>
  <si>
    <t>11e</t>
  </si>
  <si>
    <t>13a</t>
  </si>
  <si>
    <t>13b</t>
  </si>
  <si>
    <t>13c</t>
  </si>
  <si>
    <t>13d</t>
  </si>
  <si>
    <t>13e</t>
  </si>
  <si>
    <t>15a</t>
  </si>
  <si>
    <t>15b</t>
  </si>
  <si>
    <t>15c</t>
  </si>
  <si>
    <t>15d</t>
  </si>
  <si>
    <t>15e</t>
  </si>
  <si>
    <t>15f</t>
  </si>
  <si>
    <t>17a</t>
  </si>
  <si>
    <t>17b</t>
  </si>
  <si>
    <t>17c</t>
  </si>
  <si>
    <t>17d</t>
  </si>
  <si>
    <t>17e</t>
  </si>
  <si>
    <t>SUBTOTAL 500mW C - C at Astoria</t>
  </si>
  <si>
    <t>SUBTOTAL FLYNN  (Holtsville)</t>
  </si>
  <si>
    <t>3f</t>
  </si>
  <si>
    <t>3g</t>
  </si>
  <si>
    <t>3h</t>
  </si>
  <si>
    <t>3i</t>
  </si>
  <si>
    <t>19a</t>
  </si>
  <si>
    <t>19b</t>
  </si>
  <si>
    <t>19c</t>
  </si>
  <si>
    <t>15g</t>
  </si>
  <si>
    <t>Inch</t>
  </si>
  <si>
    <t>22a</t>
  </si>
  <si>
    <t>22b</t>
  </si>
  <si>
    <t>22c</t>
  </si>
  <si>
    <t>22d</t>
  </si>
  <si>
    <t>22e</t>
  </si>
  <si>
    <t>22f</t>
  </si>
  <si>
    <t>22g</t>
  </si>
  <si>
    <t>24a</t>
  </si>
  <si>
    <t>24b</t>
  </si>
  <si>
    <t>24c</t>
  </si>
  <si>
    <t>24d</t>
  </si>
  <si>
    <t>24e</t>
  </si>
  <si>
    <t>24f</t>
  </si>
  <si>
    <t>24g</t>
  </si>
  <si>
    <t>24h</t>
  </si>
  <si>
    <t>26a</t>
  </si>
  <si>
    <t>26b</t>
  </si>
  <si>
    <t>26c</t>
  </si>
  <si>
    <t>26d</t>
  </si>
  <si>
    <t>26e</t>
  </si>
  <si>
    <t>26f</t>
  </si>
  <si>
    <t>28a</t>
  </si>
  <si>
    <t>28b</t>
  </si>
  <si>
    <t>28c</t>
  </si>
  <si>
    <t>28d</t>
  </si>
  <si>
    <t>28e</t>
  </si>
  <si>
    <t>30a</t>
  </si>
  <si>
    <t>30b</t>
  </si>
  <si>
    <t>30c</t>
  </si>
  <si>
    <t>30d</t>
  </si>
  <si>
    <t>30e</t>
  </si>
  <si>
    <t>30f</t>
  </si>
  <si>
    <t>32a</t>
  </si>
  <si>
    <t>32b</t>
  </si>
  <si>
    <t>32c</t>
  </si>
  <si>
    <t>34a</t>
  </si>
  <si>
    <t>34b</t>
  </si>
  <si>
    <t>34c</t>
  </si>
  <si>
    <t>36a</t>
  </si>
  <si>
    <t>36b</t>
  </si>
  <si>
    <t>36c</t>
  </si>
  <si>
    <t>36d</t>
  </si>
  <si>
    <t>36e</t>
  </si>
  <si>
    <t>36f</t>
  </si>
  <si>
    <t>8ag</t>
  </si>
  <si>
    <t>6a</t>
  </si>
  <si>
    <t>6b</t>
  </si>
  <si>
    <t>6c</t>
  </si>
  <si>
    <t>6d</t>
  </si>
  <si>
    <t>6e</t>
  </si>
  <si>
    <t>6f</t>
  </si>
  <si>
    <t>6g</t>
  </si>
  <si>
    <t>6h</t>
  </si>
  <si>
    <t>6i</t>
  </si>
  <si>
    <t>6j</t>
  </si>
  <si>
    <t>6k</t>
  </si>
  <si>
    <t>6l</t>
  </si>
  <si>
    <t>6n</t>
  </si>
  <si>
    <t>6m</t>
  </si>
  <si>
    <t>6o</t>
  </si>
  <si>
    <t>6p</t>
  </si>
  <si>
    <t>6q</t>
  </si>
  <si>
    <t>6r</t>
  </si>
  <si>
    <t>6s</t>
  </si>
  <si>
    <t>6t</t>
  </si>
  <si>
    <t>6u</t>
  </si>
  <si>
    <t>6v</t>
  </si>
  <si>
    <t>6w</t>
  </si>
  <si>
    <t>6x</t>
  </si>
  <si>
    <t>6y</t>
  </si>
  <si>
    <t>6z</t>
  </si>
  <si>
    <t>6aa</t>
  </si>
  <si>
    <t>6ab</t>
  </si>
  <si>
    <t>6ac</t>
  </si>
  <si>
    <t>6ad</t>
  </si>
  <si>
    <t>6ae</t>
  </si>
  <si>
    <t>6af</t>
  </si>
  <si>
    <t>6ag</t>
  </si>
  <si>
    <t>8ah</t>
  </si>
  <si>
    <t>8ai</t>
  </si>
  <si>
    <t>8ak</t>
  </si>
  <si>
    <t>8al</t>
  </si>
  <si>
    <t>8am</t>
  </si>
  <si>
    <t>8an</t>
  </si>
  <si>
    <t>8ao</t>
  </si>
  <si>
    <t>8ap</t>
  </si>
  <si>
    <t>8aq</t>
  </si>
  <si>
    <t>8ar</t>
  </si>
  <si>
    <t>8as</t>
  </si>
  <si>
    <t>8at</t>
  </si>
  <si>
    <t>8au</t>
  </si>
  <si>
    <t>8av</t>
  </si>
  <si>
    <t>8aw</t>
  </si>
  <si>
    <t>8ax</t>
  </si>
  <si>
    <t>8ay</t>
  </si>
  <si>
    <t>8az</t>
  </si>
  <si>
    <t>8ba</t>
  </si>
  <si>
    <t>8bb</t>
  </si>
  <si>
    <t>8bc</t>
  </si>
  <si>
    <t>8bd</t>
  </si>
  <si>
    <t>10h</t>
  </si>
  <si>
    <t>10i</t>
  </si>
  <si>
    <t>10j</t>
  </si>
  <si>
    <t>10k</t>
  </si>
  <si>
    <t>10l</t>
  </si>
  <si>
    <t>10n</t>
  </si>
  <si>
    <t>10m</t>
  </si>
  <si>
    <t>10o</t>
  </si>
  <si>
    <t>10p</t>
  </si>
  <si>
    <t>10q</t>
  </si>
  <si>
    <t>10r</t>
  </si>
  <si>
    <t>10s</t>
  </si>
  <si>
    <t>10t</t>
  </si>
  <si>
    <t>10u</t>
  </si>
  <si>
    <t>10v</t>
  </si>
  <si>
    <t>10w</t>
  </si>
  <si>
    <t>10y</t>
  </si>
  <si>
    <t>10z</t>
  </si>
  <si>
    <t>10aa</t>
  </si>
  <si>
    <t>10ab</t>
  </si>
  <si>
    <t>10ac</t>
  </si>
  <si>
    <t>10ad</t>
  </si>
  <si>
    <t>10ae</t>
  </si>
  <si>
    <t>10af</t>
  </si>
  <si>
    <t>10ag</t>
  </si>
  <si>
    <t>10ah</t>
  </si>
  <si>
    <t>10ai</t>
  </si>
  <si>
    <t>10ak</t>
  </si>
  <si>
    <t>10al</t>
  </si>
  <si>
    <t>10am</t>
  </si>
  <si>
    <t>10an</t>
  </si>
  <si>
    <t>10ao</t>
  </si>
  <si>
    <t>10ap</t>
  </si>
  <si>
    <t>10aq</t>
  </si>
  <si>
    <t>10ar</t>
  </si>
  <si>
    <t>10as</t>
  </si>
  <si>
    <t>10at</t>
  </si>
  <si>
    <t>10au</t>
  </si>
  <si>
    <t>10av</t>
  </si>
  <si>
    <t>10aw</t>
  </si>
  <si>
    <t>10ax</t>
  </si>
  <si>
    <t>10ay</t>
  </si>
  <si>
    <t>10az</t>
  </si>
  <si>
    <t>10ba</t>
  </si>
  <si>
    <t>10bb</t>
  </si>
  <si>
    <t>10bc</t>
  </si>
  <si>
    <t>10bd</t>
  </si>
  <si>
    <t>10be</t>
  </si>
  <si>
    <t>10bh</t>
  </si>
  <si>
    <t>10bi</t>
  </si>
  <si>
    <t>10bk</t>
  </si>
  <si>
    <t>10bl</t>
  </si>
  <si>
    <t>10bm</t>
  </si>
  <si>
    <t>10bn</t>
  </si>
  <si>
    <t>10bo</t>
  </si>
  <si>
    <t>10bp</t>
  </si>
  <si>
    <t>10bq</t>
  </si>
  <si>
    <t>10br</t>
  </si>
  <si>
    <t>12a</t>
  </si>
  <si>
    <t>12b</t>
  </si>
  <si>
    <t>12c</t>
  </si>
  <si>
    <t>12e</t>
  </si>
  <si>
    <t>12f</t>
  </si>
  <si>
    <t>12g</t>
  </si>
  <si>
    <t>12h</t>
  </si>
  <si>
    <t>12i</t>
  </si>
  <si>
    <t>12j</t>
  </si>
  <si>
    <t>12k</t>
  </si>
  <si>
    <t>12n</t>
  </si>
  <si>
    <t>12m</t>
  </si>
  <si>
    <t>12o</t>
  </si>
  <si>
    <t>12p</t>
  </si>
  <si>
    <t>12q</t>
  </si>
  <si>
    <t>12r</t>
  </si>
  <si>
    <t>12s</t>
  </si>
  <si>
    <t>12t</t>
  </si>
  <si>
    <t>12u</t>
  </si>
  <si>
    <t>12v</t>
  </si>
  <si>
    <t>12x</t>
  </si>
  <si>
    <t>12y</t>
  </si>
  <si>
    <t>12z</t>
  </si>
  <si>
    <t>12aa</t>
  </si>
  <si>
    <t>12ab</t>
  </si>
  <si>
    <t>12ac</t>
  </si>
  <si>
    <t>12ad</t>
  </si>
  <si>
    <t>12ae</t>
  </si>
  <si>
    <t>12af</t>
  </si>
  <si>
    <t>12ag</t>
  </si>
  <si>
    <t>12ah</t>
  </si>
  <si>
    <t>12ai</t>
  </si>
  <si>
    <t>12ak</t>
  </si>
  <si>
    <t>12al</t>
  </si>
  <si>
    <t>12am</t>
  </si>
  <si>
    <t>12an</t>
  </si>
  <si>
    <t>12ao</t>
  </si>
  <si>
    <t>12ap</t>
  </si>
  <si>
    <t>12aq</t>
  </si>
  <si>
    <t>12ar</t>
  </si>
  <si>
    <t>12as</t>
  </si>
  <si>
    <t>12at</t>
  </si>
  <si>
    <t>12au</t>
  </si>
  <si>
    <t>12av</t>
  </si>
  <si>
    <t>12aw</t>
  </si>
  <si>
    <t>12ax</t>
  </si>
  <si>
    <t>12ay</t>
  </si>
  <si>
    <t>12az</t>
  </si>
  <si>
    <t>12ba</t>
  </si>
  <si>
    <t>12bb</t>
  </si>
  <si>
    <t>12bc</t>
  </si>
  <si>
    <t>12bd</t>
  </si>
  <si>
    <t>12be</t>
  </si>
  <si>
    <t>12bh</t>
  </si>
  <si>
    <t>12bi</t>
  </si>
  <si>
    <t>12bk</t>
  </si>
  <si>
    <t>12bl</t>
  </si>
  <si>
    <t>12bm</t>
  </si>
  <si>
    <t>12bn</t>
  </si>
  <si>
    <t>12bo</t>
  </si>
  <si>
    <t>12bp</t>
  </si>
  <si>
    <t>12bq</t>
  </si>
  <si>
    <t>12br</t>
  </si>
  <si>
    <t>12bs</t>
  </si>
  <si>
    <t>12bt</t>
  </si>
  <si>
    <t>12bu</t>
  </si>
  <si>
    <t>12bv</t>
  </si>
  <si>
    <t>12bw</t>
  </si>
  <si>
    <t>12bx</t>
  </si>
  <si>
    <t>12by</t>
  </si>
  <si>
    <t>12bz</t>
  </si>
  <si>
    <t>12ca</t>
  </si>
  <si>
    <t>12cb</t>
  </si>
  <si>
    <t>12cc</t>
  </si>
  <si>
    <t>12cd</t>
  </si>
  <si>
    <t>12ce</t>
  </si>
  <si>
    <t>12cf</t>
  </si>
  <si>
    <t>12cg</t>
  </si>
  <si>
    <t>12ch</t>
  </si>
  <si>
    <t>12ci</t>
  </si>
  <si>
    <t>12ck</t>
  </si>
  <si>
    <t>12cl</t>
  </si>
  <si>
    <t>12cm</t>
  </si>
  <si>
    <t>12cn</t>
  </si>
  <si>
    <t>12co</t>
  </si>
  <si>
    <t>12cp</t>
  </si>
  <si>
    <t xml:space="preserve">           Net value of all capital assets</t>
  </si>
  <si>
    <t>4a</t>
  </si>
  <si>
    <t>4b</t>
  </si>
  <si>
    <t>4c</t>
  </si>
  <si>
    <t>4d</t>
  </si>
  <si>
    <t>4e</t>
  </si>
  <si>
    <t>4f</t>
  </si>
  <si>
    <t>5f</t>
  </si>
  <si>
    <t>5g</t>
  </si>
  <si>
    <t>5h</t>
  </si>
  <si>
    <t>5i</t>
  </si>
  <si>
    <t>2i</t>
  </si>
  <si>
    <t>2j</t>
  </si>
  <si>
    <t>2k</t>
  </si>
  <si>
    <t>2l</t>
  </si>
  <si>
    <t>2n</t>
  </si>
  <si>
    <t>2m</t>
  </si>
  <si>
    <t>2o</t>
  </si>
  <si>
    <t>2p</t>
  </si>
  <si>
    <t>2q</t>
  </si>
  <si>
    <t>2r</t>
  </si>
  <si>
    <t>2s</t>
  </si>
  <si>
    <t>2t</t>
  </si>
  <si>
    <t>2u</t>
  </si>
  <si>
    <t>2v</t>
  </si>
  <si>
    <t>2w</t>
  </si>
  <si>
    <t>2x</t>
  </si>
  <si>
    <t>2y</t>
  </si>
  <si>
    <t>2z</t>
  </si>
  <si>
    <t>2aa</t>
  </si>
  <si>
    <t>2ab</t>
  </si>
  <si>
    <t>2ac</t>
  </si>
  <si>
    <t>2ad</t>
  </si>
  <si>
    <t>3j</t>
  </si>
  <si>
    <t>3k</t>
  </si>
  <si>
    <t>3l</t>
  </si>
  <si>
    <t>3n</t>
  </si>
  <si>
    <t>3m</t>
  </si>
  <si>
    <t>3o</t>
  </si>
  <si>
    <t>3p</t>
  </si>
  <si>
    <t>3q</t>
  </si>
  <si>
    <t>Total  Deferred outflows</t>
  </si>
  <si>
    <t>16a</t>
  </si>
  <si>
    <t>16b</t>
  </si>
  <si>
    <t>16c</t>
  </si>
  <si>
    <t>16d</t>
  </si>
  <si>
    <t>16e</t>
  </si>
  <si>
    <t>16f</t>
  </si>
  <si>
    <t>18a</t>
  </si>
  <si>
    <t>18b</t>
  </si>
  <si>
    <t>18c</t>
  </si>
  <si>
    <t>18d</t>
  </si>
  <si>
    <t>18e</t>
  </si>
  <si>
    <t>18f</t>
  </si>
  <si>
    <t>18g</t>
  </si>
  <si>
    <t>20a</t>
  </si>
  <si>
    <t>20b</t>
  </si>
  <si>
    <t>20c</t>
  </si>
  <si>
    <t>20d</t>
  </si>
  <si>
    <t>20e</t>
  </si>
  <si>
    <t>20f</t>
  </si>
  <si>
    <t>7e</t>
  </si>
  <si>
    <t>WP-AA, Col (5)</t>
  </si>
  <si>
    <t>WP-AC, Col (1) line 5</t>
  </si>
  <si>
    <t>WP-AD,Col (1) line 5</t>
  </si>
  <si>
    <t>WP-AE, Col (3) line 2</t>
  </si>
  <si>
    <t>See WP-AA; Col (3), Ln 2x</t>
  </si>
  <si>
    <t>See WP-AG; Col (3) ,Ln 4</t>
  </si>
  <si>
    <t>See WP-AH; Col (3) ,Ln 4</t>
  </si>
  <si>
    <t>WP-BA, Col (4)</t>
  </si>
  <si>
    <t>Relicensing Reclassification</t>
  </si>
  <si>
    <t>Exhibit No. PA-102, WP-AC</t>
  </si>
  <si>
    <t>This work paper includes total NYPA PBOP which is allocated to transmission by labor ratio as shown on Schedule A2.</t>
  </si>
  <si>
    <t>14a</t>
  </si>
  <si>
    <t>14b</t>
  </si>
  <si>
    <t>14c</t>
  </si>
  <si>
    <t>14d</t>
  </si>
  <si>
    <t>14e</t>
  </si>
  <si>
    <t>14f</t>
  </si>
  <si>
    <t>18h</t>
  </si>
  <si>
    <t>20g</t>
  </si>
  <si>
    <t>20h</t>
  </si>
  <si>
    <t>20i</t>
  </si>
  <si>
    <t>20j</t>
  </si>
  <si>
    <t>20k</t>
  </si>
  <si>
    <t>22h</t>
  </si>
  <si>
    <t>22i</t>
  </si>
  <si>
    <t>22j</t>
  </si>
  <si>
    <t>22k</t>
  </si>
  <si>
    <t>22l</t>
  </si>
  <si>
    <t>22n</t>
  </si>
  <si>
    <t>(Note I)</t>
  </si>
  <si>
    <t>Requires approval by FERC of incentive return applicable to the specified project(s). A negative number of basis points may be entered to reduce the ROE applicable to a project if a FERC order specifies a lower return for that project.</t>
  </si>
  <si>
    <t>I</t>
  </si>
  <si>
    <t>The discount is the reduction in revenue, if any, that NYPA agreed to, for instance, to be selected to build facilities as the result of a competitive process and equals the amount by which the annual revenue requirement is reduced from the ceiling rate</t>
  </si>
  <si>
    <t xml:space="preserve">Sum Col. 15 + 16 </t>
  </si>
  <si>
    <t>Current Year</t>
  </si>
  <si>
    <t>Sch B2, Line 13, Col 9</t>
  </si>
  <si>
    <t>Sch B2, Line 12, Col 9</t>
  </si>
  <si>
    <t>1/  NYPA does not pay EPRI dues</t>
  </si>
  <si>
    <t>Page 354 line 21</t>
  </si>
  <si>
    <t>Page 354 lines 17, 20, 24</t>
  </si>
  <si>
    <t>Page 321 line 83</t>
  </si>
  <si>
    <t>Page 321 lines 85-92</t>
  </si>
  <si>
    <t>Page 321 line 93</t>
  </si>
  <si>
    <t>Page 321 line 97</t>
  </si>
  <si>
    <t>Page 321 line 101</t>
  </si>
  <si>
    <t>Page 321 line 102-106</t>
  </si>
  <si>
    <t>Page 321 line 107</t>
  </si>
  <si>
    <t>Page 321 line 108</t>
  </si>
  <si>
    <t>Page 321 line 109</t>
  </si>
  <si>
    <t>Page 321 line 110</t>
  </si>
  <si>
    <t>Page 323 line 181</t>
  </si>
  <si>
    <t>Page 323 line 182</t>
  </si>
  <si>
    <t>Page 323 line 183</t>
  </si>
  <si>
    <t>Page 323 line 184</t>
  </si>
  <si>
    <t>Page 323 line 185</t>
  </si>
  <si>
    <t>Page 323 line 186</t>
  </si>
  <si>
    <t>Page 323 line 187</t>
  </si>
  <si>
    <t>Page 323 line 189</t>
  </si>
  <si>
    <t>Page 323 line 190.5</t>
  </si>
  <si>
    <t>Page 323 line 191</t>
  </si>
  <si>
    <t>Page 323 line 192</t>
  </si>
  <si>
    <t>Page 323 line 192.5</t>
  </si>
  <si>
    <t>Page 323 line 193</t>
  </si>
  <si>
    <t>Page 323 line 196</t>
  </si>
  <si>
    <t>ln. 8 + ln. 27 + ln. 37</t>
  </si>
  <si>
    <t>ln. 35 - ln. 27</t>
  </si>
  <si>
    <t>ln. 16 + ln. 45 + ln. 100.5 - ln. 8 - ln. 37</t>
  </si>
  <si>
    <t>ln. 58 + ln. 100.6 - ln. 48</t>
  </si>
  <si>
    <t>ln. 48</t>
  </si>
  <si>
    <t>ln. 99</t>
  </si>
  <si>
    <t>ln. 86</t>
  </si>
  <si>
    <t>ln. 99 - ln. 86</t>
  </si>
  <si>
    <t>(Sum lines 1-25)</t>
  </si>
  <si>
    <t>7/</t>
  </si>
  <si>
    <t>6/  WP-CB; Col 3, Ln 3</t>
  </si>
  <si>
    <t>Note:  The FACTS project data is based on NYPA's financial records with adherence to FERC's Uniform System of Accounts and U.S. generally accepted accounting principles.</t>
  </si>
  <si>
    <t>Note:  The Cost of Removal data is based on NYPA's accounting records under the provisions of FASB Accounting Standards Codification Topic 980.</t>
  </si>
  <si>
    <t>SCHEDULE  D2</t>
  </si>
  <si>
    <t xml:space="preserve">PROJECT SPECIFIC CAPITAL STRUCTURE AND COST OF CAPITAL </t>
  </si>
  <si>
    <t>PROJECT NET PLANT</t>
  </si>
  <si>
    <t>PROJECT BASE RETURN</t>
  </si>
  <si>
    <t>PROJECT ALLOWED RETURN</t>
  </si>
  <si>
    <t>PROJECT SPECIFIC RETURN ADJUSTMENT</t>
  </si>
  <si>
    <t>Exhibit No. PA-102, SCH-D2</t>
  </si>
  <si>
    <t>Schedule D2</t>
  </si>
  <si>
    <t>Total Project Specific Return Adustment</t>
  </si>
  <si>
    <t>Line 4 + Line 6 + Line 6a</t>
  </si>
  <si>
    <t>(14a)</t>
  </si>
  <si>
    <t>(Sum Col. 11 + 13 + 14 +14a)</t>
  </si>
  <si>
    <t>Discount</t>
  </si>
  <si>
    <t>Project 1 - Marcy South Series Compensation - Capital Structure</t>
  </si>
  <si>
    <t>Net Proceeds Long Term Debt</t>
  </si>
  <si>
    <t xml:space="preserve">Net Proceeds Long Term Debt </t>
  </si>
  <si>
    <t>Plant in Service
(p. 204-207 column (g))</t>
  </si>
  <si>
    <t>Gross Proceeds Outstanding LT Debt</t>
  </si>
  <si>
    <t>Bonds</t>
  </si>
  <si>
    <t>Other Long Term Debt</t>
  </si>
  <si>
    <t>Unamortized Gain on Reacquired Debt</t>
  </si>
  <si>
    <t xml:space="preserve">Amortization of Loss on Reacquired Debt </t>
  </si>
  <si>
    <t xml:space="preserve">Amort. of Debt Disc. and Expense </t>
  </si>
  <si>
    <t>Long Term Debt Cost</t>
  </si>
  <si>
    <t xml:space="preserve">Interest on Long-Term Debt </t>
  </si>
  <si>
    <t>(Less) Reacquired Bonds</t>
  </si>
  <si>
    <t xml:space="preserve">Unamortized Premium on Long-Term Debt </t>
  </si>
  <si>
    <t>(Less) Unamortized Debt Expenses</t>
  </si>
  <si>
    <t>(Less) Unamortized Loss on Reacquired Debt</t>
  </si>
  <si>
    <t>Net Position</t>
  </si>
  <si>
    <t>p. 112 ln. 18 c,d</t>
  </si>
  <si>
    <t>p. 112 ln. 19 c,d</t>
  </si>
  <si>
    <t>p. 112 ln. 21 c,d</t>
  </si>
  <si>
    <t>p. 112 ln. 23 c,d</t>
  </si>
  <si>
    <t>p. 111 ln. 69 c,d</t>
  </si>
  <si>
    <t>p. 111 ln. 81 c,d</t>
  </si>
  <si>
    <t>p. 112 ln. 22 c,d</t>
  </si>
  <si>
    <t>p. 113 ln. 61 c,d</t>
  </si>
  <si>
    <t>p. 117 ln. 62 c,d</t>
  </si>
  <si>
    <t>p. 117 ln. 63 c,d</t>
  </si>
  <si>
    <t>p. 117 ln. 64 c,d</t>
  </si>
  <si>
    <t>p. 117 ln. 65 c,d</t>
  </si>
  <si>
    <t>p. 117 ln. 66 c,d</t>
  </si>
  <si>
    <t>ln. 20 + ln. 23</t>
  </si>
  <si>
    <t>Schedule D2, Col 3, Ln A</t>
  </si>
  <si>
    <t>(Less) Amort. of Premium on Debt</t>
  </si>
  <si>
    <t>(Less) Amortization of Gain on Reacquired Debt</t>
  </si>
  <si>
    <t>(Less) Unamortized Discount on Long-Term Debt</t>
  </si>
  <si>
    <t xml:space="preserve">Total Long Term Debt Interest </t>
  </si>
  <si>
    <t>Total Long Term Debt Interest</t>
  </si>
  <si>
    <t>Sch B2; Col 9, Sum Ln 5, 6 and 10</t>
  </si>
  <si>
    <t>Col. (5) - Col. (4)</t>
  </si>
  <si>
    <t>(Col. (6) + Col. (7)) x</t>
  </si>
  <si>
    <t xml:space="preserve">Col. (8) x 24 months </t>
  </si>
  <si>
    <t>Col. (6) + Col. (7)</t>
  </si>
  <si>
    <t xml:space="preserve"> + Col. (9)</t>
  </si>
  <si>
    <t>the Actual Revenues Received will be allocated pro rata to each project based on their Actual Net Revenue Requirement in col (5).</t>
  </si>
  <si>
    <t>Depreciation (p.219)</t>
  </si>
  <si>
    <t>7/ CWIP, Regulatory Asset and Abandoned Plant are zero until an amount is authorized by FERC as shown below.  CWIP amount is shown in the NYPA Form 1 Equivalent, page 216, line 1</t>
  </si>
  <si>
    <t>NYPA Form 1 Equivalent</t>
  </si>
  <si>
    <r>
      <rPr>
        <b/>
        <sz val="12"/>
        <color indexed="8"/>
        <rFont val="Arial"/>
        <family val="2"/>
      </rPr>
      <t>NYPA Form 1</t>
    </r>
    <r>
      <rPr>
        <b/>
        <u/>
        <sz val="12"/>
        <color indexed="8"/>
        <rFont val="Arial"/>
        <family val="2"/>
      </rPr>
      <t xml:space="preserve"> Equivalent</t>
    </r>
  </si>
  <si>
    <t xml:space="preserve"> from WP-DA 1/</t>
  </si>
  <si>
    <t>from WP-DA 2/</t>
  </si>
  <si>
    <t>Col (3) Ln (4) *  WP-DA Col (7) Ln (4)</t>
  </si>
  <si>
    <t>Col (3); Ln (3) * Ln (4)</t>
  </si>
  <si>
    <t xml:space="preserve">       (2) and (3).</t>
  </si>
  <si>
    <t>ln. 24 - Cost of Removal 5/</t>
  </si>
  <si>
    <t>ln. 27 - Cost of Removal 5/</t>
  </si>
  <si>
    <t>ln. 22 - Cost of Removal 5/</t>
  </si>
  <si>
    <t>3/   Marcy South Capitalized Lease amount is added separately to the Rate Base.</t>
  </si>
  <si>
    <t xml:space="preserve">        SCPPs include Brentwood, Gowanus, Harlem River, Hell Gate, Kent, Pouch and Vernon. Small Hydro includes Ashokan, Crescent, Jarvis and Vischer Ferry. </t>
  </si>
  <si>
    <t>1/   Cost of Removal: Bringing back to accumulated depreciation cost of removal which was reclassified to regulatory liabilities in annual report.</t>
  </si>
  <si>
    <t>5/   The difference between the Accumulated Depreciation contained in the NYPA Form 1 Equivalent and the amount contained here is equal to the Cost of Removal.</t>
  </si>
  <si>
    <t xml:space="preserve">      The Long-Term Debt share is calculated as 1 minus the Common Equity share.</t>
  </si>
  <si>
    <t xml:space="preserve">      Section 205 or 206 filing to FERC.</t>
  </si>
  <si>
    <t xml:space="preserve">      FPA Section 205 or 206 filing to FERC.</t>
  </si>
  <si>
    <t xml:space="preserve">      The MSSC Long-Term Debt share is calculated as 1 minus the Common Equity share.</t>
  </si>
  <si>
    <t>1/  See Schedule-E1, Col (3), Ln 2</t>
  </si>
  <si>
    <t>2/   The ROE listed in Col (2) Ln (2) is the base ROE plus 50 basis-point incentive for RTO participation.  ROE may only be changed pursuant to an FPA</t>
  </si>
  <si>
    <t>1/   The Common Equity share listed in Col (1) is capped at 50%.  The cap may only be changed pursuant to an FPA Section 205 or 206 filing to FERC.</t>
  </si>
  <si>
    <t>Gross Transmission Plant that is included on Schedule B2, Ln 17, Col 5.</t>
  </si>
  <si>
    <t>Project Depreciation Expense is the amount in Schedule B1, Ln 26, Col. 2 that is associated with the specified project.  Project Depreciation Expense includes the amortization of Abandoned Plant and any FERC approved Regulatory Asset.  
However, if FERC grants accelerated depreciation for a project the depreciation rate authorized by FERC will be used instead of the rates shown on Schedule B3 for all other projects.</t>
  </si>
  <si>
    <t xml:space="preserve">increase in ROE would be multiplied by 137 on Schedule F1, Col. 13. </t>
  </si>
  <si>
    <t>Prior Period Adjustments are when an error is discovered relating to a prior true-up or refunds/surcharges ordered by FERC.  The interest on the Prior Period Adjustment excludes interest for the current true up period, because the interest is included in Ln 25 Col (d).</t>
  </si>
  <si>
    <t>5/:  The ROE listed in Col (6), Ln (3) is the base ROE plus 50 basis-point incentive for RTO participation.  ROE may only be changed pursuant to an</t>
  </si>
  <si>
    <t xml:space="preserve">      is fixed and cannot be modified or deleted absent an FPA Section 205 or 206 filing to FERC.  The Applied Equity Share in Col (5) Ln (3) will be the </t>
  </si>
  <si>
    <t xml:space="preserve">      actual common equity share, not to exceed the Equity Cap in Col (4) Ln (3).  The debt share is calculated as 1 minus the equity share.</t>
  </si>
  <si>
    <t>4/:  The capital structure listed in Col (3) is calculated based on the total capitalization amount listed in column (2).  The Equity Cap in Col (4) Ln (3)</t>
  </si>
  <si>
    <t>6/:  The Long-Term Debt Amount ($) in Col (2) Ln (1) is the Gross Proceeds Outstanding Long Term Debt, the average of WP-DB Ln (3e), Col</t>
  </si>
  <si>
    <t>5/  Average of year-end inventory Materials &amp; Supplies (WP-CA).  NYPA Form 1 Equivalent, page 227, Ln 12, average of columns b and c.</t>
  </si>
  <si>
    <t>Workpaper WP-DB Ln (5), average of Col (2) and (3)</t>
  </si>
  <si>
    <t>Workpaper WP-DB Col (2) Ln (2)</t>
  </si>
  <si>
    <t>Workpaper WP-DB Ln (4), average of Col (2) and (3)</t>
  </si>
  <si>
    <t>Project X</t>
  </si>
  <si>
    <t>1/   The MSSC Common Equity share listed in Col (1) is capped at 53%.  The cap may only be changed pursuant to an FPA Section 205 or 206 filing to FERC.</t>
  </si>
  <si>
    <t>2/   The MSSC  ROE listed in Col (2) Ln (2) is the base ROE plus 50 basis-point incentive Congestion Relief Adder.  ROE may only be changed pursuant to an FPA</t>
  </si>
  <si>
    <t>PROJECT SPECIFIC CAPITAL STRUCTURE AND COST OF CAPITAL 3/</t>
  </si>
  <si>
    <t xml:space="preserve">7/:   The Long-Term Debt Cost Rate is calculated as the Total Long Term Debt Interest [Workpaper WP-DB Col (2) Ln (2)] divided by the Net Proceeds </t>
  </si>
  <si>
    <t xml:space="preserve">       Long Term Debt [Workpaper WP-DB row (4), average of Col (2) and (3)]. </t>
  </si>
  <si>
    <t>Less A/C 930.5</t>
  </si>
  <si>
    <t>Less line 12</t>
  </si>
  <si>
    <t>(sum lines 16 to 21)</t>
  </si>
  <si>
    <t>(sum lines 1 to 22)</t>
  </si>
  <si>
    <t xml:space="preserve">     Admin &amp; General allocated to transmission [Workpaper WP-AA Col (4) ln (2ab) multiplied by Workpaper E1-Labor Ratio Col (3) ln (2)] for data pertaining to calendar years 2016 and later.</t>
  </si>
  <si>
    <t xml:space="preserve">3/   Additional project-specific capital structures added to this Schedule D2 must be approved by FERC.  The cost of long-term debt and common equity </t>
  </si>
  <si>
    <t xml:space="preserve">      for any such project shall reflect the cost rates in Col (2), Lns (1) and (2) unless a different cost rate is approved by FERC.</t>
  </si>
  <si>
    <t xml:space="preserve">2/  Column 5 is populated as 0 (zero) for data pertaining to calendar years ____ and 2015. It is populated as a sum of Transmission R&amp;D Expense [Workpaper WP-AA Col (3) ln(2ab)] plus the portion of </t>
  </si>
  <si>
    <t>3/  Populated as 0 (zero) for data pertaining to calendar years ____ and 2015.  Populated as WP-AA Col (3) for data pertaining to calendar years 2016 and later.</t>
  </si>
  <si>
    <t>Col (3); Ln (6) - Ln (5)</t>
  </si>
  <si>
    <t>391.2</t>
  </si>
  <si>
    <t>391.3</t>
  </si>
  <si>
    <t>Computer Equipment 5 yr</t>
  </si>
  <si>
    <t>Computer Equipment 10 yr</t>
  </si>
  <si>
    <t>399</t>
  </si>
  <si>
    <t>2) Schedule F1, Page 2 of 2, col (16).</t>
  </si>
  <si>
    <r>
      <rPr>
        <sz val="10"/>
        <color indexed="8"/>
        <rFont val="Arial"/>
        <family val="2"/>
      </rPr>
      <t>depreciation rates above will be weighted based on the relative amount of underlying plant booked to the accounts</t>
    </r>
    <r>
      <rPr>
        <sz val="10"/>
        <rFont val="Arial"/>
        <family val="2"/>
      </rPr>
      <t xml:space="preserve"> </t>
    </r>
  </si>
  <si>
    <r>
      <rPr>
        <sz val="10"/>
        <color indexed="8"/>
        <rFont val="Arial"/>
        <family val="2"/>
      </rPr>
      <t>shown in lines 1-9 above and the weighted average depreciation rate will be used to amortize the CIAC.</t>
    </r>
    <r>
      <rPr>
        <sz val="10"/>
        <rFont val="Arial"/>
        <family val="2"/>
      </rPr>
      <t xml:space="preserve"> The life of a</t>
    </r>
  </si>
  <si>
    <t>without prior FERC approval.</t>
  </si>
  <si>
    <r>
      <rPr>
        <sz val="10"/>
        <color indexed="8"/>
        <rFont val="Arial"/>
        <family val="2"/>
      </rPr>
      <t xml:space="preserve">In the event a Contribution in Aid of Construction (CIAC) is made for a transmission facility, the transmission </t>
    </r>
    <r>
      <rPr>
        <sz val="10"/>
        <rFont val="Arial"/>
        <family val="2"/>
      </rPr>
      <t xml:space="preserve"> </t>
    </r>
  </si>
  <si>
    <t xml:space="preserve">This schedule does not contain updated depreciation rates for the Long Island Sound Cable, an asset not included in the NYPA </t>
  </si>
  <si>
    <t>of the bonds purchased to construct the facility in 1991.</t>
  </si>
  <si>
    <r>
      <t xml:space="preserve"> </t>
    </r>
    <r>
      <rPr>
        <sz val="10"/>
        <color indexed="8"/>
        <rFont val="Arial"/>
        <family val="2"/>
      </rPr>
      <t>Rate (Annual) Percent</t>
    </r>
    <r>
      <rPr>
        <sz val="10"/>
        <rFont val="Arial"/>
        <family val="2"/>
      </rPr>
      <t xml:space="preserve"> 1/</t>
    </r>
  </si>
  <si>
    <t>Long Island Sound Cable 2/</t>
  </si>
  <si>
    <r>
      <t xml:space="preserve"> </t>
    </r>
    <r>
      <rPr>
        <sz val="10"/>
        <color indexed="8"/>
        <rFont val="Arial"/>
        <family val="2"/>
      </rPr>
      <t>Miscellaneous Equipment</t>
    </r>
    <r>
      <rPr>
        <sz val="10"/>
        <rFont val="Arial"/>
        <family val="2"/>
      </rPr>
      <t xml:space="preserve"> 4/</t>
    </r>
  </si>
  <si>
    <t>Where no depreciation rate is listed for a transmission or general plant account for a particular project (other than the Long Island</t>
  </si>
  <si>
    <t xml:space="preserve">Sound Cable), NYPA lacks depreciable plant as of 12/31/2015 (or all plant has been fully depreciated). If new plant corresponding to these </t>
  </si>
  <si>
    <t>Fully accrued.  If plant added to Marcy-South Account 396,  8.33% rate applies; if plant added to Niagara Account 393, 3.33% rate applies.</t>
  </si>
  <si>
    <t>accounts is subsequently added for the relevant projects, the “New Project” depreciation rate for the relevant account will apply.</t>
  </si>
  <si>
    <t>For Headquarters Account 398, plant nearly fully accrued.  If plant is added to this account, 5.00% rate applies.</t>
  </si>
  <si>
    <t xml:space="preserve">debt service, and consistent with past practice NYPA uses a 30-year depreciable life for the cable based on the 30-year term of </t>
  </si>
  <si>
    <t>Depreciation Study filed at FERC in 2017.  NYPA recovers the cost of the cable from the Long Island Power Authority through</t>
  </si>
  <si>
    <r>
      <t xml:space="preserve">facility subject to a CIAC will be equivalent to the depreciation rate calculated above, i.e., 100% </t>
    </r>
    <r>
      <rPr>
        <sz val="9"/>
        <rFont val="Arial"/>
        <family val="2"/>
      </rPr>
      <t>÷</t>
    </r>
    <r>
      <rPr>
        <sz val="10"/>
        <rFont val="Arial"/>
        <family val="2"/>
      </rPr>
      <t xml:space="preserve"> deprecation rate = life</t>
    </r>
  </si>
  <si>
    <t>in years. The estimated life of the facility or rights associated with the facility will not change  over the life of a CIAC</t>
  </si>
  <si>
    <r>
      <rPr>
        <sz val="10"/>
        <color indexed="8"/>
        <rFont val="Arial"/>
        <family val="2"/>
      </rPr>
      <t>These depreciation rates will not change absent the appropriate filing at FERC.</t>
    </r>
    <r>
      <rPr>
        <sz val="10"/>
        <rFont val="Arial"/>
        <family val="2"/>
      </rPr>
      <t xml:space="preserve"> </t>
    </r>
  </si>
  <si>
    <t>Based on Plant Data Year Ending December 31, 2015 (as filed with FERC in 2017 and as modified by settlement filed in Docket Nos. EL17-67, et al.)</t>
  </si>
  <si>
    <t>Station Equip - Transmission</t>
  </si>
  <si>
    <t>Relicensing Costs</t>
  </si>
  <si>
    <t>Niagara Relicense Compliance &amp; Implement Costs</t>
  </si>
  <si>
    <t>Niagara Relicense Other Payments '07</t>
  </si>
  <si>
    <t>STL Relicensing Re: Fish Enhancement</t>
  </si>
  <si>
    <t>ST. Lawrence Relicensing Re: Community Enhance Fun</t>
  </si>
  <si>
    <t>STL Relicensing Re:  Habitat Improvement Funds</t>
  </si>
  <si>
    <t>ST. Lawrence Relicensing Re: Local Reccreation Fac</t>
  </si>
  <si>
    <t>STL Relicense Re: Seaway Equity Corp.</t>
  </si>
  <si>
    <t>STL. Relicensing-WHWMA Inprovement Proj</t>
  </si>
  <si>
    <t>Blenheim Gilboa Relicensing Costs</t>
  </si>
  <si>
    <t>St. Lawrence:</t>
  </si>
  <si>
    <t>St. Lawrence - Station Equipment</t>
  </si>
  <si>
    <t>Step-Up Transformer</t>
  </si>
  <si>
    <t>Blenheim Gilboa</t>
  </si>
  <si>
    <t>Niagara:</t>
  </si>
  <si>
    <t>Niagara -  Station Equipment 6 Units</t>
  </si>
  <si>
    <t>Step-Up Transformer &amp; Related Equipment - Unit # 6</t>
  </si>
  <si>
    <t>Step-Up Transformer &amp; Related Equipment - Unit # 5</t>
  </si>
  <si>
    <t>Step-Up Transformer &amp; Related Equipment - Unit # 12</t>
  </si>
  <si>
    <t>Step-Up Transformer &amp; Related Equipment - Unit # 11</t>
  </si>
  <si>
    <t>Step-Up Transformer &amp; Related Equipment - Unit # 7</t>
  </si>
  <si>
    <t>Step-Up Transformer &amp; Related Equipment - Unit # 3</t>
  </si>
  <si>
    <t>Step-Up Transformer &amp; Related Equipment - Unit # 9</t>
  </si>
  <si>
    <t>J. A.  FitzPatrick</t>
  </si>
  <si>
    <t>500MW C - C at Astoria:</t>
  </si>
  <si>
    <t>Step-Up Transformer GTB 7A</t>
  </si>
  <si>
    <t>Step-Up Transformer GTB 7B</t>
  </si>
  <si>
    <t>Step-Up Transformer STG</t>
  </si>
  <si>
    <t>Marcy CSC Building, Electronics, Software, Xfmrs -</t>
  </si>
  <si>
    <t>Oakdale (NYSEG) SubStation 345kv Capacitor Bank</t>
  </si>
  <si>
    <t>Marcy CSC Transformer - 345kv, 200mva</t>
  </si>
  <si>
    <t>Marcy CSC Gas Circuit Breaker - 345kv, 3000a  GE</t>
  </si>
  <si>
    <t>Marcy CSC Disconnect Switches (Five) - 362kv</t>
  </si>
  <si>
    <t>Marcy CSC 3000 Bay w/Equipment</t>
  </si>
  <si>
    <t>Marcy CSC Relay/Protection/Control Equipment</t>
  </si>
  <si>
    <t>Edic (NMPC) SubStation 345kv Capacitor Bank</t>
  </si>
  <si>
    <t>Circuit Breaker Monitoring System</t>
  </si>
  <si>
    <t>Remote Terminal Units</t>
  </si>
  <si>
    <t>Marcy CSC Transformer - 345kv, 100mva</t>
  </si>
  <si>
    <t>Marcy CSC Gas Circuit Breaker - 362kv,   GE</t>
  </si>
  <si>
    <t>CSC   Potential Xfmrs, 345kV, SF6 Gas (Fourteen)</t>
  </si>
  <si>
    <t>CSC   Current  Xfmrs, 362kV, SF6 Gas   (Seven)</t>
  </si>
  <si>
    <t>Marcy CSC   Disconnect Switches, 345kV   (Eleven)</t>
  </si>
  <si>
    <t>CSC   Motor Oper Disconnect Switches, 38kV  (Four)</t>
  </si>
  <si>
    <t>Marcy CSC Gas Circuit Breaker - 35kVA,  SF6  (Two)</t>
  </si>
  <si>
    <t>Marcy CSC   Power &amp; Control Cable</t>
  </si>
  <si>
    <t>Marcy CSC   Surge Arresters</t>
  </si>
  <si>
    <t>CEC Circuit Switcher Upgrade</t>
  </si>
  <si>
    <t>Remote Terminal Units CMC-MAD-11-AAAQ</t>
  </si>
  <si>
    <t>BLENHEIM - GILBOA</t>
  </si>
  <si>
    <t>Land &amp; Land Rights</t>
  </si>
  <si>
    <t>J. A. FITZPATRICK</t>
  </si>
  <si>
    <t>LONG ISLAND SOUND CABLE</t>
  </si>
  <si>
    <t>MARCY-SOUTH</t>
  </si>
  <si>
    <t>MASSENA - MARCY  (Clark)</t>
  </si>
  <si>
    <t>St.  LAWRENCE / FDR</t>
  </si>
  <si>
    <t>HEADQUARTERS</t>
  </si>
  <si>
    <t>Land &amp; Land Rights - Pathnode Substation WF</t>
  </si>
  <si>
    <t>ASHOKAN / KENSICO</t>
  </si>
  <si>
    <t>Waterwheels, Turbines, Generators</t>
  </si>
  <si>
    <t>Reservoirs, Dams, Waterways</t>
  </si>
  <si>
    <t>Accessory Electric Equipment</t>
  </si>
  <si>
    <t>Misc Power Plant Equipment</t>
  </si>
  <si>
    <t>Roads, Railroads &amp; Bridges</t>
  </si>
  <si>
    <t>Cost of Removal Deprec to Reg Assets (Prod)</t>
  </si>
  <si>
    <t>Boiler Plant Equipment</t>
  </si>
  <si>
    <t>TurboGenerator Units</t>
  </si>
  <si>
    <t>FuelHolders, Producers, Accessory</t>
  </si>
  <si>
    <t>Generators</t>
  </si>
  <si>
    <t>Capital Lease Asset (Manual)</t>
  </si>
  <si>
    <t>Impairment (Prod)</t>
  </si>
  <si>
    <t>Station Equipment - Windfarm Assets acq. 12-1-11</t>
  </si>
  <si>
    <t>Asset Impairment</t>
  </si>
  <si>
    <t>Impairment (Trans)</t>
  </si>
  <si>
    <t>Reclassification to deferred liability</t>
  </si>
  <si>
    <t>Cost of Removal Deprec to Reg Assets (Trans)</t>
  </si>
  <si>
    <t>Transprt.Equip-500MW</t>
  </si>
  <si>
    <t>Power Oper Eqp-500MW</t>
  </si>
  <si>
    <t>Cost of Removal Deprec to Reg Assets (Gen)</t>
  </si>
  <si>
    <t>NYPA/940300</t>
  </si>
  <si>
    <t>NYPA/950100</t>
  </si>
  <si>
    <t>NYPA/950600</t>
  </si>
  <si>
    <t>NYPA/951200</t>
  </si>
  <si>
    <t>NYPA/951400</t>
  </si>
  <si>
    <t>NYPA/953500</t>
  </si>
  <si>
    <t>NYPA/953700</t>
  </si>
  <si>
    <t>NYPA/953800</t>
  </si>
  <si>
    <t>NYPA/953900</t>
  </si>
  <si>
    <t>NYPA/954100</t>
  </si>
  <si>
    <t>NYPA/954200</t>
  </si>
  <si>
    <t>NYPA/954300</t>
  </si>
  <si>
    <t>NYPA/954400</t>
  </si>
  <si>
    <t>NYPA/954500</t>
  </si>
  <si>
    <t>NYPA/954600</t>
  </si>
  <si>
    <t>NYPA/954800</t>
  </si>
  <si>
    <t>NYPA/954900</t>
  </si>
  <si>
    <t>NYPA/955100</t>
  </si>
  <si>
    <t>NYPA/955200</t>
  </si>
  <si>
    <t>NYPA/955300</t>
  </si>
  <si>
    <t>NYPA/955400</t>
  </si>
  <si>
    <t>NYPA/955500</t>
  </si>
  <si>
    <t>NYPA/956000</t>
  </si>
  <si>
    <t>NYPA/956100</t>
  </si>
  <si>
    <t>NYPA/956200</t>
  </si>
  <si>
    <t>NYPA/956500</t>
  </si>
  <si>
    <t>NYPA/956600</t>
  </si>
  <si>
    <t>NYPA/956800</t>
  </si>
  <si>
    <t>NYPA/956900</t>
  </si>
  <si>
    <t>NYPA/957000</t>
  </si>
  <si>
    <t>NYPA/957100</t>
  </si>
  <si>
    <t>NYPA/957200</t>
  </si>
  <si>
    <t>NYPA/957300</t>
  </si>
  <si>
    <t>NYPA/920000</t>
  </si>
  <si>
    <t>NYPA/992400</t>
  </si>
  <si>
    <t>NYPA/992600</t>
  </si>
  <si>
    <t>NYPA/992800</t>
  </si>
  <si>
    <t>NYPA/993000</t>
  </si>
  <si>
    <t>NYPA/920030</t>
  </si>
  <si>
    <t>NYPA/993020</t>
  </si>
  <si>
    <t>NYPA/993500</t>
  </si>
  <si>
    <t>0100/700</t>
  </si>
  <si>
    <t>0100/800</t>
  </si>
  <si>
    <t>CES</t>
  </si>
  <si>
    <t>Canal Corp</t>
  </si>
  <si>
    <t>Land-Canal System</t>
  </si>
  <si>
    <t>CIP- Canal System</t>
  </si>
  <si>
    <t>Canal System</t>
  </si>
  <si>
    <t>12cq</t>
  </si>
  <si>
    <t>12cs</t>
  </si>
  <si>
    <t>12cr</t>
  </si>
  <si>
    <t>12ct</t>
  </si>
  <si>
    <t>12cu</t>
  </si>
  <si>
    <t>12cv</t>
  </si>
  <si>
    <t>12cw</t>
  </si>
  <si>
    <t>12cx</t>
  </si>
  <si>
    <t>12cy</t>
  </si>
  <si>
    <t>MSSC</t>
  </si>
  <si>
    <t>Impairment Cost</t>
  </si>
  <si>
    <t>Canal Reimbursement Agreement</t>
  </si>
  <si>
    <t>Investments in securiries- restricted</t>
  </si>
  <si>
    <t>Pensions (Note 10)</t>
  </si>
  <si>
    <t xml:space="preserve">Pensions </t>
  </si>
  <si>
    <t>Accumulated increase in fair value of hedging</t>
  </si>
  <si>
    <t>930.9- Misc Adj. And Other Cr</t>
  </si>
  <si>
    <t>3r</t>
  </si>
  <si>
    <t>3s</t>
  </si>
  <si>
    <t>NYPA/941710</t>
  </si>
  <si>
    <t>4171 -    Non-Utility Oper Exp</t>
  </si>
  <si>
    <t>2ae</t>
  </si>
  <si>
    <t>2af</t>
  </si>
  <si>
    <t>4171 -    Depreciation Expense Non Utility</t>
  </si>
  <si>
    <t>NYPA/954810</t>
  </si>
  <si>
    <t>5481 - OP-Operation Energy Storage Equip</t>
  </si>
  <si>
    <t>0100/901</t>
  </si>
  <si>
    <t>Large Energy Storage</t>
  </si>
  <si>
    <t>1ba</t>
  </si>
  <si>
    <t>Postemployment benefits other than pensions (Note 11)</t>
  </si>
  <si>
    <t>25d</t>
  </si>
  <si>
    <t>2ag</t>
  </si>
  <si>
    <t>14g</t>
  </si>
  <si>
    <t>0100/900</t>
  </si>
  <si>
    <t>EV Charging Stations</t>
  </si>
  <si>
    <t>Total Project Adjustments</t>
  </si>
  <si>
    <t>2019</t>
  </si>
  <si>
    <t>BG Relicensing Community Payments</t>
  </si>
  <si>
    <t>Office Furniture &amp; Equipment - 5 years</t>
  </si>
  <si>
    <t>Office Furniture &amp; Equipment - 10 years</t>
  </si>
  <si>
    <t>4171 -    Non-Utility Depreciation Expenses</t>
  </si>
  <si>
    <t>StepUp Transformer GE 7 Coil @12/31/19</t>
  </si>
  <si>
    <t>EL19-88-000</t>
  </si>
  <si>
    <t>AC Transmission Project</t>
  </si>
  <si>
    <t>12d</t>
  </si>
  <si>
    <t>12w</t>
  </si>
  <si>
    <t xml:space="preserve">Handy Whitman Index retirement </t>
  </si>
  <si>
    <t>12/31/2020 ($)</t>
  </si>
  <si>
    <t>2020</t>
  </si>
  <si>
    <t>2020 Amount ($)</t>
  </si>
  <si>
    <t>DECEMBER 2020</t>
  </si>
  <si>
    <t>Included General &amp; Transmission Plant - Depreciation 2020</t>
  </si>
  <si>
    <t>0100/265</t>
  </si>
  <si>
    <t>0100/322</t>
  </si>
  <si>
    <t>0100/350</t>
  </si>
  <si>
    <t>0100/550</t>
  </si>
  <si>
    <t>0100/701</t>
  </si>
  <si>
    <t>0100/902</t>
  </si>
  <si>
    <t>AC Proceedings</t>
  </si>
  <si>
    <t>GPSP</t>
  </si>
  <si>
    <t>Canals Reimagined</t>
  </si>
  <si>
    <t>CANALS CAPITAL</t>
  </si>
  <si>
    <t>NYEM</t>
  </si>
  <si>
    <t>Lrg Scale Renewables</t>
  </si>
  <si>
    <t>1bb</t>
  </si>
  <si>
    <t>1bc</t>
  </si>
  <si>
    <t>12cz</t>
  </si>
  <si>
    <t xml:space="preserve">Asset retirement obligation </t>
  </si>
  <si>
    <t>True-up</t>
  </si>
  <si>
    <t>Adjustments - MSSC</t>
  </si>
  <si>
    <t>Adjustments - AC</t>
  </si>
  <si>
    <t>Postemployment benefits other than pensions</t>
  </si>
  <si>
    <t>ARO GASB# 83</t>
  </si>
  <si>
    <t>2019-2020 EXCLUDED PLANT IN SERVICE</t>
  </si>
  <si>
    <t>NTAC Adjustment as per Informaional Filing and GSUT Correction</t>
  </si>
  <si>
    <t>MSSC Adjustment as per Informaional Filing and GSUT Correction</t>
  </si>
  <si>
    <t>AC Adjustment as per Informaional Filing and GSUT Correction</t>
  </si>
  <si>
    <t>New York Energy Manager</t>
  </si>
  <si>
    <t>ASHOKAN</t>
  </si>
  <si>
    <t>Non-utility Property</t>
  </si>
  <si>
    <t>YEAR ENDING DECEMBER 31, 2021</t>
  </si>
  <si>
    <t>2021</t>
  </si>
  <si>
    <t>DECEMBER 2021</t>
  </si>
  <si>
    <t xml:space="preserve">_2021_ Annual Report </t>
  </si>
  <si>
    <t>2021 Amount ($)</t>
  </si>
  <si>
    <t>2020-2021</t>
  </si>
  <si>
    <t>12/31/2021 ($)</t>
  </si>
  <si>
    <t>2020 - 2021 Average</t>
  </si>
  <si>
    <t>Evolve &amp; Re-Imagine</t>
  </si>
  <si>
    <t>Non-utility property</t>
  </si>
  <si>
    <t>12cj</t>
  </si>
  <si>
    <t>Project 2- AC Project Segment A</t>
  </si>
  <si>
    <t> 12/31/2001</t>
  </si>
  <si>
    <t>157       </t>
  </si>
  <si>
    <t>729308 </t>
  </si>
  <si>
    <t> 11/30/2002</t>
  </si>
  <si>
    <t>158       </t>
  </si>
  <si>
    <t>160       </t>
  </si>
  <si>
    <t> 12/31/2003</t>
  </si>
  <si>
    <t> 11/30/2004</t>
  </si>
  <si>
    <t>220       </t>
  </si>
  <si>
    <t>159       </t>
  </si>
  <si>
    <t>161       </t>
  </si>
  <si>
    <t>Asset Impairment (FASB 121) - Vernon Boulevard</t>
  </si>
  <si>
    <t>Asset Impairment (FASB 121) - Gowanus         </t>
  </si>
  <si>
    <t>Asset Impairment (FASB 121) - Pouch Terminal  </t>
  </si>
  <si>
    <t>WriteOff  Asset Retirement Cost - V B Impaired</t>
  </si>
  <si>
    <t>Asset Impairment (FAS 144) - Marcy  FACTS/CSC </t>
  </si>
  <si>
    <t>Asset Impairment (FAS 144) - Kent, Bklyn      </t>
  </si>
  <si>
    <t>Asset Impairment (FAS 144) - Brentwood, L.I.  </t>
  </si>
  <si>
    <t xml:space="preserve"> -   </t>
  </si>
  <si>
    <t>105 - Blenheim-Gilboa</t>
  </si>
  <si>
    <t>110 - St. Lawrence</t>
  </si>
  <si>
    <t>115 - Niagara</t>
  </si>
  <si>
    <t>310 - Headquarters</t>
  </si>
  <si>
    <t>220 - Marcy /Clark Trans</t>
  </si>
  <si>
    <t>235 - Sound Cable</t>
  </si>
  <si>
    <t>ST. Lawrence  Ten Years Relicensing</t>
  </si>
  <si>
    <t>Project 2 - AC Project Segment A - Capital Structure 4/</t>
  </si>
  <si>
    <t>12da</t>
  </si>
  <si>
    <t>18i</t>
  </si>
  <si>
    <t>8aj</t>
  </si>
  <si>
    <t>10x</t>
  </si>
  <si>
    <t>10aj</t>
  </si>
  <si>
    <t>10bf</t>
  </si>
  <si>
    <t>10bg</t>
  </si>
  <si>
    <t>10bj</t>
  </si>
  <si>
    <t>12l</t>
  </si>
  <si>
    <t>12aj</t>
  </si>
  <si>
    <t>12bf</t>
  </si>
  <si>
    <t>12bg</t>
  </si>
  <si>
    <t>12bj</t>
  </si>
  <si>
    <t>4/   The AC Project Segment A cost containment impacts, if any, will be computed on a workpaper and provided as supporting documentation for each applicable Annual Update</t>
  </si>
  <si>
    <t xml:space="preserve">      consistent with the NYPA Protocols. The ROE listed in Col (2) for AC Project Segment A consists of a 50 basis point ROE Risk Adder per the Commission's approval in Docket No. EL19-88, </t>
  </si>
  <si>
    <t xml:space="preserve">      added to the 9.45% ROE applicable to NYPA’s other transmission assets. See Schedule D1 and Project 1,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</si>
</sst>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41" formatCode="_(* #,##0_);_(* \(#,##0\);_(* &quot;-&quot;_);_(@_)"/>
    <numFmt numFmtId="44" formatCode="_(&quot;$&quot;* #,##0.00_);_(&quot;$&quot;* \(#,##0.00\);_(&quot;$&quot;* &quot;-&quot;??_);_(@_)"/>
    <numFmt numFmtId="43" formatCode="_(* #,##0.00_);_(* \(#,##0.00\);_(* &quot;-&quot;??_);_(@_)"/>
    <numFmt numFmtId="164" formatCode="0_)"/>
    <numFmt numFmtId="165" formatCode="dd\-mmm\-yy_)"/>
    <numFmt numFmtId="166" formatCode="0.000%"/>
    <numFmt numFmtId="167" formatCode="&quot;$&quot;#,##0"/>
    <numFmt numFmtId="168" formatCode="_(* #,##0_);_(* \(#,##0\);_(* &quot;-&quot;??_);_(@_)"/>
    <numFmt numFmtId="169" formatCode="#,##0;\(#,##0\)"/>
    <numFmt numFmtId="170" formatCode="_(&quot;$&quot;* #,##0_);_(&quot;$&quot;* \(#,##0\);_(&quot;$&quot;* &quot;-&quot;??_);_(@_)"/>
    <numFmt numFmtId="171" formatCode="0.0%"/>
    <numFmt numFmtId="172" formatCode="0.00_)"/>
    <numFmt numFmtId="173" formatCode="0_);\(0\)"/>
    <numFmt numFmtId="174" formatCode="\$\ #,##0.00"/>
    <numFmt numFmtId="175" formatCode="&quot;$&quot;#,##0.00"/>
    <numFmt numFmtId="176" formatCode="#,##0.00000"/>
    <numFmt numFmtId="177" formatCode="_(* #,##0.0000_);_(* \(#,##0.0000\);_(* &quot;-&quot;??_);_(@_)"/>
    <numFmt numFmtId="178" formatCode="0.0000"/>
    <numFmt numFmtId="179" formatCode="_(* #,##0.000_);_(* \(#,##0.000\);_(* &quot;-&quot;??_);_(@_)"/>
    <numFmt numFmtId="180" formatCode="_(* #,##0.0_);_(* \(#,##0.0\);_(* &quot;-&quot;??_);_(@_)"/>
    <numFmt numFmtId="181" formatCode="#,##0\ \ \ ;[Red]\(#,##0\)\ \ ;\—\ \ \ \ "/>
    <numFmt numFmtId="182" formatCode="#,##0\ \ \ \ ;[Red]\(#,##0\)\ \ \ ;\—\ \ \ \ "/>
    <numFmt numFmtId="183" formatCode="#,##0\ \ ;[Red]\(#,##0\)\ ;\—\ \ "/>
    <numFmt numFmtId="184" formatCode="#,##0\ ;\(#,##0\);\-\ \ \ \ \ "/>
    <numFmt numFmtId="185" formatCode="#,##0\ ;\(#,##0\);\–\ \ \ \ \ "/>
    <numFmt numFmtId="186" formatCode="#,##0.0;\(#,##0.00\)"/>
    <numFmt numFmtId="187" formatCode="0.0"/>
  </numFmts>
  <fonts count="188">
    <font>
      <sz val="10"/>
      <name val="Courie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4"/>
      <color indexed="8"/>
      <name val="Arial"/>
      <family val="2"/>
    </font>
    <font>
      <b/>
      <sz val="14"/>
      <color indexed="8"/>
      <name val="Arial"/>
      <family val="2"/>
    </font>
    <font>
      <sz val="18"/>
      <color indexed="8"/>
      <name val="Arial"/>
      <family val="2"/>
    </font>
    <font>
      <sz val="12"/>
      <color indexed="8"/>
      <name val="Arial"/>
      <family val="2"/>
    </font>
    <font>
      <b/>
      <sz val="12"/>
      <color indexed="8"/>
      <name val="Arial"/>
      <family val="2"/>
    </font>
    <font>
      <b/>
      <sz val="10"/>
      <color indexed="8"/>
      <name val="Arial"/>
      <family val="2"/>
    </font>
    <font>
      <sz val="12"/>
      <color indexed="8"/>
      <name val="Arial"/>
      <family val="2"/>
    </font>
    <font>
      <sz val="12"/>
      <name val="Courier"/>
      <family val="3"/>
    </font>
    <font>
      <sz val="14"/>
      <name val="Courier"/>
      <family val="3"/>
    </font>
    <font>
      <sz val="8"/>
      <name val="Arial"/>
      <family val="2"/>
    </font>
    <font>
      <sz val="12"/>
      <name val="Arial"/>
      <family val="2"/>
    </font>
    <font>
      <sz val="12"/>
      <name val="Arial"/>
      <family val="2"/>
    </font>
    <font>
      <b/>
      <sz val="12"/>
      <name val="Arial"/>
      <family val="2"/>
    </font>
    <font>
      <b/>
      <sz val="10"/>
      <name val="Arial"/>
      <family val="2"/>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1"/>
      <color indexed="8"/>
      <name val="Calibri"/>
      <family val="2"/>
    </font>
    <font>
      <sz val="10"/>
      <color indexed="8"/>
      <name val="Arial"/>
      <family val="2"/>
    </font>
    <font>
      <sz val="10"/>
      <color indexed="39"/>
      <name val="Arial"/>
      <family val="2"/>
    </font>
    <font>
      <b/>
      <sz val="16"/>
      <color indexed="23"/>
      <name val="Arial"/>
      <family val="2"/>
    </font>
    <font>
      <sz val="10"/>
      <color indexed="10"/>
      <name val="Arial"/>
      <family val="2"/>
    </font>
    <font>
      <sz val="10"/>
      <name val="Courier"/>
      <family val="3"/>
    </font>
    <font>
      <b/>
      <sz val="14"/>
      <color rgb="FFFF0000"/>
      <name val="Arial"/>
      <family val="2"/>
    </font>
    <font>
      <b/>
      <u/>
      <sz val="10"/>
      <name val="Courier"/>
      <family val="3"/>
    </font>
    <font>
      <sz val="10"/>
      <name val="Courier"/>
      <family val="3"/>
    </font>
    <font>
      <sz val="10"/>
      <color rgb="FFFF0000"/>
      <name val="Arial"/>
      <family val="2"/>
    </font>
    <font>
      <b/>
      <u/>
      <sz val="14"/>
      <color theme="1"/>
      <name val="Arial"/>
      <family val="2"/>
    </font>
    <font>
      <sz val="14"/>
      <color rgb="FFFF0000"/>
      <name val="Arial"/>
      <family val="2"/>
    </font>
    <font>
      <b/>
      <sz val="14"/>
      <name val="Arial"/>
      <family val="2"/>
    </font>
    <font>
      <sz val="14"/>
      <name val="Arial"/>
      <family val="2"/>
    </font>
    <font>
      <sz val="10"/>
      <name val="Arial"/>
      <family val="2"/>
    </font>
    <font>
      <sz val="11"/>
      <color rgb="FF1F497D"/>
      <name val="Calibri"/>
      <family val="2"/>
    </font>
    <font>
      <b/>
      <sz val="12"/>
      <name val="Calibri"/>
      <family val="2"/>
      <scheme val="minor"/>
    </font>
    <font>
      <sz val="10"/>
      <name val="Calibri"/>
      <family val="2"/>
      <scheme val="minor"/>
    </font>
    <font>
      <sz val="12"/>
      <name val="Calibri"/>
      <family val="2"/>
      <scheme val="minor"/>
    </font>
    <font>
      <b/>
      <u/>
      <sz val="12"/>
      <name val="Courier"/>
      <family val="3"/>
    </font>
    <font>
      <b/>
      <sz val="10"/>
      <name val="Calibri"/>
      <family val="2"/>
      <scheme val="minor"/>
    </font>
    <font>
      <sz val="10"/>
      <color rgb="FFFF0000"/>
      <name val="Calibri"/>
      <family val="2"/>
      <scheme val="minor"/>
    </font>
    <font>
      <sz val="12"/>
      <color theme="1"/>
      <name val="Calibri"/>
      <family val="2"/>
      <scheme val="minor"/>
    </font>
    <font>
      <sz val="9"/>
      <name val="Calibri"/>
      <family val="2"/>
      <scheme val="minor"/>
    </font>
    <font>
      <i/>
      <sz val="10"/>
      <name val="Calibri"/>
      <family val="2"/>
      <scheme val="minor"/>
    </font>
    <font>
      <sz val="14"/>
      <color indexed="8"/>
      <name val="Calibri"/>
      <family val="2"/>
      <scheme val="minor"/>
    </font>
    <font>
      <sz val="14"/>
      <color rgb="FFFF0000"/>
      <name val="Calibri"/>
      <family val="2"/>
      <scheme val="minor"/>
    </font>
    <font>
      <u/>
      <sz val="14"/>
      <color indexed="8"/>
      <name val="Calibri"/>
      <family val="2"/>
      <scheme val="minor"/>
    </font>
    <font>
      <b/>
      <sz val="9"/>
      <color indexed="8"/>
      <name val="Arial"/>
      <family val="2"/>
    </font>
    <font>
      <sz val="9"/>
      <name val="Courier"/>
      <family val="3"/>
    </font>
    <font>
      <b/>
      <u/>
      <sz val="9"/>
      <name val="Courier"/>
      <family val="3"/>
    </font>
    <font>
      <b/>
      <u/>
      <sz val="12"/>
      <name val="Calibri"/>
      <family val="2"/>
      <scheme val="minor"/>
    </font>
    <font>
      <b/>
      <sz val="14"/>
      <color indexed="8"/>
      <name val="Calibri"/>
      <family val="2"/>
      <scheme val="minor"/>
    </font>
    <font>
      <b/>
      <sz val="12"/>
      <color indexed="8"/>
      <name val="Calibri"/>
      <family val="2"/>
      <scheme val="minor"/>
    </font>
    <font>
      <sz val="12"/>
      <color indexed="8"/>
      <name val="Calibri"/>
      <family val="2"/>
      <scheme val="minor"/>
    </font>
    <font>
      <b/>
      <sz val="12"/>
      <color rgb="FFFF0000"/>
      <name val="Calibri"/>
      <family val="2"/>
      <scheme val="minor"/>
    </font>
    <font>
      <b/>
      <sz val="14"/>
      <name val="Calibri"/>
      <family val="2"/>
      <scheme val="minor"/>
    </font>
    <font>
      <b/>
      <i/>
      <sz val="12"/>
      <name val="Calibri"/>
      <family val="2"/>
      <scheme val="minor"/>
    </font>
    <font>
      <b/>
      <sz val="9"/>
      <name val="Calibri"/>
      <family val="2"/>
      <scheme val="minor"/>
    </font>
    <font>
      <sz val="10"/>
      <name val="Arial"/>
      <family val="2"/>
    </font>
    <font>
      <u/>
      <sz val="10"/>
      <color theme="10"/>
      <name val="Courier"/>
      <family val="3"/>
    </font>
    <font>
      <b/>
      <sz val="10"/>
      <color indexed="39"/>
      <name val="Arial"/>
      <family val="2"/>
    </font>
    <font>
      <b/>
      <sz val="11"/>
      <color indexed="8"/>
      <name val="Arial"/>
      <family val="2"/>
    </font>
    <font>
      <b/>
      <sz val="10"/>
      <color rgb="FFFF0000"/>
      <name val="Calibri"/>
      <family val="2"/>
      <scheme val="minor"/>
    </font>
    <font>
      <u/>
      <sz val="9"/>
      <name val="Courier"/>
      <family val="3"/>
    </font>
    <font>
      <sz val="9"/>
      <color indexed="8"/>
      <name val="Arial"/>
      <family val="2"/>
    </font>
    <font>
      <sz val="9"/>
      <color indexed="8"/>
      <name val="Calibri"/>
      <family val="2"/>
      <scheme val="minor"/>
    </font>
    <font>
      <b/>
      <sz val="9"/>
      <color rgb="FFFF0000"/>
      <name val="Arial"/>
      <family val="2"/>
    </font>
    <font>
      <sz val="12"/>
      <name val="Arial MT"/>
    </font>
    <font>
      <sz val="10"/>
      <name val="Times New Roman"/>
      <family val="1"/>
    </font>
    <font>
      <sz val="10"/>
      <color indexed="17"/>
      <name val="Times New Roman"/>
      <family val="1"/>
    </font>
    <font>
      <b/>
      <sz val="10"/>
      <name val="Times New Roman"/>
      <family val="1"/>
    </font>
    <font>
      <sz val="10"/>
      <name val="Arial Narrow"/>
      <family val="2"/>
    </font>
    <font>
      <sz val="12"/>
      <name val="Times New Roman"/>
      <family val="1"/>
    </font>
    <font>
      <sz val="12"/>
      <name val="Arial Narrow"/>
      <family val="2"/>
    </font>
    <font>
      <b/>
      <sz val="10"/>
      <color indexed="8"/>
      <name val="Calibri"/>
      <family val="2"/>
      <scheme val="minor"/>
    </font>
    <font>
      <sz val="10"/>
      <color indexed="8"/>
      <name val="Calibri"/>
      <family val="2"/>
      <scheme val="minor"/>
    </font>
    <font>
      <sz val="10"/>
      <name val="Arial"/>
      <family val="2"/>
    </font>
    <font>
      <sz val="11"/>
      <name val="Times New Roman"/>
      <family val="1"/>
    </font>
    <font>
      <sz val="12"/>
      <color theme="1"/>
      <name val="Arial"/>
      <family val="2"/>
    </font>
    <font>
      <b/>
      <sz val="12"/>
      <color theme="1"/>
      <name val="Arial"/>
      <family val="2"/>
    </font>
    <font>
      <b/>
      <i/>
      <sz val="12"/>
      <name val="Arial"/>
      <family val="2"/>
    </font>
    <font>
      <b/>
      <u/>
      <sz val="12"/>
      <name val="Arial"/>
      <family val="2"/>
    </font>
    <font>
      <b/>
      <sz val="16"/>
      <color theme="1"/>
      <name val="Arial"/>
      <family val="2"/>
    </font>
    <font>
      <b/>
      <sz val="14"/>
      <color theme="1"/>
      <name val="Calibri"/>
      <family val="2"/>
      <scheme val="minor"/>
    </font>
    <font>
      <b/>
      <sz val="13"/>
      <color indexed="8"/>
      <name val="Arial"/>
      <family val="2"/>
    </font>
    <font>
      <b/>
      <u/>
      <sz val="10"/>
      <name val="Calibri"/>
      <family val="2"/>
      <scheme val="minor"/>
    </font>
    <font>
      <b/>
      <u/>
      <sz val="10"/>
      <name val="Arial"/>
      <family val="2"/>
    </font>
    <font>
      <u/>
      <sz val="12"/>
      <name val="Arial"/>
      <family val="2"/>
    </font>
    <font>
      <b/>
      <sz val="11"/>
      <color rgb="FF000000"/>
      <name val="Arial"/>
      <family val="2"/>
    </font>
    <font>
      <b/>
      <sz val="11"/>
      <name val="Arial"/>
      <family val="2"/>
    </font>
    <font>
      <sz val="11"/>
      <color rgb="FF000000"/>
      <name val="Arial"/>
      <family val="2"/>
    </font>
    <font>
      <sz val="11"/>
      <name val="Arial"/>
      <family val="2"/>
    </font>
    <font>
      <b/>
      <u val="singleAccounting"/>
      <sz val="12"/>
      <name val="Arial"/>
      <family val="2"/>
    </font>
    <font>
      <sz val="12"/>
      <color rgb="FF000000"/>
      <name val="Arial"/>
      <family val="2"/>
    </font>
    <font>
      <sz val="11"/>
      <color theme="1"/>
      <name val="Arial"/>
      <family val="2"/>
    </font>
    <font>
      <b/>
      <u/>
      <sz val="12"/>
      <color indexed="8"/>
      <name val="Arial"/>
      <family val="2"/>
    </font>
    <font>
      <sz val="12"/>
      <color rgb="FFFF0000"/>
      <name val="Arial"/>
      <family val="2"/>
    </font>
    <font>
      <b/>
      <sz val="11"/>
      <color theme="1"/>
      <name val="Arial"/>
      <family val="2"/>
    </font>
    <font>
      <sz val="12"/>
      <color rgb="FF0033CC"/>
      <name val="Arial"/>
      <family val="2"/>
    </font>
    <font>
      <b/>
      <sz val="16"/>
      <color indexed="8"/>
      <name val="Calibri"/>
      <family val="2"/>
      <scheme val="minor"/>
    </font>
    <font>
      <b/>
      <sz val="16"/>
      <color indexed="8"/>
      <name val="Arial"/>
      <family val="2"/>
    </font>
    <font>
      <sz val="14"/>
      <name val="Calibri"/>
      <family val="2"/>
      <scheme val="minor"/>
    </font>
    <font>
      <sz val="14"/>
      <name val="Courier"/>
      <family val="3"/>
    </font>
    <font>
      <sz val="9"/>
      <name val="Arial"/>
      <family val="2"/>
    </font>
    <font>
      <i/>
      <sz val="10"/>
      <name val="Arial"/>
      <family val="2"/>
    </font>
    <font>
      <u/>
      <sz val="10"/>
      <name val="Arial"/>
      <family val="2"/>
    </font>
    <font>
      <i/>
      <sz val="9"/>
      <name val="Arial"/>
      <family val="2"/>
    </font>
    <font>
      <sz val="10"/>
      <color rgb="FF0070C0"/>
      <name val="Arial"/>
      <family val="2"/>
    </font>
    <font>
      <b/>
      <sz val="12"/>
      <color rgb="FF0070C0"/>
      <name val="Arial"/>
      <family val="2"/>
    </font>
    <font>
      <b/>
      <u/>
      <sz val="10"/>
      <color indexed="8"/>
      <name val="Arial"/>
      <family val="2"/>
    </font>
    <font>
      <i/>
      <sz val="12"/>
      <color indexed="8"/>
      <name val="Arial"/>
      <family val="2"/>
    </font>
    <font>
      <b/>
      <i/>
      <sz val="10"/>
      <name val="Arial"/>
      <family val="2"/>
    </font>
    <font>
      <u/>
      <sz val="12"/>
      <color indexed="8"/>
      <name val="Arial"/>
      <family val="2"/>
    </font>
    <font>
      <u/>
      <sz val="10"/>
      <color indexed="8"/>
      <name val="Arial"/>
      <family val="2"/>
    </font>
    <font>
      <u val="singleAccounting"/>
      <sz val="10"/>
      <name val="Arial"/>
      <family val="2"/>
    </font>
    <font>
      <sz val="12"/>
      <color indexed="10"/>
      <name val="Arial"/>
      <family val="2"/>
    </font>
    <font>
      <strike/>
      <sz val="10"/>
      <name val="Arial"/>
      <family val="2"/>
    </font>
    <font>
      <u val="singleAccounting"/>
      <sz val="11"/>
      <color rgb="FF000000"/>
      <name val="Arial"/>
      <family val="2"/>
    </font>
    <font>
      <sz val="8"/>
      <name val="Courier"/>
      <family val="3"/>
    </font>
    <font>
      <sz val="8"/>
      <name val="Courier"/>
    </font>
    <font>
      <sz val="8"/>
      <name val="Calibri"/>
      <family val="2"/>
      <scheme val="minor"/>
    </font>
    <font>
      <b/>
      <sz val="8"/>
      <name val="Calibri"/>
      <family val="2"/>
      <scheme val="minor"/>
    </font>
    <font>
      <sz val="9"/>
      <color theme="1"/>
      <name val="Arial"/>
      <family val="2"/>
    </font>
    <font>
      <b/>
      <sz val="9"/>
      <color theme="1"/>
      <name val="Arial"/>
      <family val="2"/>
    </font>
    <font>
      <b/>
      <sz val="11"/>
      <name val="Calibri"/>
      <family val="2"/>
      <scheme val="minor"/>
    </font>
    <font>
      <b/>
      <u val="singleAccounting"/>
      <sz val="11"/>
      <color theme="1"/>
      <name val="Calibri"/>
      <family val="2"/>
      <scheme val="minor"/>
    </font>
    <font>
      <sz val="11"/>
      <color rgb="FF000000"/>
      <name val="Calibri"/>
      <family val="2"/>
    </font>
    <font>
      <sz val="12"/>
      <color theme="1"/>
      <name val="Courier"/>
      <family val="3"/>
    </font>
    <font>
      <sz val="14"/>
      <color theme="1"/>
      <name val="Arial"/>
      <family val="2"/>
    </font>
    <font>
      <sz val="10"/>
      <color theme="1"/>
      <name val="Courier"/>
    </font>
    <font>
      <b/>
      <sz val="12"/>
      <color theme="1"/>
      <name val="Calibri"/>
      <family val="2"/>
      <scheme val="minor"/>
    </font>
    <font>
      <sz val="13"/>
      <color theme="1"/>
      <name val="Times New Roman"/>
      <family val="1"/>
    </font>
    <font>
      <sz val="12"/>
      <color rgb="FFFF0000"/>
      <name val="Calibri"/>
      <family val="2"/>
      <scheme val="minor"/>
    </font>
    <font>
      <sz val="10"/>
      <color rgb="FFFF0000"/>
      <name val="Times New Roman"/>
      <family val="1"/>
    </font>
    <font>
      <sz val="10"/>
      <color theme="1"/>
      <name val="Calibri"/>
      <family val="2"/>
      <scheme val="minor"/>
    </font>
    <font>
      <sz val="14"/>
      <color theme="1"/>
      <name val="Calibri"/>
      <family val="2"/>
      <scheme val="minor"/>
    </font>
    <font>
      <b/>
      <sz val="10"/>
      <color theme="1"/>
      <name val="Calibri"/>
      <family val="2"/>
      <scheme val="minor"/>
    </font>
    <font>
      <i/>
      <sz val="10"/>
      <color rgb="FFFF0000"/>
      <name val="Arial"/>
      <family val="2"/>
    </font>
    <font>
      <b/>
      <sz val="10"/>
      <color theme="1"/>
      <name val="Arial"/>
      <family val="2"/>
    </font>
    <font>
      <b/>
      <sz val="14"/>
      <color theme="1"/>
      <name val="Arial"/>
      <family val="2"/>
    </font>
    <font>
      <sz val="9"/>
      <color theme="1"/>
      <name val="Courier"/>
      <family val="3"/>
    </font>
    <font>
      <sz val="9"/>
      <color theme="1"/>
      <name val="Courier"/>
    </font>
    <font>
      <b/>
      <u/>
      <sz val="10"/>
      <color theme="1"/>
      <name val="Courier"/>
      <family val="3"/>
    </font>
    <font>
      <b/>
      <u/>
      <sz val="12"/>
      <color theme="1"/>
      <name val="Arial"/>
      <family val="2"/>
    </font>
    <font>
      <b/>
      <i/>
      <sz val="12"/>
      <color theme="1"/>
      <name val="Arial"/>
      <family val="2"/>
    </font>
    <font>
      <b/>
      <u/>
      <sz val="12"/>
      <color theme="1"/>
      <name val="Calibri"/>
      <family val="2"/>
      <scheme val="minor"/>
    </font>
    <font>
      <sz val="12"/>
      <color theme="1"/>
      <name val="Calibri"/>
      <family val="2"/>
    </font>
    <font>
      <b/>
      <sz val="12"/>
      <color theme="1"/>
      <name val="Calibri"/>
      <family val="2"/>
    </font>
    <font>
      <sz val="14"/>
      <name val="Courier"/>
    </font>
    <font>
      <sz val="12"/>
      <color theme="0" tint="-0.499984740745262"/>
      <name val="Calibri"/>
      <family val="2"/>
      <scheme val="minor"/>
    </font>
    <font>
      <sz val="12"/>
      <color rgb="FF0070C0"/>
      <name val="Calibri"/>
      <family val="2"/>
      <scheme val="minor"/>
    </font>
    <font>
      <b/>
      <sz val="12"/>
      <color rgb="FF0000CC"/>
      <name val="Calibri"/>
      <family val="2"/>
      <scheme val="minor"/>
    </font>
    <font>
      <sz val="11"/>
      <color rgb="FFFF0000"/>
      <name val="Arial"/>
      <family val="2"/>
    </font>
    <font>
      <b/>
      <sz val="11"/>
      <color rgb="FF0070C0"/>
      <name val="Arial"/>
      <family val="2"/>
    </font>
    <font>
      <sz val="11"/>
      <color rgb="FF0070C0"/>
      <name val="Arial"/>
      <family val="2"/>
    </font>
    <font>
      <sz val="12"/>
      <color rgb="FF0070C0"/>
      <name val="Arial"/>
      <family val="2"/>
    </font>
    <font>
      <sz val="10"/>
      <color rgb="FFFF0000"/>
      <name val="Courier"/>
    </font>
    <font>
      <u/>
      <sz val="10"/>
      <color theme="1"/>
      <name val="Arial"/>
      <family val="2"/>
    </font>
    <font>
      <u val="singleAccounting"/>
      <sz val="10"/>
      <color theme="1"/>
      <name val="Arial"/>
      <family val="2"/>
    </font>
    <font>
      <sz val="8"/>
      <color theme="1"/>
      <name val="Calibri"/>
      <family val="2"/>
      <scheme val="minor"/>
    </font>
    <font>
      <sz val="12"/>
      <color rgb="FF00B050"/>
      <name val="Arial"/>
      <family val="2"/>
    </font>
    <font>
      <sz val="10"/>
      <color rgb="FF00B050"/>
      <name val="Arial"/>
      <family val="2"/>
    </font>
    <font>
      <sz val="12"/>
      <color rgb="FFFF99CC"/>
      <name val="Arial"/>
      <family val="2"/>
    </font>
    <font>
      <sz val="14"/>
      <color rgb="FFFF99CC"/>
      <name val="Arial"/>
      <family val="2"/>
    </font>
    <font>
      <b/>
      <sz val="12"/>
      <color rgb="FF9966FF"/>
      <name val="Arial"/>
      <family val="2"/>
    </font>
    <font>
      <sz val="12"/>
      <color rgb="FF9966FF"/>
      <name val="Arial"/>
      <family val="2"/>
    </font>
    <font>
      <sz val="10"/>
      <color rgb="FF9966FF"/>
      <name val="Arial"/>
      <family val="2"/>
    </font>
    <font>
      <sz val="10"/>
      <color rgb="FF00B050"/>
      <name val="Courier"/>
    </font>
    <font>
      <sz val="12"/>
      <color rgb="FF00B050"/>
      <name val="Calibri"/>
      <family val="2"/>
      <scheme val="minor"/>
    </font>
    <font>
      <sz val="12"/>
      <color theme="2" tint="-0.499984740745262"/>
      <name val="Arial"/>
      <family val="2"/>
    </font>
    <font>
      <sz val="10"/>
      <color theme="2" tint="-0.499984740745262"/>
      <name val="Arial"/>
      <family val="2"/>
    </font>
  </fonts>
  <fills count="47">
    <fill>
      <patternFill patternType="none"/>
    </fill>
    <fill>
      <patternFill patternType="gray125"/>
    </fill>
    <fill>
      <patternFill patternType="solid">
        <fgColor indexed="10"/>
        <bgColor indexed="64"/>
      </patternFill>
    </fill>
    <fill>
      <patternFill patternType="solid">
        <fgColor indexed="11"/>
        <bgColor indexed="64"/>
      </patternFill>
    </fill>
    <fill>
      <patternFill patternType="solid">
        <fgColor rgb="FFFFFF00"/>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indexed="43"/>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66FF"/>
        <bgColor indexed="64"/>
      </patternFill>
    </fill>
    <fill>
      <patternFill patternType="solid">
        <fgColor rgb="FFFF0000"/>
        <bgColor indexed="64"/>
      </patternFill>
    </fill>
    <fill>
      <patternFill patternType="solid">
        <fgColor rgb="FFFFFFCC"/>
        <bgColor indexed="64"/>
      </patternFill>
    </fill>
    <fill>
      <patternFill patternType="solid">
        <fgColor rgb="FFFFC000"/>
        <bgColor indexed="64"/>
      </patternFill>
    </fill>
    <fill>
      <patternFill patternType="solid">
        <fgColor indexed="60"/>
      </patternFill>
    </fill>
    <fill>
      <patternFill patternType="solid">
        <fgColor indexed="49"/>
      </patternFill>
    </fill>
  </fills>
  <borders count="79">
    <border>
      <left/>
      <right/>
      <top/>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ck">
        <color indexed="8"/>
      </top>
      <bottom style="thick">
        <color indexed="8"/>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style="thick">
        <color auto="1"/>
      </top>
      <bottom style="thick">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indexed="64"/>
      </right>
      <top/>
      <bottom style="medium">
        <color auto="1"/>
      </bottom>
      <diagonal/>
    </border>
    <border>
      <left style="thin">
        <color auto="1"/>
      </left>
      <right/>
      <top/>
      <bottom style="medium">
        <color auto="1"/>
      </bottom>
      <diagonal/>
    </border>
    <border>
      <left style="thin">
        <color indexed="64"/>
      </left>
      <right/>
      <top style="medium">
        <color auto="1"/>
      </top>
      <bottom style="medium">
        <color indexed="64"/>
      </bottom>
      <diagonal/>
    </border>
    <border>
      <left style="medium">
        <color theme="1"/>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theme="1"/>
      </bottom>
      <diagonal/>
    </border>
    <border>
      <left/>
      <right/>
      <top style="medium">
        <color indexed="64"/>
      </top>
      <bottom/>
      <diagonal/>
    </border>
    <border>
      <left style="thin">
        <color indexed="64"/>
      </left>
      <right style="thin">
        <color auto="1"/>
      </right>
      <top style="medium">
        <color auto="1"/>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s>
  <cellStyleXfs count="1109">
    <xf numFmtId="164" fontId="0" fillId="0" borderId="0"/>
    <xf numFmtId="43" fontId="29" fillId="0" borderId="0" applyFont="0" applyFill="0" applyBorder="0" applyAlignment="0" applyProtection="0"/>
    <xf numFmtId="44" fontId="29" fillId="0" borderId="0" applyFont="0" applyFill="0" applyBorder="0" applyAlignment="0" applyProtection="0"/>
    <xf numFmtId="0" fontId="32" fillId="0" borderId="0"/>
    <xf numFmtId="0" fontId="29" fillId="0" borderId="0"/>
    <xf numFmtId="0" fontId="27" fillId="0" borderId="0"/>
    <xf numFmtId="0" fontId="27" fillId="0" borderId="0"/>
    <xf numFmtId="9" fontId="29"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5" fillId="0" borderId="0"/>
    <xf numFmtId="0" fontId="3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7"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5" fillId="0" borderId="0" applyFont="0" applyFill="0" applyBorder="0" applyAlignment="0" applyProtection="0"/>
    <xf numFmtId="4" fontId="37" fillId="5" borderId="7" applyNumberFormat="0" applyProtection="0">
      <alignment vertical="center"/>
    </xf>
    <xf numFmtId="4" fontId="38" fillId="5" borderId="7" applyNumberFormat="0" applyProtection="0">
      <alignment vertical="center"/>
    </xf>
    <xf numFmtId="4" fontId="37" fillId="5" borderId="7" applyNumberFormat="0" applyProtection="0">
      <alignment horizontal="left" vertical="center" indent="1"/>
    </xf>
    <xf numFmtId="4" fontId="37" fillId="5" borderId="7" applyNumberFormat="0" applyProtection="0">
      <alignment horizontal="left" vertical="center" indent="1"/>
    </xf>
    <xf numFmtId="0" fontId="35" fillId="6" borderId="7" applyNumberFormat="0" applyProtection="0">
      <alignment horizontal="left" vertical="center" indent="1"/>
    </xf>
    <xf numFmtId="4" fontId="37" fillId="7" borderId="7" applyNumberFormat="0" applyProtection="0">
      <alignment horizontal="right" vertical="center"/>
    </xf>
    <xf numFmtId="4" fontId="37" fillId="8" borderId="7" applyNumberFormat="0" applyProtection="0">
      <alignment horizontal="right" vertical="center"/>
    </xf>
    <xf numFmtId="4" fontId="37" fillId="2" borderId="7" applyNumberFormat="0" applyProtection="0">
      <alignment horizontal="right" vertical="center"/>
    </xf>
    <xf numFmtId="4" fontId="37" fillId="9" borderId="7" applyNumberFormat="0" applyProtection="0">
      <alignment horizontal="right" vertical="center"/>
    </xf>
    <xf numFmtId="4" fontId="37" fillId="10" borderId="7" applyNumberFormat="0" applyProtection="0">
      <alignment horizontal="right" vertical="center"/>
    </xf>
    <xf numFmtId="4" fontId="37" fillId="11" borderId="7" applyNumberFormat="0" applyProtection="0">
      <alignment horizontal="right" vertical="center"/>
    </xf>
    <xf numFmtId="4" fontId="37" fillId="12" borderId="7" applyNumberFormat="0" applyProtection="0">
      <alignment horizontal="right" vertical="center"/>
    </xf>
    <xf numFmtId="4" fontId="37" fillId="13" borderId="7" applyNumberFormat="0" applyProtection="0">
      <alignment horizontal="right" vertical="center"/>
    </xf>
    <xf numFmtId="4" fontId="37" fillId="3" borderId="7" applyNumberFormat="0" applyProtection="0">
      <alignment horizontal="right" vertical="center"/>
    </xf>
    <xf numFmtId="4" fontId="23" fillId="14" borderId="7" applyNumberFormat="0" applyProtection="0">
      <alignment horizontal="left" vertical="center" indent="1"/>
    </xf>
    <xf numFmtId="4" fontId="37" fillId="15" borderId="8" applyNumberFormat="0" applyProtection="0">
      <alignment horizontal="left" vertical="center" indent="1"/>
    </xf>
    <xf numFmtId="4" fontId="22" fillId="16" borderId="0" applyNumberFormat="0" applyProtection="0">
      <alignment horizontal="left" vertical="center" indent="1"/>
    </xf>
    <xf numFmtId="0" fontId="35" fillId="6" borderId="7" applyNumberFormat="0" applyProtection="0">
      <alignment horizontal="left" vertical="center" indent="1"/>
    </xf>
    <xf numFmtId="4" fontId="37" fillId="15" borderId="7" applyNumberFormat="0" applyProtection="0">
      <alignment horizontal="left" vertical="center" indent="1"/>
    </xf>
    <xf numFmtId="4" fontId="37" fillId="17" borderId="7" applyNumberFormat="0" applyProtection="0">
      <alignment horizontal="left" vertical="center" indent="1"/>
    </xf>
    <xf numFmtId="0" fontId="35" fillId="17" borderId="7" applyNumberFormat="0" applyProtection="0">
      <alignment horizontal="left" vertical="center" indent="1"/>
    </xf>
    <xf numFmtId="0" fontId="35" fillId="17" borderId="7" applyNumberFormat="0" applyProtection="0">
      <alignment horizontal="left" vertical="center" indent="1"/>
    </xf>
    <xf numFmtId="0" fontId="35" fillId="18" borderId="7" applyNumberFormat="0" applyProtection="0">
      <alignment horizontal="left" vertical="center" indent="1"/>
    </xf>
    <xf numFmtId="0" fontId="35" fillId="18" borderId="7" applyNumberFormat="0" applyProtection="0">
      <alignment horizontal="left" vertical="center" indent="1"/>
    </xf>
    <xf numFmtId="0" fontId="35" fillId="19" borderId="7" applyNumberFormat="0" applyProtection="0">
      <alignment horizontal="left" vertical="center" indent="1"/>
    </xf>
    <xf numFmtId="0" fontId="35" fillId="19"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4" fontId="37" fillId="20" borderId="7" applyNumberFormat="0" applyProtection="0">
      <alignment vertical="center"/>
    </xf>
    <xf numFmtId="4" fontId="38" fillId="20" borderId="7" applyNumberFormat="0" applyProtection="0">
      <alignment vertical="center"/>
    </xf>
    <xf numFmtId="4" fontId="37" fillId="20" borderId="7" applyNumberFormat="0" applyProtection="0">
      <alignment horizontal="left" vertical="center" indent="1"/>
    </xf>
    <xf numFmtId="4" fontId="37" fillId="20" borderId="7" applyNumberFormat="0" applyProtection="0">
      <alignment horizontal="left" vertical="center" indent="1"/>
    </xf>
    <xf numFmtId="4" fontId="37" fillId="15" borderId="7" applyNumberFormat="0" applyProtection="0">
      <alignment horizontal="right" vertical="center"/>
    </xf>
    <xf numFmtId="4" fontId="38" fillId="15" borderId="7" applyNumberFormat="0" applyProtection="0">
      <alignment horizontal="right" vertical="center"/>
    </xf>
    <xf numFmtId="0" fontId="35" fillId="6" borderId="7" applyNumberFormat="0" applyProtection="0">
      <alignment horizontal="left" vertical="center" indent="1"/>
    </xf>
    <xf numFmtId="0" fontId="35" fillId="6" borderId="7" applyNumberFormat="0" applyProtection="0">
      <alignment horizontal="left" vertical="center" indent="1"/>
    </xf>
    <xf numFmtId="0" fontId="39" fillId="0" borderId="0"/>
    <xf numFmtId="4" fontId="40" fillId="15" borderId="7" applyNumberFormat="0" applyProtection="0">
      <alignment horizontal="right" vertical="center"/>
    </xf>
    <xf numFmtId="0" fontId="28" fillId="0" borderId="0"/>
    <xf numFmtId="43" fontId="28" fillId="0" borderId="0" applyFont="0" applyFill="0" applyBorder="0" applyAlignment="0" applyProtection="0"/>
    <xf numFmtId="9" fontId="28"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43" fontId="35" fillId="0" borderId="0" applyFont="0" applyFill="0" applyBorder="0" applyAlignment="0" applyProtection="0"/>
    <xf numFmtId="43" fontId="28" fillId="0" borderId="0" applyFont="0" applyFill="0" applyBorder="0" applyAlignment="0" applyProtection="0"/>
    <xf numFmtId="0" fontId="17" fillId="0" borderId="0"/>
    <xf numFmtId="0" fontId="28" fillId="0" borderId="0"/>
    <xf numFmtId="0" fontId="35" fillId="0" borderId="0"/>
    <xf numFmtId="9" fontId="28" fillId="0" borderId="0" applyFont="0" applyFill="0" applyBorder="0" applyAlignment="0" applyProtection="0"/>
    <xf numFmtId="43" fontId="17" fillId="0" borderId="0" applyFont="0" applyFill="0" applyBorder="0" applyAlignment="0" applyProtection="0"/>
    <xf numFmtId="43" fontId="44" fillId="0" borderId="0" applyFont="0" applyFill="0" applyBorder="0" applyAlignment="0" applyProtection="0"/>
    <xf numFmtId="0" fontId="16" fillId="0" borderId="0"/>
    <xf numFmtId="44" fontId="16" fillId="0" borderId="0" applyFont="0" applyFill="0" applyBorder="0" applyAlignment="0" applyProtection="0"/>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4" fontId="22" fillId="16" borderId="0"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4" fontId="37" fillId="15" borderId="7" applyNumberFormat="0" applyProtection="0">
      <alignment horizontal="left" vertical="center" indent="1"/>
    </xf>
    <xf numFmtId="4" fontId="37" fillId="17" borderId="7" applyNumberFormat="0" applyProtection="0">
      <alignment horizontal="left" vertical="center" indent="1"/>
    </xf>
    <xf numFmtId="0" fontId="35" fillId="17" borderId="7" applyNumberFormat="0" applyProtection="0">
      <alignment horizontal="left" vertical="center" indent="1"/>
    </xf>
    <xf numFmtId="0" fontId="35" fillId="17" borderId="7" applyNumberFormat="0" applyProtection="0">
      <alignment horizontal="left" vertical="center" indent="1"/>
    </xf>
    <xf numFmtId="0" fontId="35" fillId="17" borderId="7" applyNumberFormat="0" applyProtection="0">
      <alignment horizontal="left" vertical="center" indent="1"/>
    </xf>
    <xf numFmtId="0" fontId="35" fillId="17" borderId="7" applyNumberFormat="0" applyProtection="0">
      <alignment horizontal="left" vertical="center" indent="1"/>
    </xf>
    <xf numFmtId="0" fontId="35" fillId="18" borderId="7" applyNumberFormat="0" applyProtection="0">
      <alignment horizontal="left" vertical="center" indent="1"/>
    </xf>
    <xf numFmtId="0" fontId="35" fillId="18" borderId="7" applyNumberFormat="0" applyProtection="0">
      <alignment horizontal="left" vertical="center" indent="1"/>
    </xf>
    <xf numFmtId="0" fontId="35" fillId="18" borderId="7" applyNumberFormat="0" applyProtection="0">
      <alignment horizontal="left" vertical="center" indent="1"/>
    </xf>
    <xf numFmtId="0" fontId="35" fillId="18" borderId="7" applyNumberFormat="0" applyProtection="0">
      <alignment horizontal="left" vertical="center" indent="1"/>
    </xf>
    <xf numFmtId="0" fontId="35" fillId="19" borderId="7" applyNumberFormat="0" applyProtection="0">
      <alignment horizontal="left" vertical="center" indent="1"/>
    </xf>
    <xf numFmtId="0" fontId="35" fillId="19" borderId="7" applyNumberFormat="0" applyProtection="0">
      <alignment horizontal="left" vertical="center" indent="1"/>
    </xf>
    <xf numFmtId="0" fontId="35" fillId="19" borderId="7" applyNumberFormat="0" applyProtection="0">
      <alignment horizontal="left" vertical="center" indent="1"/>
    </xf>
    <xf numFmtId="0" fontId="35" fillId="19"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5" fillId="6" borderId="7" applyNumberFormat="0" applyProtection="0">
      <alignment horizontal="left" vertical="center" indent="1"/>
    </xf>
    <xf numFmtId="0" fontId="39" fillId="0" borderId="0"/>
    <xf numFmtId="0" fontId="50" fillId="0" borderId="0"/>
    <xf numFmtId="164" fontId="41" fillId="0" borderId="0"/>
    <xf numFmtId="43" fontId="41" fillId="0" borderId="0" applyFont="0" applyFill="0" applyBorder="0" applyAlignment="0" applyProtection="0"/>
    <xf numFmtId="0" fontId="17" fillId="0" borderId="0"/>
    <xf numFmtId="0" fontId="75" fillId="0" borderId="0"/>
    <xf numFmtId="0" fontId="76" fillId="0" borderId="0" applyNumberFormat="0" applyFill="0" applyBorder="0" applyAlignment="0" applyProtection="0">
      <alignment vertical="top"/>
      <protection locked="0"/>
    </xf>
    <xf numFmtId="0" fontId="15" fillId="0" borderId="0"/>
    <xf numFmtId="4" fontId="23" fillId="23" borderId="18" applyNumberFormat="0" applyProtection="0">
      <alignment vertical="center"/>
    </xf>
    <xf numFmtId="4" fontId="77" fillId="5" borderId="18" applyNumberFormat="0" applyProtection="0">
      <alignment vertical="center"/>
    </xf>
    <xf numFmtId="4" fontId="23" fillId="5" borderId="18" applyNumberFormat="0" applyProtection="0">
      <alignment horizontal="left" vertical="center" indent="1"/>
    </xf>
    <xf numFmtId="0" fontId="23" fillId="5" borderId="18" applyNumberFormat="0" applyProtection="0">
      <alignment horizontal="left" vertical="top" indent="1"/>
    </xf>
    <xf numFmtId="4" fontId="23" fillId="24" borderId="0" applyNumberFormat="0" applyProtection="0">
      <alignment horizontal="left" vertical="center" indent="1"/>
    </xf>
    <xf numFmtId="4" fontId="37" fillId="25" borderId="18" applyNumberFormat="0" applyProtection="0">
      <alignment horizontal="right" vertical="center"/>
    </xf>
    <xf numFmtId="4" fontId="37" fillId="26" borderId="18" applyNumberFormat="0" applyProtection="0">
      <alignment horizontal="right" vertical="center"/>
    </xf>
    <xf numFmtId="4" fontId="37" fillId="27" borderId="18" applyNumberFormat="0" applyProtection="0">
      <alignment horizontal="right" vertical="center"/>
    </xf>
    <xf numFmtId="4" fontId="37" fillId="28" borderId="18" applyNumberFormat="0" applyProtection="0">
      <alignment horizontal="right" vertical="center"/>
    </xf>
    <xf numFmtId="4" fontId="37" fillId="29" borderId="18" applyNumberFormat="0" applyProtection="0">
      <alignment horizontal="right" vertical="center"/>
    </xf>
    <xf numFmtId="4" fontId="37" fillId="30" borderId="18" applyNumberFormat="0" applyProtection="0">
      <alignment horizontal="right" vertical="center"/>
    </xf>
    <xf numFmtId="4" fontId="37" fillId="31" borderId="18" applyNumberFormat="0" applyProtection="0">
      <alignment horizontal="right" vertical="center"/>
    </xf>
    <xf numFmtId="4" fontId="37" fillId="32" borderId="18" applyNumberFormat="0" applyProtection="0">
      <alignment horizontal="right" vertical="center"/>
    </xf>
    <xf numFmtId="4" fontId="37" fillId="33" borderId="18" applyNumberFormat="0" applyProtection="0">
      <alignment horizontal="right" vertical="center"/>
    </xf>
    <xf numFmtId="4" fontId="23" fillId="34" borderId="19" applyNumberFormat="0" applyProtection="0">
      <alignment horizontal="left" vertical="center" indent="1"/>
    </xf>
    <xf numFmtId="4" fontId="37" fillId="35" borderId="0" applyNumberFormat="0" applyProtection="0">
      <alignment horizontal="left" vertical="center" indent="1"/>
    </xf>
    <xf numFmtId="4" fontId="37" fillId="36" borderId="18" applyNumberFormat="0" applyProtection="0">
      <alignment horizontal="right" vertical="center"/>
    </xf>
    <xf numFmtId="0" fontId="35" fillId="16" borderId="18" applyNumberFormat="0" applyProtection="0">
      <alignment horizontal="left" vertical="center" indent="1"/>
    </xf>
    <xf numFmtId="0" fontId="35" fillId="16" borderId="18" applyNumberFormat="0" applyProtection="0">
      <alignment horizontal="left" vertical="top" indent="1"/>
    </xf>
    <xf numFmtId="0" fontId="35" fillId="24" borderId="18" applyNumberFormat="0" applyProtection="0">
      <alignment horizontal="left" vertical="center" indent="1"/>
    </xf>
    <xf numFmtId="0" fontId="35" fillId="24" borderId="18" applyNumberFormat="0" applyProtection="0">
      <alignment horizontal="left" vertical="top" indent="1"/>
    </xf>
    <xf numFmtId="0" fontId="35" fillId="37" borderId="18" applyNumberFormat="0" applyProtection="0">
      <alignment horizontal="left" vertical="center" indent="1"/>
    </xf>
    <xf numFmtId="0" fontId="35" fillId="37" borderId="18" applyNumberFormat="0" applyProtection="0">
      <alignment horizontal="left" vertical="top" indent="1"/>
    </xf>
    <xf numFmtId="0" fontId="35" fillId="38" borderId="18" applyNumberFormat="0" applyProtection="0">
      <alignment horizontal="left" vertical="center" indent="1"/>
    </xf>
    <xf numFmtId="0" fontId="35" fillId="38" borderId="18" applyNumberFormat="0" applyProtection="0">
      <alignment horizontal="left" vertical="top" indent="1"/>
    </xf>
    <xf numFmtId="4" fontId="37" fillId="20" borderId="18" applyNumberFormat="0" applyProtection="0">
      <alignment vertical="center"/>
    </xf>
    <xf numFmtId="4" fontId="38" fillId="20" borderId="18" applyNumberFormat="0" applyProtection="0">
      <alignment vertical="center"/>
    </xf>
    <xf numFmtId="4" fontId="37" fillId="20" borderId="18" applyNumberFormat="0" applyProtection="0">
      <alignment horizontal="left" vertical="center" indent="1"/>
    </xf>
    <xf numFmtId="0" fontId="37" fillId="20" borderId="18" applyNumberFormat="0" applyProtection="0">
      <alignment horizontal="left" vertical="top" indent="1"/>
    </xf>
    <xf numFmtId="4" fontId="37" fillId="35" borderId="18" applyNumberFormat="0" applyProtection="0">
      <alignment horizontal="right" vertical="center"/>
    </xf>
    <xf numFmtId="4" fontId="38" fillId="35" borderId="18" applyNumberFormat="0" applyProtection="0">
      <alignment horizontal="right" vertical="center"/>
    </xf>
    <xf numFmtId="4" fontId="37" fillId="36" borderId="18" applyNumberFormat="0" applyProtection="0">
      <alignment horizontal="left" vertical="center" indent="1"/>
    </xf>
    <xf numFmtId="0" fontId="37" fillId="24" borderId="18" applyNumberFormat="0" applyProtection="0">
      <alignment horizontal="left" vertical="top" indent="1"/>
    </xf>
    <xf numFmtId="4" fontId="40" fillId="35" borderId="18" applyNumberFormat="0" applyProtection="0">
      <alignment horizontal="right" vertical="center"/>
    </xf>
    <xf numFmtId="0" fontId="15" fillId="0" borderId="0"/>
    <xf numFmtId="4" fontId="37" fillId="5" borderId="21" applyNumberFormat="0" applyProtection="0">
      <alignment horizontal="left" vertical="center" indent="1"/>
    </xf>
    <xf numFmtId="0" fontId="35" fillId="6" borderId="21" applyNumberFormat="0" applyProtection="0">
      <alignment horizontal="left" vertical="center" indent="1"/>
    </xf>
    <xf numFmtId="0" fontId="35" fillId="6" borderId="21" applyNumberFormat="0" applyProtection="0">
      <alignment horizontal="left" vertical="center" inden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4" fontId="2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37" fillId="5" borderId="21" applyNumberFormat="0" applyProtection="0">
      <alignment vertical="center"/>
    </xf>
    <xf numFmtId="4" fontId="38" fillId="5" borderId="21" applyNumberFormat="0" applyProtection="0">
      <alignment vertical="center"/>
    </xf>
    <xf numFmtId="4" fontId="37" fillId="5" borderId="21" applyNumberFormat="0" applyProtection="0">
      <alignment horizontal="left" vertical="center" indent="1"/>
    </xf>
    <xf numFmtId="4" fontId="37" fillId="7" borderId="21" applyNumberFormat="0" applyProtection="0">
      <alignment horizontal="right" vertical="center"/>
    </xf>
    <xf numFmtId="4" fontId="37" fillId="8" borderId="21" applyNumberFormat="0" applyProtection="0">
      <alignment horizontal="right" vertical="center"/>
    </xf>
    <xf numFmtId="4" fontId="37" fillId="2" borderId="21" applyNumberFormat="0" applyProtection="0">
      <alignment horizontal="right" vertical="center"/>
    </xf>
    <xf numFmtId="4" fontId="37" fillId="9" borderId="21" applyNumberFormat="0" applyProtection="0">
      <alignment horizontal="right" vertical="center"/>
    </xf>
    <xf numFmtId="4" fontId="37" fillId="10" borderId="21" applyNumberFormat="0" applyProtection="0">
      <alignment horizontal="right" vertical="center"/>
    </xf>
    <xf numFmtId="4" fontId="37" fillId="11" borderId="21" applyNumberFormat="0" applyProtection="0">
      <alignment horizontal="right" vertical="center"/>
    </xf>
    <xf numFmtId="4" fontId="37" fillId="12" borderId="21" applyNumberFormat="0" applyProtection="0">
      <alignment horizontal="right" vertical="center"/>
    </xf>
    <xf numFmtId="4" fontId="37" fillId="13" borderId="21" applyNumberFormat="0" applyProtection="0">
      <alignment horizontal="right" vertical="center"/>
    </xf>
    <xf numFmtId="4" fontId="37" fillId="3" borderId="21" applyNumberFormat="0" applyProtection="0">
      <alignment horizontal="right" vertical="center"/>
    </xf>
    <xf numFmtId="4" fontId="23" fillId="14" borderId="21" applyNumberFormat="0" applyProtection="0">
      <alignment horizontal="left" vertical="center" indent="1"/>
    </xf>
    <xf numFmtId="0" fontId="35" fillId="6" borderId="21" applyNumberFormat="0" applyProtection="0">
      <alignment horizontal="left" vertical="center" indent="1"/>
    </xf>
    <xf numFmtId="4" fontId="37" fillId="15" borderId="21" applyNumberFormat="0" applyProtection="0">
      <alignment horizontal="left" vertical="center" indent="1"/>
    </xf>
    <xf numFmtId="4" fontId="37" fillId="17" borderId="21" applyNumberFormat="0" applyProtection="0">
      <alignment horizontal="left" vertical="center" indent="1"/>
    </xf>
    <xf numFmtId="0" fontId="35" fillId="17" borderId="21" applyNumberFormat="0" applyProtection="0">
      <alignment horizontal="left" vertical="center" indent="1"/>
    </xf>
    <xf numFmtId="0" fontId="35" fillId="17" borderId="21" applyNumberFormat="0" applyProtection="0">
      <alignment horizontal="left" vertical="center" indent="1"/>
    </xf>
    <xf numFmtId="0" fontId="35" fillId="18" borderId="21" applyNumberFormat="0" applyProtection="0">
      <alignment horizontal="left" vertical="center" indent="1"/>
    </xf>
    <xf numFmtId="0" fontId="35" fillId="18" borderId="21" applyNumberFormat="0" applyProtection="0">
      <alignment horizontal="left" vertical="center" indent="1"/>
    </xf>
    <xf numFmtId="0" fontId="35" fillId="19" borderId="21" applyNumberFormat="0" applyProtection="0">
      <alignment horizontal="left" vertical="center" indent="1"/>
    </xf>
    <xf numFmtId="0" fontId="35" fillId="19" borderId="21" applyNumberFormat="0" applyProtection="0">
      <alignment horizontal="left" vertical="center" indent="1"/>
    </xf>
    <xf numFmtId="0" fontId="35" fillId="6" borderId="21" applyNumberFormat="0" applyProtection="0">
      <alignment horizontal="left" vertical="center" indent="1"/>
    </xf>
    <xf numFmtId="0" fontId="35" fillId="6" borderId="21" applyNumberFormat="0" applyProtection="0">
      <alignment horizontal="left" vertical="center" indent="1"/>
    </xf>
    <xf numFmtId="4" fontId="37" fillId="20" borderId="21" applyNumberFormat="0" applyProtection="0">
      <alignment vertical="center"/>
    </xf>
    <xf numFmtId="4" fontId="38" fillId="20" borderId="21" applyNumberFormat="0" applyProtection="0">
      <alignment vertical="center"/>
    </xf>
    <xf numFmtId="4" fontId="37" fillId="20" borderId="21" applyNumberFormat="0" applyProtection="0">
      <alignment horizontal="left" vertical="center" indent="1"/>
    </xf>
    <xf numFmtId="4" fontId="37" fillId="20" borderId="21" applyNumberFormat="0" applyProtection="0">
      <alignment horizontal="left" vertical="center" indent="1"/>
    </xf>
    <xf numFmtId="4" fontId="37" fillId="15" borderId="21" applyNumberFormat="0" applyProtection="0">
      <alignment horizontal="right" vertical="center"/>
    </xf>
    <xf numFmtId="4" fontId="38" fillId="15" borderId="21" applyNumberFormat="0" applyProtection="0">
      <alignment horizontal="right" vertical="center"/>
    </xf>
    <xf numFmtId="0" fontId="35" fillId="6" borderId="21" applyNumberFormat="0" applyProtection="0">
      <alignment horizontal="left" vertical="center" indent="1"/>
    </xf>
    <xf numFmtId="4" fontId="40" fillId="15" borderId="21" applyNumberFormat="0" applyProtection="0">
      <alignment horizontal="right" vertical="center"/>
    </xf>
    <xf numFmtId="43" fontId="15" fillId="0" borderId="0" applyFont="0" applyFill="0" applyBorder="0" applyAlignment="0" applyProtection="0"/>
    <xf numFmtId="9" fontId="15"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0" fontId="14" fillId="0" borderId="0"/>
    <xf numFmtId="44" fontId="14" fillId="0" borderId="0" applyFont="0" applyFill="0" applyBorder="0" applyAlignment="0" applyProtection="0"/>
    <xf numFmtId="43" fontId="15" fillId="0" borderId="0" applyFont="0" applyFill="0" applyBorder="0" applyAlignment="0" applyProtection="0"/>
    <xf numFmtId="0" fontId="15" fillId="0" borderId="0"/>
    <xf numFmtId="0" fontId="35" fillId="6" borderId="21" applyNumberFormat="0" applyProtection="0">
      <alignment horizontal="left" vertical="center" indent="1"/>
    </xf>
    <xf numFmtId="4" fontId="37" fillId="15" borderId="21" applyNumberFormat="0" applyProtection="0">
      <alignment horizontal="left" vertical="center" indent="1"/>
    </xf>
    <xf numFmtId="4" fontId="37" fillId="17" borderId="21" applyNumberFormat="0" applyProtection="0">
      <alignment horizontal="left" vertical="center" indent="1"/>
    </xf>
    <xf numFmtId="0" fontId="35" fillId="17" borderId="21" applyNumberFormat="0" applyProtection="0">
      <alignment horizontal="left" vertical="center" indent="1"/>
    </xf>
    <xf numFmtId="0" fontId="35" fillId="17" borderId="21" applyNumberFormat="0" applyProtection="0">
      <alignment horizontal="left" vertical="center" indent="1"/>
    </xf>
    <xf numFmtId="0" fontId="35" fillId="18" borderId="21" applyNumberFormat="0" applyProtection="0">
      <alignment horizontal="left" vertical="center" indent="1"/>
    </xf>
    <xf numFmtId="0" fontId="35" fillId="18" borderId="21" applyNumberFormat="0" applyProtection="0">
      <alignment horizontal="left" vertical="center" indent="1"/>
    </xf>
    <xf numFmtId="0" fontId="35" fillId="19" borderId="21" applyNumberFormat="0" applyProtection="0">
      <alignment horizontal="left" vertical="center" indent="1"/>
    </xf>
    <xf numFmtId="0" fontId="35" fillId="19" borderId="21" applyNumberFormat="0" applyProtection="0">
      <alignment horizontal="left" vertical="center" indent="1"/>
    </xf>
    <xf numFmtId="0" fontId="35" fillId="6" borderId="21" applyNumberFormat="0" applyProtection="0">
      <alignment horizontal="left" vertical="center" indent="1"/>
    </xf>
    <xf numFmtId="0" fontId="35" fillId="6" borderId="21" applyNumberFormat="0" applyProtection="0">
      <alignment horizontal="left" vertical="center" indent="1"/>
    </xf>
    <xf numFmtId="0" fontId="35" fillId="6" borderId="21" applyNumberFormat="0" applyProtection="0">
      <alignment horizontal="left" vertical="center" indent="1"/>
    </xf>
    <xf numFmtId="0" fontId="15" fillId="0" borderId="0"/>
    <xf numFmtId="0" fontId="35" fillId="0" borderId="0"/>
    <xf numFmtId="0" fontId="35"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175" fontId="84" fillId="0" borderId="0" applyProtection="0"/>
    <xf numFmtId="0" fontId="35" fillId="0" borderId="0"/>
    <xf numFmtId="43" fontId="14" fillId="0" borderId="0" applyFont="0" applyFill="0" applyBorder="0" applyAlignment="0" applyProtection="0"/>
    <xf numFmtId="9" fontId="35" fillId="0" borderId="0" applyFont="0" applyFill="0" applyBorder="0" applyAlignment="0" applyProtection="0"/>
    <xf numFmtId="175" fontId="84" fillId="0" borderId="0" applyProtection="0"/>
    <xf numFmtId="175" fontId="84" fillId="0" borderId="0" applyProtection="0"/>
    <xf numFmtId="0" fontId="9" fillId="0" borderId="0"/>
    <xf numFmtId="175" fontId="84" fillId="0" borderId="0" applyProtection="0"/>
    <xf numFmtId="44" fontId="35" fillId="0" borderId="0" applyFont="0" applyFill="0" applyBorder="0" applyAlignment="0" applyProtection="0"/>
    <xf numFmtId="0" fontId="35" fillId="0" borderId="0"/>
    <xf numFmtId="0" fontId="84" fillId="0" borderId="0" applyProtection="0"/>
    <xf numFmtId="0" fontId="8" fillId="0" borderId="0"/>
    <xf numFmtId="0" fontId="35" fillId="6" borderId="31" applyNumberFormat="0" applyProtection="0">
      <alignment horizontal="left" vertical="center" indent="1"/>
    </xf>
    <xf numFmtId="0" fontId="35" fillId="6" borderId="31" applyNumberFormat="0" applyProtection="0">
      <alignment horizontal="left" vertical="center" indent="1"/>
    </xf>
    <xf numFmtId="4" fontId="37" fillId="5" borderId="31" applyNumberFormat="0" applyProtection="0">
      <alignment horizontal="left" vertical="center" indent="1"/>
    </xf>
    <xf numFmtId="0" fontId="35" fillId="6" borderId="31" applyNumberFormat="0" applyProtection="0">
      <alignment horizontal="left" vertical="center" indent="1"/>
    </xf>
    <xf numFmtId="4" fontId="37" fillId="15" borderId="31" applyNumberFormat="0" applyProtection="0">
      <alignment horizontal="right" vertical="center"/>
    </xf>
    <xf numFmtId="4" fontId="37" fillId="5" borderId="31" applyNumberFormat="0" applyProtection="0">
      <alignment vertical="center"/>
    </xf>
    <xf numFmtId="0" fontId="35" fillId="0" borderId="0"/>
    <xf numFmtId="0" fontId="35" fillId="0" borderId="0"/>
    <xf numFmtId="4" fontId="37" fillId="5" borderId="31" applyNumberFormat="0" applyProtection="0">
      <alignment horizontal="left" vertical="center" indent="1"/>
    </xf>
    <xf numFmtId="43" fontId="41" fillId="0" borderId="0" applyFont="0" applyFill="0" applyBorder="0" applyAlignment="0" applyProtection="0"/>
    <xf numFmtId="44" fontId="41" fillId="0" borderId="0" applyFont="0" applyFill="0" applyBorder="0" applyAlignment="0" applyProtection="0"/>
    <xf numFmtId="164" fontId="41" fillId="0" borderId="0"/>
    <xf numFmtId="164" fontId="41" fillId="0" borderId="0"/>
    <xf numFmtId="164" fontId="41" fillId="0" borderId="0"/>
    <xf numFmtId="164" fontId="41" fillId="0" borderId="0"/>
    <xf numFmtId="164" fontId="41" fillId="0" borderId="0"/>
    <xf numFmtId="164" fontId="41" fillId="0" borderId="0"/>
    <xf numFmtId="164" fontId="41" fillId="0" borderId="0"/>
    <xf numFmtId="9" fontId="41" fillId="0" borderId="0" applyFont="0" applyFill="0" applyBorder="0" applyAlignment="0" applyProtection="0"/>
    <xf numFmtId="0" fontId="93" fillId="0" borderId="0"/>
    <xf numFmtId="0" fontId="35" fillId="0" borderId="0"/>
    <xf numFmtId="181" fontId="94" fillId="0" borderId="0" applyFill="0" applyBorder="0" applyAlignment="0" applyProtection="0"/>
    <xf numFmtId="0" fontId="93" fillId="0" borderId="0"/>
    <xf numFmtId="43" fontId="35" fillId="0" borderId="0" applyFont="0" applyFill="0" applyBorder="0" applyAlignment="0" applyProtection="0"/>
    <xf numFmtId="0" fontId="7" fillId="0" borderId="0"/>
    <xf numFmtId="0" fontId="7" fillId="0" borderId="0"/>
    <xf numFmtId="0" fontId="93" fillId="0" borderId="0"/>
    <xf numFmtId="43" fontId="93" fillId="0" borderId="0" applyFont="0" applyFill="0" applyBorder="0" applyAlignment="0" applyProtection="0"/>
    <xf numFmtId="43" fontId="9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84" fontId="94" fillId="0" borderId="4" applyNumberFormat="0" applyFill="0" applyAlignment="0" applyProtection="0">
      <alignment horizontal="center"/>
    </xf>
    <xf numFmtId="185" fontId="94" fillId="0" borderId="22" applyFill="0" applyAlignment="0" applyProtection="0">
      <alignment horizontal="center"/>
    </xf>
    <xf numFmtId="0" fontId="94" fillId="0" borderId="0" applyNumberFormat="0" applyFill="0" applyAlignment="0" applyProtection="0"/>
    <xf numFmtId="0" fontId="94" fillId="0" borderId="22" applyNumberFormat="0" applyFill="0" applyAlignment="0" applyProtection="0"/>
    <xf numFmtId="0" fontId="143" fillId="0" borderId="0"/>
    <xf numFmtId="0" fontId="35" fillId="0" borderId="0"/>
    <xf numFmtId="0" fontId="35" fillId="6" borderId="61" applyNumberFormat="0" applyProtection="0">
      <alignment horizontal="left" vertical="center" indent="1"/>
    </xf>
    <xf numFmtId="0" fontId="35" fillId="6" borderId="61" applyNumberFormat="0" applyProtection="0">
      <alignment horizontal="left" vertical="center" indent="1"/>
    </xf>
    <xf numFmtId="43" fontId="41" fillId="0" borderId="0" applyFont="0" applyFill="0" applyBorder="0" applyAlignment="0" applyProtection="0"/>
    <xf numFmtId="4" fontId="37" fillId="15" borderId="61" applyNumberFormat="0" applyProtection="0">
      <alignment horizontal="right" vertical="center"/>
    </xf>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37" fillId="5" borderId="61" applyNumberFormat="0" applyProtection="0">
      <alignment vertical="center"/>
    </xf>
    <xf numFmtId="4" fontId="38" fillId="5" borderId="61" applyNumberFormat="0" applyProtection="0">
      <alignment vertical="center"/>
    </xf>
    <xf numFmtId="4" fontId="37" fillId="5" borderId="61" applyNumberFormat="0" applyProtection="0">
      <alignment horizontal="left" vertical="center" indent="1"/>
    </xf>
    <xf numFmtId="4" fontId="37" fillId="5" borderId="61" applyNumberFormat="0" applyProtection="0">
      <alignment horizontal="left" vertical="center" indent="1"/>
    </xf>
    <xf numFmtId="0" fontId="35" fillId="6" borderId="61" applyNumberFormat="0" applyProtection="0">
      <alignment horizontal="left" vertical="center" indent="1"/>
    </xf>
    <xf numFmtId="4" fontId="37" fillId="7" borderId="61" applyNumberFormat="0" applyProtection="0">
      <alignment horizontal="right" vertical="center"/>
    </xf>
    <xf numFmtId="4" fontId="37" fillId="8" borderId="61" applyNumberFormat="0" applyProtection="0">
      <alignment horizontal="right" vertical="center"/>
    </xf>
    <xf numFmtId="4" fontId="37" fillId="2" borderId="61" applyNumberFormat="0" applyProtection="0">
      <alignment horizontal="right" vertical="center"/>
    </xf>
    <xf numFmtId="4" fontId="37" fillId="9" borderId="61" applyNumberFormat="0" applyProtection="0">
      <alignment horizontal="right" vertical="center"/>
    </xf>
    <xf numFmtId="4" fontId="37" fillId="10" borderId="61" applyNumberFormat="0" applyProtection="0">
      <alignment horizontal="right" vertical="center"/>
    </xf>
    <xf numFmtId="4" fontId="37" fillId="11" borderId="61" applyNumberFormat="0" applyProtection="0">
      <alignment horizontal="right" vertical="center"/>
    </xf>
    <xf numFmtId="4" fontId="37" fillId="12" borderId="61" applyNumberFormat="0" applyProtection="0">
      <alignment horizontal="right" vertical="center"/>
    </xf>
    <xf numFmtId="4" fontId="37" fillId="13" borderId="61" applyNumberFormat="0" applyProtection="0">
      <alignment horizontal="right" vertical="center"/>
    </xf>
    <xf numFmtId="4" fontId="37" fillId="3" borderId="61" applyNumberFormat="0" applyProtection="0">
      <alignment horizontal="right" vertical="center"/>
    </xf>
    <xf numFmtId="4" fontId="23" fillId="14" borderId="61" applyNumberFormat="0" applyProtection="0">
      <alignment horizontal="left" vertical="center" indent="1"/>
    </xf>
    <xf numFmtId="4" fontId="37" fillId="15" borderId="70" applyNumberFormat="0" applyProtection="0">
      <alignment horizontal="left" vertical="center" indent="1"/>
    </xf>
    <xf numFmtId="0" fontId="35" fillId="6" borderId="61" applyNumberFormat="0" applyProtection="0">
      <alignment horizontal="left" vertical="center" indent="1"/>
    </xf>
    <xf numFmtId="4" fontId="37" fillId="15" borderId="61" applyNumberFormat="0" applyProtection="0">
      <alignment horizontal="left" vertical="center" indent="1"/>
    </xf>
    <xf numFmtId="4" fontId="37" fillId="17" borderId="61" applyNumberFormat="0" applyProtection="0">
      <alignment horizontal="left" vertical="center" indent="1"/>
    </xf>
    <xf numFmtId="0" fontId="35" fillId="17" borderId="61" applyNumberFormat="0" applyProtection="0">
      <alignment horizontal="left" vertical="center" indent="1"/>
    </xf>
    <xf numFmtId="0" fontId="35" fillId="17" borderId="61" applyNumberFormat="0" applyProtection="0">
      <alignment horizontal="left" vertical="center" indent="1"/>
    </xf>
    <xf numFmtId="0" fontId="35" fillId="18" borderId="61" applyNumberFormat="0" applyProtection="0">
      <alignment horizontal="left" vertical="center" indent="1"/>
    </xf>
    <xf numFmtId="0" fontId="35" fillId="18" borderId="61" applyNumberFormat="0" applyProtection="0">
      <alignment horizontal="left" vertical="center" indent="1"/>
    </xf>
    <xf numFmtId="0" fontId="35" fillId="19" borderId="61" applyNumberFormat="0" applyProtection="0">
      <alignment horizontal="left" vertical="center" indent="1"/>
    </xf>
    <xf numFmtId="0" fontId="35" fillId="19"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4" fontId="37" fillId="20" borderId="61" applyNumberFormat="0" applyProtection="0">
      <alignment vertical="center"/>
    </xf>
    <xf numFmtId="4" fontId="38" fillId="20" borderId="61" applyNumberFormat="0" applyProtection="0">
      <alignment vertical="center"/>
    </xf>
    <xf numFmtId="4" fontId="37" fillId="20" borderId="61" applyNumberFormat="0" applyProtection="0">
      <alignment horizontal="left" vertical="center" indent="1"/>
    </xf>
    <xf numFmtId="4" fontId="37" fillId="20" borderId="61" applyNumberFormat="0" applyProtection="0">
      <alignment horizontal="left" vertical="center" indent="1"/>
    </xf>
    <xf numFmtId="4" fontId="38" fillId="15" borderId="61" applyNumberFormat="0" applyProtection="0">
      <alignment horizontal="right" vertical="center"/>
    </xf>
    <xf numFmtId="0" fontId="35" fillId="6" borderId="61" applyNumberFormat="0" applyProtection="0">
      <alignment horizontal="left" vertical="center" indent="1"/>
    </xf>
    <xf numFmtId="4" fontId="40" fillId="15" borderId="61" applyNumberFormat="0" applyProtection="0">
      <alignment horizontal="right"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35" fillId="6" borderId="61" applyNumberFormat="0" applyProtection="0">
      <alignment horizontal="left" vertical="center" indent="1"/>
    </xf>
    <xf numFmtId="0" fontId="35" fillId="6" borderId="61" applyNumberFormat="0" applyProtection="0">
      <alignment horizontal="left" vertical="center" indent="1"/>
    </xf>
    <xf numFmtId="4" fontId="37" fillId="15" borderId="61" applyNumberFormat="0" applyProtection="0">
      <alignment horizontal="left" vertical="center" indent="1"/>
    </xf>
    <xf numFmtId="4" fontId="37" fillId="17" borderId="61" applyNumberFormat="0" applyProtection="0">
      <alignment horizontal="left" vertical="center" indent="1"/>
    </xf>
    <xf numFmtId="0" fontId="35" fillId="17" borderId="61" applyNumberFormat="0" applyProtection="0">
      <alignment horizontal="left" vertical="center" indent="1"/>
    </xf>
    <xf numFmtId="0" fontId="35" fillId="17" borderId="61" applyNumberFormat="0" applyProtection="0">
      <alignment horizontal="left" vertical="center" indent="1"/>
    </xf>
    <xf numFmtId="0" fontId="35" fillId="18" borderId="61" applyNumberFormat="0" applyProtection="0">
      <alignment horizontal="left" vertical="center" indent="1"/>
    </xf>
    <xf numFmtId="0" fontId="35" fillId="18" borderId="61" applyNumberFormat="0" applyProtection="0">
      <alignment horizontal="left" vertical="center" indent="1"/>
    </xf>
    <xf numFmtId="0" fontId="35" fillId="19" borderId="61" applyNumberFormat="0" applyProtection="0">
      <alignment horizontal="left" vertical="center" indent="1"/>
    </xf>
    <xf numFmtId="0" fontId="35" fillId="19"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0" fontId="2" fillId="0" borderId="0"/>
    <xf numFmtId="0" fontId="2" fillId="0" borderId="0"/>
    <xf numFmtId="4" fontId="23" fillId="23" borderId="71" applyNumberFormat="0" applyProtection="0">
      <alignment vertical="center"/>
    </xf>
    <xf numFmtId="4" fontId="77" fillId="5" borderId="71" applyNumberFormat="0" applyProtection="0">
      <alignment vertical="center"/>
    </xf>
    <xf numFmtId="4" fontId="23" fillId="5" borderId="71" applyNumberFormat="0" applyProtection="0">
      <alignment horizontal="left" vertical="center" indent="1"/>
    </xf>
    <xf numFmtId="0" fontId="23" fillId="5" borderId="71" applyNumberFormat="0" applyProtection="0">
      <alignment horizontal="left" vertical="top" indent="1"/>
    </xf>
    <xf numFmtId="4" fontId="37" fillId="25" borderId="71" applyNumberFormat="0" applyProtection="0">
      <alignment horizontal="right" vertical="center"/>
    </xf>
    <xf numFmtId="4" fontId="37" fillId="26" borderId="71" applyNumberFormat="0" applyProtection="0">
      <alignment horizontal="right" vertical="center"/>
    </xf>
    <xf numFmtId="4" fontId="37" fillId="27" borderId="71" applyNumberFormat="0" applyProtection="0">
      <alignment horizontal="right" vertical="center"/>
    </xf>
    <xf numFmtId="4" fontId="37" fillId="28" borderId="71" applyNumberFormat="0" applyProtection="0">
      <alignment horizontal="right" vertical="center"/>
    </xf>
    <xf numFmtId="4" fontId="37" fillId="29" borderId="71" applyNumberFormat="0" applyProtection="0">
      <alignment horizontal="right" vertical="center"/>
    </xf>
    <xf numFmtId="4" fontId="37" fillId="30" borderId="71" applyNumberFormat="0" applyProtection="0">
      <alignment horizontal="right" vertical="center"/>
    </xf>
    <xf numFmtId="4" fontId="37" fillId="31" borderId="71" applyNumberFormat="0" applyProtection="0">
      <alignment horizontal="right" vertical="center"/>
    </xf>
    <xf numFmtId="4" fontId="37" fillId="32" borderId="71" applyNumberFormat="0" applyProtection="0">
      <alignment horizontal="right" vertical="center"/>
    </xf>
    <xf numFmtId="4" fontId="37" fillId="33" borderId="71" applyNumberFormat="0" applyProtection="0">
      <alignment horizontal="right" vertical="center"/>
    </xf>
    <xf numFmtId="4" fontId="23" fillId="34" borderId="72" applyNumberFormat="0" applyProtection="0">
      <alignment horizontal="left" vertical="center" indent="1"/>
    </xf>
    <xf numFmtId="4" fontId="37" fillId="36" borderId="71" applyNumberFormat="0" applyProtection="0">
      <alignment horizontal="right" vertical="center"/>
    </xf>
    <xf numFmtId="0" fontId="35" fillId="16" borderId="71" applyNumberFormat="0" applyProtection="0">
      <alignment horizontal="left" vertical="center" indent="1"/>
    </xf>
    <xf numFmtId="0" fontId="35" fillId="16" borderId="71" applyNumberFormat="0" applyProtection="0">
      <alignment horizontal="left" vertical="top" indent="1"/>
    </xf>
    <xf numFmtId="0" fontId="35" fillId="24" borderId="71" applyNumberFormat="0" applyProtection="0">
      <alignment horizontal="left" vertical="center" indent="1"/>
    </xf>
    <xf numFmtId="0" fontId="35" fillId="24" borderId="71" applyNumberFormat="0" applyProtection="0">
      <alignment horizontal="left" vertical="top" indent="1"/>
    </xf>
    <xf numFmtId="0" fontId="35" fillId="37" borderId="71" applyNumberFormat="0" applyProtection="0">
      <alignment horizontal="left" vertical="center" indent="1"/>
    </xf>
    <xf numFmtId="0" fontId="35" fillId="37" borderId="71" applyNumberFormat="0" applyProtection="0">
      <alignment horizontal="left" vertical="top" indent="1"/>
    </xf>
    <xf numFmtId="0" fontId="35" fillId="38" borderId="71" applyNumberFormat="0" applyProtection="0">
      <alignment horizontal="left" vertical="center" indent="1"/>
    </xf>
    <xf numFmtId="0" fontId="35" fillId="38" borderId="71" applyNumberFormat="0" applyProtection="0">
      <alignment horizontal="left" vertical="top" indent="1"/>
    </xf>
    <xf numFmtId="4" fontId="37" fillId="20" borderId="71" applyNumberFormat="0" applyProtection="0">
      <alignment vertical="center"/>
    </xf>
    <xf numFmtId="4" fontId="38" fillId="20" borderId="71" applyNumberFormat="0" applyProtection="0">
      <alignment vertical="center"/>
    </xf>
    <xf numFmtId="4" fontId="37" fillId="20" borderId="71" applyNumberFormat="0" applyProtection="0">
      <alignment horizontal="left" vertical="center" indent="1"/>
    </xf>
    <xf numFmtId="0" fontId="37" fillId="20" borderId="71" applyNumberFormat="0" applyProtection="0">
      <alignment horizontal="left" vertical="top" indent="1"/>
    </xf>
    <xf numFmtId="4" fontId="37" fillId="35" borderId="71" applyNumberFormat="0" applyProtection="0">
      <alignment horizontal="right" vertical="center"/>
    </xf>
    <xf numFmtId="4" fontId="38" fillId="35" borderId="71" applyNumberFormat="0" applyProtection="0">
      <alignment horizontal="right" vertical="center"/>
    </xf>
    <xf numFmtId="4" fontId="37" fillId="36" borderId="71" applyNumberFormat="0" applyProtection="0">
      <alignment horizontal="left" vertical="center" indent="1"/>
    </xf>
    <xf numFmtId="0" fontId="37" fillId="24" borderId="71" applyNumberFormat="0" applyProtection="0">
      <alignment horizontal="left" vertical="top" indent="1"/>
    </xf>
    <xf numFmtId="4" fontId="40" fillId="35" borderId="71" applyNumberFormat="0" applyProtection="0">
      <alignment horizontal="right" vertical="center"/>
    </xf>
    <xf numFmtId="0" fontId="2" fillId="0" borderId="0"/>
    <xf numFmtId="4" fontId="37" fillId="5"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37" fillId="5" borderId="61" applyNumberFormat="0" applyProtection="0">
      <alignment vertical="center"/>
    </xf>
    <xf numFmtId="4" fontId="38" fillId="5" borderId="61" applyNumberFormat="0" applyProtection="0">
      <alignment vertical="center"/>
    </xf>
    <xf numFmtId="4" fontId="37" fillId="5" borderId="61" applyNumberFormat="0" applyProtection="0">
      <alignment horizontal="left" vertical="center" indent="1"/>
    </xf>
    <xf numFmtId="4" fontId="37" fillId="7" borderId="61" applyNumberFormat="0" applyProtection="0">
      <alignment horizontal="right" vertical="center"/>
    </xf>
    <xf numFmtId="4" fontId="37" fillId="8" borderId="61" applyNumberFormat="0" applyProtection="0">
      <alignment horizontal="right" vertical="center"/>
    </xf>
    <xf numFmtId="4" fontId="37" fillId="2" borderId="61" applyNumberFormat="0" applyProtection="0">
      <alignment horizontal="right" vertical="center"/>
    </xf>
    <xf numFmtId="4" fontId="37" fillId="9" borderId="61" applyNumberFormat="0" applyProtection="0">
      <alignment horizontal="right" vertical="center"/>
    </xf>
    <xf numFmtId="4" fontId="37" fillId="10" borderId="61" applyNumberFormat="0" applyProtection="0">
      <alignment horizontal="right" vertical="center"/>
    </xf>
    <xf numFmtId="4" fontId="37" fillId="11" borderId="61" applyNumberFormat="0" applyProtection="0">
      <alignment horizontal="right" vertical="center"/>
    </xf>
    <xf numFmtId="4" fontId="37" fillId="12" borderId="61" applyNumberFormat="0" applyProtection="0">
      <alignment horizontal="right" vertical="center"/>
    </xf>
    <xf numFmtId="4" fontId="37" fillId="13" borderId="61" applyNumberFormat="0" applyProtection="0">
      <alignment horizontal="right" vertical="center"/>
    </xf>
    <xf numFmtId="4" fontId="37" fillId="3" borderId="61" applyNumberFormat="0" applyProtection="0">
      <alignment horizontal="right" vertical="center"/>
    </xf>
    <xf numFmtId="4" fontId="23" fillId="14" borderId="61" applyNumberFormat="0" applyProtection="0">
      <alignment horizontal="left" vertical="center" indent="1"/>
    </xf>
    <xf numFmtId="0" fontId="35" fillId="6" borderId="61" applyNumberFormat="0" applyProtection="0">
      <alignment horizontal="left" vertical="center" indent="1"/>
    </xf>
    <xf numFmtId="4" fontId="37" fillId="15" borderId="61" applyNumberFormat="0" applyProtection="0">
      <alignment horizontal="left" vertical="center" indent="1"/>
    </xf>
    <xf numFmtId="4" fontId="37" fillId="17" borderId="61" applyNumberFormat="0" applyProtection="0">
      <alignment horizontal="left" vertical="center" indent="1"/>
    </xf>
    <xf numFmtId="0" fontId="35" fillId="17" borderId="61" applyNumberFormat="0" applyProtection="0">
      <alignment horizontal="left" vertical="center" indent="1"/>
    </xf>
    <xf numFmtId="0" fontId="35" fillId="17" borderId="61" applyNumberFormat="0" applyProtection="0">
      <alignment horizontal="left" vertical="center" indent="1"/>
    </xf>
    <xf numFmtId="0" fontId="35" fillId="18" borderId="61" applyNumberFormat="0" applyProtection="0">
      <alignment horizontal="left" vertical="center" indent="1"/>
    </xf>
    <xf numFmtId="0" fontId="35" fillId="18" borderId="61" applyNumberFormat="0" applyProtection="0">
      <alignment horizontal="left" vertical="center" indent="1"/>
    </xf>
    <xf numFmtId="0" fontId="35" fillId="19" borderId="61" applyNumberFormat="0" applyProtection="0">
      <alignment horizontal="left" vertical="center" indent="1"/>
    </xf>
    <xf numFmtId="0" fontId="35" fillId="19"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4" fontId="37" fillId="20" borderId="61" applyNumberFormat="0" applyProtection="0">
      <alignment vertical="center"/>
    </xf>
    <xf numFmtId="4" fontId="38" fillId="20" borderId="61" applyNumberFormat="0" applyProtection="0">
      <alignment vertical="center"/>
    </xf>
    <xf numFmtId="4" fontId="37" fillId="20" borderId="61" applyNumberFormat="0" applyProtection="0">
      <alignment horizontal="left" vertical="center" indent="1"/>
    </xf>
    <xf numFmtId="4" fontId="37" fillId="20" borderId="61" applyNumberFormat="0" applyProtection="0">
      <alignment horizontal="left" vertical="center" indent="1"/>
    </xf>
    <xf numFmtId="4" fontId="38" fillId="15" borderId="61" applyNumberFormat="0" applyProtection="0">
      <alignment horizontal="right" vertical="center"/>
    </xf>
    <xf numFmtId="0" fontId="35" fillId="6" borderId="61" applyNumberFormat="0" applyProtection="0">
      <alignment horizontal="left" vertical="center" indent="1"/>
    </xf>
    <xf numFmtId="4" fontId="40" fillId="15" borderId="61" applyNumberFormat="0" applyProtection="0">
      <alignment horizontal="right"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35" fillId="6" borderId="61" applyNumberFormat="0" applyProtection="0">
      <alignment horizontal="left" vertical="center" indent="1"/>
    </xf>
    <xf numFmtId="4" fontId="37" fillId="15" borderId="61" applyNumberFormat="0" applyProtection="0">
      <alignment horizontal="left" vertical="center" indent="1"/>
    </xf>
    <xf numFmtId="4" fontId="37" fillId="17" borderId="61" applyNumberFormat="0" applyProtection="0">
      <alignment horizontal="left" vertical="center" indent="1"/>
    </xf>
    <xf numFmtId="0" fontId="35" fillId="17" borderId="61" applyNumberFormat="0" applyProtection="0">
      <alignment horizontal="left" vertical="center" indent="1"/>
    </xf>
    <xf numFmtId="0" fontId="35" fillId="17" borderId="61" applyNumberFormat="0" applyProtection="0">
      <alignment horizontal="left" vertical="center" indent="1"/>
    </xf>
    <xf numFmtId="0" fontId="35" fillId="18" borderId="61" applyNumberFormat="0" applyProtection="0">
      <alignment horizontal="left" vertical="center" indent="1"/>
    </xf>
    <xf numFmtId="0" fontId="35" fillId="18" borderId="61" applyNumberFormat="0" applyProtection="0">
      <alignment horizontal="left" vertical="center" indent="1"/>
    </xf>
    <xf numFmtId="0" fontId="35" fillId="19" borderId="61" applyNumberFormat="0" applyProtection="0">
      <alignment horizontal="left" vertical="center" indent="1"/>
    </xf>
    <xf numFmtId="0" fontId="35" fillId="19" borderId="61" applyNumberFormat="0" applyProtection="0">
      <alignment horizontal="left" vertical="center" indent="1"/>
    </xf>
    <xf numFmtId="0" fontId="35" fillId="6" borderId="61" applyNumberFormat="0" applyProtection="0">
      <alignment horizontal="left" vertical="center" indent="1"/>
    </xf>
    <xf numFmtId="0" fontId="35" fillId="6" borderId="61" applyNumberFormat="0" applyProtection="0">
      <alignment horizontal="left" vertical="center" indent="1"/>
    </xf>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5" fillId="6" borderId="61" applyNumberFormat="0" applyProtection="0">
      <alignment horizontal="left" vertical="center" indent="1"/>
    </xf>
    <xf numFmtId="0" fontId="35" fillId="6" borderId="61" applyNumberFormat="0" applyProtection="0">
      <alignment horizontal="left" vertical="center" indent="1"/>
    </xf>
    <xf numFmtId="4" fontId="37" fillId="5" borderId="61" applyNumberFormat="0" applyProtection="0">
      <alignment horizontal="left" vertical="center" indent="1"/>
    </xf>
    <xf numFmtId="4" fontId="37" fillId="15" borderId="61" applyNumberFormat="0" applyProtection="0">
      <alignment horizontal="right" vertical="center"/>
    </xf>
    <xf numFmtId="4" fontId="37" fillId="5" borderId="61" applyNumberFormat="0" applyProtection="0">
      <alignment vertical="center"/>
    </xf>
    <xf numFmtId="4" fontId="37" fillId="5" borderId="61" applyNumberFormat="0" applyProtection="0">
      <alignment horizontal="left" vertical="center" indent="1"/>
    </xf>
    <xf numFmtId="0" fontId="35" fillId="0" borderId="0"/>
    <xf numFmtId="0" fontId="2" fillId="0" borderId="0"/>
    <xf numFmtId="0" fontId="2"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45" borderId="0"/>
    <xf numFmtId="4" fontId="27" fillId="23" borderId="73" applyNumberFormat="0" applyProtection="0">
      <alignment vertical="center"/>
    </xf>
    <xf numFmtId="4" fontId="27" fillId="0" borderId="73" applyNumberFormat="0" applyProtection="0">
      <alignment horizontal="right" vertical="center"/>
    </xf>
    <xf numFmtId="4" fontId="27" fillId="5" borderId="73" applyNumberFormat="0" applyProtection="0">
      <alignment horizontal="left" vertical="center" indent="1"/>
    </xf>
    <xf numFmtId="4" fontId="27" fillId="46" borderId="73" applyNumberFormat="0" applyProtection="0">
      <alignment horizontal="left" vertical="center" indent="1"/>
    </xf>
    <xf numFmtId="43" fontId="27" fillId="0" borderId="0" applyFont="0" applyFill="0" applyBorder="0" applyAlignment="0" applyProtection="0"/>
    <xf numFmtId="4" fontId="27" fillId="46" borderId="73" applyNumberFormat="0" applyProtection="0">
      <alignment horizontal="left" vertical="center" indent="1"/>
    </xf>
    <xf numFmtId="44" fontId="27" fillId="0" borderId="0" applyFont="0" applyFill="0" applyBorder="0" applyAlignment="0" applyProtection="0"/>
    <xf numFmtId="4" fontId="27" fillId="46" borderId="73" applyNumberFormat="0" applyProtection="0">
      <alignment horizontal="left" vertical="center" indent="1"/>
    </xf>
    <xf numFmtId="4" fontId="37" fillId="5" borderId="61" applyNumberFormat="0" applyProtection="0">
      <alignment horizontal="left" vertical="center" indent="1"/>
    </xf>
    <xf numFmtId="0" fontId="35" fillId="6" borderId="61" applyNumberFormat="0" applyProtection="0">
      <alignment horizontal="left" vertical="center" indent="1"/>
    </xf>
    <xf numFmtId="0" fontId="2" fillId="0" borderId="0"/>
    <xf numFmtId="43" fontId="2" fillId="0" borderId="0" applyFont="0" applyFill="0" applyBorder="0" applyAlignment="0" applyProtection="0"/>
    <xf numFmtId="0" fontId="2" fillId="0" borderId="0"/>
    <xf numFmtId="0" fontId="2" fillId="0" borderId="0"/>
    <xf numFmtId="0" fontId="35" fillId="0" borderId="0"/>
    <xf numFmtId="0" fontId="35"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35" fillId="0" borderId="0"/>
    <xf numFmtId="0" fontId="2" fillId="0" borderId="0"/>
    <xf numFmtId="43" fontId="2" fillId="0" borderId="0" applyFont="0" applyFill="0" applyBorder="0" applyAlignment="0" applyProtection="0"/>
    <xf numFmtId="0" fontId="2" fillId="0" borderId="0"/>
    <xf numFmtId="0" fontId="2" fillId="0" borderId="0"/>
    <xf numFmtId="4" fontId="37" fillId="5" borderId="74" applyNumberFormat="0" applyProtection="0">
      <alignment vertical="center"/>
    </xf>
    <xf numFmtId="4" fontId="38" fillId="5" borderId="74" applyNumberFormat="0" applyProtection="0">
      <alignment vertical="center"/>
    </xf>
    <xf numFmtId="4" fontId="37" fillId="5" borderId="74" applyNumberFormat="0" applyProtection="0">
      <alignment horizontal="left" vertical="center" indent="1"/>
    </xf>
    <xf numFmtId="4" fontId="37" fillId="5" borderId="74" applyNumberFormat="0" applyProtection="0">
      <alignment horizontal="left" vertical="center" indent="1"/>
    </xf>
    <xf numFmtId="0" fontId="35" fillId="6" borderId="74" applyNumberFormat="0" applyProtection="0">
      <alignment horizontal="left" vertical="center" indent="1"/>
    </xf>
    <xf numFmtId="4" fontId="37" fillId="7" borderId="74" applyNumberFormat="0" applyProtection="0">
      <alignment horizontal="right" vertical="center"/>
    </xf>
    <xf numFmtId="4" fontId="37" fillId="8" borderId="74" applyNumberFormat="0" applyProtection="0">
      <alignment horizontal="right" vertical="center"/>
    </xf>
    <xf numFmtId="4" fontId="37" fillId="2" borderId="74" applyNumberFormat="0" applyProtection="0">
      <alignment horizontal="right" vertical="center"/>
    </xf>
    <xf numFmtId="4" fontId="37" fillId="9" borderId="74" applyNumberFormat="0" applyProtection="0">
      <alignment horizontal="right" vertical="center"/>
    </xf>
    <xf numFmtId="4" fontId="37" fillId="10" borderId="74" applyNumberFormat="0" applyProtection="0">
      <alignment horizontal="right" vertical="center"/>
    </xf>
    <xf numFmtId="4" fontId="37" fillId="11" borderId="74" applyNumberFormat="0" applyProtection="0">
      <alignment horizontal="right" vertical="center"/>
    </xf>
    <xf numFmtId="4" fontId="37" fillId="12" borderId="74" applyNumberFormat="0" applyProtection="0">
      <alignment horizontal="right" vertical="center"/>
    </xf>
    <xf numFmtId="4" fontId="37" fillId="13" borderId="74" applyNumberFormat="0" applyProtection="0">
      <alignment horizontal="right" vertical="center"/>
    </xf>
    <xf numFmtId="4" fontId="37" fillId="3" borderId="74" applyNumberFormat="0" applyProtection="0">
      <alignment horizontal="right" vertical="center"/>
    </xf>
    <xf numFmtId="4" fontId="23" fillId="14" borderId="74" applyNumberFormat="0" applyProtection="0">
      <alignment horizontal="left" vertical="center" indent="1"/>
    </xf>
    <xf numFmtId="4" fontId="37" fillId="15" borderId="76" applyNumberFormat="0" applyProtection="0">
      <alignment horizontal="left" vertical="center" indent="1"/>
    </xf>
    <xf numFmtId="0" fontId="35" fillId="6" borderId="74" applyNumberFormat="0" applyProtection="0">
      <alignment horizontal="left" vertical="center" indent="1"/>
    </xf>
    <xf numFmtId="4" fontId="37" fillId="15" borderId="74" applyNumberFormat="0" applyProtection="0">
      <alignment horizontal="left" vertical="center" indent="1"/>
    </xf>
    <xf numFmtId="4" fontId="37" fillId="17" borderId="74" applyNumberFormat="0" applyProtection="0">
      <alignment horizontal="left" vertical="center" indent="1"/>
    </xf>
    <xf numFmtId="0" fontId="35" fillId="17" borderId="74" applyNumberFormat="0" applyProtection="0">
      <alignment horizontal="left" vertical="center" indent="1"/>
    </xf>
    <xf numFmtId="0" fontId="35" fillId="17" borderId="74" applyNumberFormat="0" applyProtection="0">
      <alignment horizontal="left" vertical="center" indent="1"/>
    </xf>
    <xf numFmtId="0" fontId="35" fillId="18" borderId="74" applyNumberFormat="0" applyProtection="0">
      <alignment horizontal="left" vertical="center" indent="1"/>
    </xf>
    <xf numFmtId="0" fontId="35" fillId="18" borderId="74" applyNumberFormat="0" applyProtection="0">
      <alignment horizontal="left" vertical="center" indent="1"/>
    </xf>
    <xf numFmtId="0" fontId="35" fillId="19" borderId="74" applyNumberFormat="0" applyProtection="0">
      <alignment horizontal="left" vertical="center" indent="1"/>
    </xf>
    <xf numFmtId="0" fontId="35" fillId="19"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37" fillId="20" borderId="74" applyNumberFormat="0" applyProtection="0">
      <alignment vertical="center"/>
    </xf>
    <xf numFmtId="4" fontId="38" fillId="20" borderId="74" applyNumberFormat="0" applyProtection="0">
      <alignment vertical="center"/>
    </xf>
    <xf numFmtId="4" fontId="37" fillId="20" borderId="74" applyNumberFormat="0" applyProtection="0">
      <alignment horizontal="left" vertical="center" indent="1"/>
    </xf>
    <xf numFmtId="4" fontId="37" fillId="20" borderId="74" applyNumberFormat="0" applyProtection="0">
      <alignment horizontal="left" vertical="center" indent="1"/>
    </xf>
    <xf numFmtId="4" fontId="37" fillId="15" borderId="74" applyNumberFormat="0" applyProtection="0">
      <alignment horizontal="right" vertical="center"/>
    </xf>
    <xf numFmtId="4" fontId="38" fillId="15" borderId="74" applyNumberFormat="0" applyProtection="0">
      <alignment horizontal="right" vertical="center"/>
    </xf>
    <xf numFmtId="0" fontId="35" fillId="6" borderId="74" applyNumberFormat="0" applyProtection="0">
      <alignment horizontal="left" vertical="center" indent="1"/>
    </xf>
    <xf numFmtId="0" fontId="35" fillId="6" borderId="74" applyNumberFormat="0" applyProtection="0">
      <alignment horizontal="left" vertical="center" indent="1"/>
    </xf>
    <xf numFmtId="4" fontId="40" fillId="15" borderId="74" applyNumberFormat="0" applyProtection="0">
      <alignment horizontal="right" vertical="center"/>
    </xf>
    <xf numFmtId="0" fontId="35" fillId="6"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37" fillId="15" borderId="74" applyNumberFormat="0" applyProtection="0">
      <alignment horizontal="left" vertical="center" indent="1"/>
    </xf>
    <xf numFmtId="4" fontId="37" fillId="17" borderId="74" applyNumberFormat="0" applyProtection="0">
      <alignment horizontal="left" vertical="center" indent="1"/>
    </xf>
    <xf numFmtId="0" fontId="35" fillId="17" borderId="74" applyNumberFormat="0" applyProtection="0">
      <alignment horizontal="left" vertical="center" indent="1"/>
    </xf>
    <xf numFmtId="0" fontId="35" fillId="17" borderId="74" applyNumberFormat="0" applyProtection="0">
      <alignment horizontal="left" vertical="center" indent="1"/>
    </xf>
    <xf numFmtId="0" fontId="35" fillId="18" borderId="74" applyNumberFormat="0" applyProtection="0">
      <alignment horizontal="left" vertical="center" indent="1"/>
    </xf>
    <xf numFmtId="0" fontId="35" fillId="18" borderId="74" applyNumberFormat="0" applyProtection="0">
      <alignment horizontal="left" vertical="center" indent="1"/>
    </xf>
    <xf numFmtId="0" fontId="35" fillId="19" borderId="74" applyNumberFormat="0" applyProtection="0">
      <alignment horizontal="left" vertical="center" indent="1"/>
    </xf>
    <xf numFmtId="0" fontId="35" fillId="19"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23" fillId="23" borderId="77" applyNumberFormat="0" applyProtection="0">
      <alignment vertical="center"/>
    </xf>
    <xf numFmtId="4" fontId="77" fillId="5" borderId="77" applyNumberFormat="0" applyProtection="0">
      <alignment vertical="center"/>
    </xf>
    <xf numFmtId="4" fontId="23" fillId="5" borderId="77" applyNumberFormat="0" applyProtection="0">
      <alignment horizontal="left" vertical="center" indent="1"/>
    </xf>
    <xf numFmtId="0" fontId="23" fillId="5" borderId="77" applyNumberFormat="0" applyProtection="0">
      <alignment horizontal="left" vertical="top" indent="1"/>
    </xf>
    <xf numFmtId="4" fontId="37" fillId="25" borderId="77" applyNumberFormat="0" applyProtection="0">
      <alignment horizontal="right" vertical="center"/>
    </xf>
    <xf numFmtId="4" fontId="37" fillId="26" borderId="77" applyNumberFormat="0" applyProtection="0">
      <alignment horizontal="right" vertical="center"/>
    </xf>
    <xf numFmtId="4" fontId="37" fillId="27" borderId="77" applyNumberFormat="0" applyProtection="0">
      <alignment horizontal="right" vertical="center"/>
    </xf>
    <xf numFmtId="4" fontId="37" fillId="28" borderId="77" applyNumberFormat="0" applyProtection="0">
      <alignment horizontal="right" vertical="center"/>
    </xf>
    <xf numFmtId="4" fontId="37" fillId="29" borderId="77" applyNumberFormat="0" applyProtection="0">
      <alignment horizontal="right" vertical="center"/>
    </xf>
    <xf numFmtId="4" fontId="37" fillId="30" borderId="77" applyNumberFormat="0" applyProtection="0">
      <alignment horizontal="right" vertical="center"/>
    </xf>
    <xf numFmtId="4" fontId="37" fillId="31" borderId="77" applyNumberFormat="0" applyProtection="0">
      <alignment horizontal="right" vertical="center"/>
    </xf>
    <xf numFmtId="4" fontId="37" fillId="32" borderId="77" applyNumberFormat="0" applyProtection="0">
      <alignment horizontal="right" vertical="center"/>
    </xf>
    <xf numFmtId="4" fontId="37" fillId="33" borderId="77" applyNumberFormat="0" applyProtection="0">
      <alignment horizontal="right" vertical="center"/>
    </xf>
    <xf numFmtId="4" fontId="37" fillId="36" borderId="77" applyNumberFormat="0" applyProtection="0">
      <alignment horizontal="right" vertical="center"/>
    </xf>
    <xf numFmtId="0" fontId="35" fillId="16" borderId="77" applyNumberFormat="0" applyProtection="0">
      <alignment horizontal="left" vertical="center" indent="1"/>
    </xf>
    <xf numFmtId="0" fontId="35" fillId="16" borderId="77" applyNumberFormat="0" applyProtection="0">
      <alignment horizontal="left" vertical="top" indent="1"/>
    </xf>
    <xf numFmtId="0" fontId="35" fillId="24" borderId="77" applyNumberFormat="0" applyProtection="0">
      <alignment horizontal="left" vertical="center" indent="1"/>
    </xf>
    <xf numFmtId="0" fontId="35" fillId="24" borderId="77" applyNumberFormat="0" applyProtection="0">
      <alignment horizontal="left" vertical="top" indent="1"/>
    </xf>
    <xf numFmtId="0" fontId="35" fillId="37" borderId="77" applyNumberFormat="0" applyProtection="0">
      <alignment horizontal="left" vertical="center" indent="1"/>
    </xf>
    <xf numFmtId="0" fontId="35" fillId="37" borderId="77" applyNumberFormat="0" applyProtection="0">
      <alignment horizontal="left" vertical="top" indent="1"/>
    </xf>
    <xf numFmtId="0" fontId="35" fillId="38" borderId="77" applyNumberFormat="0" applyProtection="0">
      <alignment horizontal="left" vertical="center" indent="1"/>
    </xf>
    <xf numFmtId="0" fontId="35" fillId="38" borderId="77" applyNumberFormat="0" applyProtection="0">
      <alignment horizontal="left" vertical="top" indent="1"/>
    </xf>
    <xf numFmtId="4" fontId="37" fillId="20" borderId="77" applyNumberFormat="0" applyProtection="0">
      <alignment vertical="center"/>
    </xf>
    <xf numFmtId="4" fontId="38" fillId="20" borderId="77" applyNumberFormat="0" applyProtection="0">
      <alignment vertical="center"/>
    </xf>
    <xf numFmtId="4" fontId="37" fillId="20" borderId="77" applyNumberFormat="0" applyProtection="0">
      <alignment horizontal="left" vertical="center" indent="1"/>
    </xf>
    <xf numFmtId="0" fontId="37" fillId="20" borderId="77" applyNumberFormat="0" applyProtection="0">
      <alignment horizontal="left" vertical="top" indent="1"/>
    </xf>
    <xf numFmtId="4" fontId="37" fillId="35" borderId="77" applyNumberFormat="0" applyProtection="0">
      <alignment horizontal="right" vertical="center"/>
    </xf>
    <xf numFmtId="4" fontId="38" fillId="35" borderId="77" applyNumberFormat="0" applyProtection="0">
      <alignment horizontal="right" vertical="center"/>
    </xf>
    <xf numFmtId="4" fontId="37" fillId="36" borderId="77" applyNumberFormat="0" applyProtection="0">
      <alignment horizontal="left" vertical="center" indent="1"/>
    </xf>
    <xf numFmtId="0" fontId="37" fillId="24" borderId="77" applyNumberFormat="0" applyProtection="0">
      <alignment horizontal="left" vertical="top" indent="1"/>
    </xf>
    <xf numFmtId="4" fontId="40" fillId="35" borderId="77" applyNumberFormat="0" applyProtection="0">
      <alignment horizontal="right" vertical="center"/>
    </xf>
    <xf numFmtId="4" fontId="37" fillId="5"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37" fillId="5" borderId="74" applyNumberFormat="0" applyProtection="0">
      <alignment vertical="center"/>
    </xf>
    <xf numFmtId="4" fontId="38" fillId="5" borderId="74" applyNumberFormat="0" applyProtection="0">
      <alignment vertical="center"/>
    </xf>
    <xf numFmtId="4" fontId="37" fillId="5" borderId="74" applyNumberFormat="0" applyProtection="0">
      <alignment horizontal="left" vertical="center" indent="1"/>
    </xf>
    <xf numFmtId="4" fontId="37" fillId="7" borderId="74" applyNumberFormat="0" applyProtection="0">
      <alignment horizontal="right" vertical="center"/>
    </xf>
    <xf numFmtId="4" fontId="37" fillId="8" borderId="74" applyNumberFormat="0" applyProtection="0">
      <alignment horizontal="right" vertical="center"/>
    </xf>
    <xf numFmtId="4" fontId="37" fillId="2" borderId="74" applyNumberFormat="0" applyProtection="0">
      <alignment horizontal="right" vertical="center"/>
    </xf>
    <xf numFmtId="4" fontId="37" fillId="9" borderId="74" applyNumberFormat="0" applyProtection="0">
      <alignment horizontal="right" vertical="center"/>
    </xf>
    <xf numFmtId="4" fontId="37" fillId="10" borderId="74" applyNumberFormat="0" applyProtection="0">
      <alignment horizontal="right" vertical="center"/>
    </xf>
    <xf numFmtId="4" fontId="37" fillId="11" borderId="74" applyNumberFormat="0" applyProtection="0">
      <alignment horizontal="right" vertical="center"/>
    </xf>
    <xf numFmtId="4" fontId="37" fillId="12" borderId="74" applyNumberFormat="0" applyProtection="0">
      <alignment horizontal="right" vertical="center"/>
    </xf>
    <xf numFmtId="4" fontId="37" fillId="13" borderId="74" applyNumberFormat="0" applyProtection="0">
      <alignment horizontal="right" vertical="center"/>
    </xf>
    <xf numFmtId="4" fontId="37" fillId="3" borderId="74" applyNumberFormat="0" applyProtection="0">
      <alignment horizontal="right" vertical="center"/>
    </xf>
    <xf numFmtId="4" fontId="23" fillId="14" borderId="74" applyNumberFormat="0" applyProtection="0">
      <alignment horizontal="left" vertical="center" indent="1"/>
    </xf>
    <xf numFmtId="0" fontId="35" fillId="6" borderId="74" applyNumberFormat="0" applyProtection="0">
      <alignment horizontal="left" vertical="center" indent="1"/>
    </xf>
    <xf numFmtId="4" fontId="37" fillId="15" borderId="74" applyNumberFormat="0" applyProtection="0">
      <alignment horizontal="left" vertical="center" indent="1"/>
    </xf>
    <xf numFmtId="4" fontId="37" fillId="17" borderId="74" applyNumberFormat="0" applyProtection="0">
      <alignment horizontal="left" vertical="center" indent="1"/>
    </xf>
    <xf numFmtId="0" fontId="35" fillId="17" borderId="74" applyNumberFormat="0" applyProtection="0">
      <alignment horizontal="left" vertical="center" indent="1"/>
    </xf>
    <xf numFmtId="0" fontId="35" fillId="17" borderId="74" applyNumberFormat="0" applyProtection="0">
      <alignment horizontal="left" vertical="center" indent="1"/>
    </xf>
    <xf numFmtId="0" fontId="35" fillId="18" borderId="74" applyNumberFormat="0" applyProtection="0">
      <alignment horizontal="left" vertical="center" indent="1"/>
    </xf>
    <xf numFmtId="0" fontId="35" fillId="18" borderId="74" applyNumberFormat="0" applyProtection="0">
      <alignment horizontal="left" vertical="center" indent="1"/>
    </xf>
    <xf numFmtId="0" fontId="35" fillId="19" borderId="74" applyNumberFormat="0" applyProtection="0">
      <alignment horizontal="left" vertical="center" indent="1"/>
    </xf>
    <xf numFmtId="0" fontId="35" fillId="19"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37" fillId="20" borderId="74" applyNumberFormat="0" applyProtection="0">
      <alignment vertical="center"/>
    </xf>
    <xf numFmtId="4" fontId="38" fillId="20" borderId="74" applyNumberFormat="0" applyProtection="0">
      <alignment vertical="center"/>
    </xf>
    <xf numFmtId="4" fontId="37" fillId="20" borderId="74" applyNumberFormat="0" applyProtection="0">
      <alignment horizontal="left" vertical="center" indent="1"/>
    </xf>
    <xf numFmtId="4" fontId="37" fillId="20" borderId="74" applyNumberFormat="0" applyProtection="0">
      <alignment horizontal="left" vertical="center" indent="1"/>
    </xf>
    <xf numFmtId="4" fontId="37" fillId="15" borderId="74" applyNumberFormat="0" applyProtection="0">
      <alignment horizontal="right" vertical="center"/>
    </xf>
    <xf numFmtId="4" fontId="38" fillId="15" borderId="74" applyNumberFormat="0" applyProtection="0">
      <alignment horizontal="right" vertical="center"/>
    </xf>
    <xf numFmtId="0" fontId="35" fillId="6" borderId="74" applyNumberFormat="0" applyProtection="0">
      <alignment horizontal="left" vertical="center" indent="1"/>
    </xf>
    <xf numFmtId="4" fontId="40" fillId="15" borderId="74" applyNumberFormat="0" applyProtection="0">
      <alignment horizontal="right" vertical="center"/>
    </xf>
    <xf numFmtId="0" fontId="35" fillId="6" borderId="74" applyNumberFormat="0" applyProtection="0">
      <alignment horizontal="left" vertical="center" indent="1"/>
    </xf>
    <xf numFmtId="4" fontId="37" fillId="15" borderId="74" applyNumberFormat="0" applyProtection="0">
      <alignment horizontal="left" vertical="center" indent="1"/>
    </xf>
    <xf numFmtId="4" fontId="37" fillId="17" borderId="74" applyNumberFormat="0" applyProtection="0">
      <alignment horizontal="left" vertical="center" indent="1"/>
    </xf>
    <xf numFmtId="0" fontId="35" fillId="17" borderId="74" applyNumberFormat="0" applyProtection="0">
      <alignment horizontal="left" vertical="center" indent="1"/>
    </xf>
    <xf numFmtId="0" fontId="35" fillId="17" borderId="74" applyNumberFormat="0" applyProtection="0">
      <alignment horizontal="left" vertical="center" indent="1"/>
    </xf>
    <xf numFmtId="0" fontId="35" fillId="18" borderId="74" applyNumberFormat="0" applyProtection="0">
      <alignment horizontal="left" vertical="center" indent="1"/>
    </xf>
    <xf numFmtId="0" fontId="35" fillId="18" borderId="74" applyNumberFormat="0" applyProtection="0">
      <alignment horizontal="left" vertical="center" indent="1"/>
    </xf>
    <xf numFmtId="0" fontId="35" fillId="19" borderId="74" applyNumberFormat="0" applyProtection="0">
      <alignment horizontal="left" vertical="center" indent="1"/>
    </xf>
    <xf numFmtId="0" fontId="35" fillId="19"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0" fontId="35" fillId="6" borderId="74" applyNumberFormat="0" applyProtection="0">
      <alignment horizontal="left" vertical="center" indent="1"/>
    </xf>
    <xf numFmtId="4" fontId="37" fillId="5" borderId="74" applyNumberFormat="0" applyProtection="0">
      <alignment horizontal="left" vertical="center" indent="1"/>
    </xf>
    <xf numFmtId="0" fontId="35" fillId="6" borderId="74" applyNumberFormat="0" applyProtection="0">
      <alignment horizontal="left" vertical="center" indent="1"/>
    </xf>
    <xf numFmtId="4" fontId="37" fillId="15" borderId="74" applyNumberFormat="0" applyProtection="0">
      <alignment horizontal="right" vertical="center"/>
    </xf>
    <xf numFmtId="4" fontId="37" fillId="5" borderId="74" applyNumberFormat="0" applyProtection="0">
      <alignment vertical="center"/>
    </xf>
    <xf numFmtId="4" fontId="37" fillId="5" borderId="74" applyNumberFormat="0" applyProtection="0">
      <alignment horizontal="left" vertical="center" indent="1"/>
    </xf>
    <xf numFmtId="185" fontId="94" fillId="0" borderId="75" applyFill="0" applyAlignment="0" applyProtection="0">
      <alignment horizontal="center"/>
    </xf>
    <xf numFmtId="0" fontId="94" fillId="0" borderId="75" applyNumberFormat="0" applyFill="0" applyAlignment="0" applyProtection="0"/>
    <xf numFmtId="0" fontId="35" fillId="6" borderId="74" applyNumberFormat="0" applyProtection="0">
      <alignment horizontal="left" vertical="center" indent="1"/>
    </xf>
    <xf numFmtId="4" fontId="27" fillId="23" borderId="78" applyNumberFormat="0" applyProtection="0">
      <alignment vertical="center"/>
    </xf>
    <xf numFmtId="4" fontId="27" fillId="0" borderId="78" applyNumberFormat="0" applyProtection="0">
      <alignment horizontal="right" vertical="center"/>
    </xf>
    <xf numFmtId="4" fontId="27" fillId="5" borderId="78" applyNumberFormat="0" applyProtection="0">
      <alignment horizontal="left" vertical="center" indent="1"/>
    </xf>
    <xf numFmtId="4" fontId="27" fillId="46" borderId="78" applyNumberFormat="0" applyProtection="0">
      <alignment horizontal="left" vertical="center" indent="1"/>
    </xf>
    <xf numFmtId="4" fontId="27" fillId="46" borderId="78" applyNumberFormat="0" applyProtection="0">
      <alignment horizontal="left" vertical="center" indent="1"/>
    </xf>
    <xf numFmtId="4" fontId="27" fillId="46" borderId="78" applyNumberFormat="0" applyProtection="0">
      <alignment horizontal="left" vertical="center" indent="1"/>
    </xf>
    <xf numFmtId="4" fontId="37" fillId="5" borderId="74" applyNumberFormat="0" applyProtection="0">
      <alignment horizontal="left" vertical="center" indent="1"/>
    </xf>
    <xf numFmtId="0" fontId="35" fillId="6" borderId="74" applyNumberFormat="0" applyProtection="0">
      <alignment horizontal="left" vertical="center" indent="1"/>
    </xf>
  </cellStyleXfs>
  <cellXfs count="2080">
    <xf numFmtId="164" fontId="0" fillId="0" borderId="0" xfId="0"/>
    <xf numFmtId="164" fontId="18" fillId="0" borderId="0" xfId="0" applyNumberFormat="1" applyFont="1" applyProtection="1"/>
    <xf numFmtId="164" fontId="20" fillId="0" borderId="0" xfId="0" applyNumberFormat="1" applyFont="1" applyProtection="1"/>
    <xf numFmtId="164" fontId="21" fillId="0" borderId="0" xfId="0" applyNumberFormat="1" applyFont="1" applyProtection="1"/>
    <xf numFmtId="164" fontId="22" fillId="0" borderId="0" xfId="0" applyNumberFormat="1" applyFont="1" applyProtection="1"/>
    <xf numFmtId="165" fontId="22" fillId="0" borderId="0" xfId="0" applyNumberFormat="1" applyFont="1" applyProtection="1"/>
    <xf numFmtId="164" fontId="24" fillId="0" borderId="0" xfId="0" applyNumberFormat="1" applyFont="1" applyProtection="1"/>
    <xf numFmtId="164" fontId="25" fillId="0" borderId="0" xfId="0" applyFont="1"/>
    <xf numFmtId="164" fontId="26" fillId="0" borderId="0" xfId="0" applyFont="1"/>
    <xf numFmtId="164" fontId="0" fillId="0" borderId="0" xfId="0" applyBorder="1"/>
    <xf numFmtId="164" fontId="18" fillId="21" borderId="0" xfId="0" applyNumberFormat="1" applyFont="1" applyFill="1" applyProtection="1"/>
    <xf numFmtId="164" fontId="19" fillId="21" borderId="0" xfId="0" applyNumberFormat="1" applyFont="1" applyFill="1" applyProtection="1"/>
    <xf numFmtId="164" fontId="0" fillId="21" borderId="0" xfId="0" applyFill="1"/>
    <xf numFmtId="164" fontId="22" fillId="21" borderId="0" xfId="0" applyNumberFormat="1" applyFont="1" applyFill="1" applyProtection="1"/>
    <xf numFmtId="5" fontId="18" fillId="21" borderId="0" xfId="0" applyNumberFormat="1" applyFont="1" applyFill="1" applyProtection="1"/>
    <xf numFmtId="5" fontId="19" fillId="21" borderId="0" xfId="0" applyNumberFormat="1" applyFont="1" applyFill="1" applyProtection="1"/>
    <xf numFmtId="164" fontId="25" fillId="21" borderId="0" xfId="0" applyFont="1" applyFill="1"/>
    <xf numFmtId="164" fontId="18" fillId="21" borderId="0" xfId="0" applyNumberFormat="1" applyFont="1" applyFill="1" applyAlignment="1" applyProtection="1">
      <alignment horizontal="left"/>
    </xf>
    <xf numFmtId="10" fontId="19" fillId="21" borderId="0" xfId="0" applyNumberFormat="1" applyFont="1" applyFill="1" applyAlignment="1" applyProtection="1">
      <alignment horizontal="center"/>
    </xf>
    <xf numFmtId="164" fontId="21" fillId="21" borderId="0" xfId="0" applyNumberFormat="1" applyFont="1" applyFill="1" applyProtection="1"/>
    <xf numFmtId="164" fontId="21" fillId="21" borderId="0" xfId="0" applyNumberFormat="1" applyFont="1" applyFill="1" applyAlignment="1" applyProtection="1">
      <alignment horizontal="center"/>
    </xf>
    <xf numFmtId="164" fontId="22" fillId="21" borderId="0" xfId="0" applyNumberFormat="1" applyFont="1" applyFill="1" applyAlignment="1" applyProtection="1">
      <alignment horizontal="right"/>
    </xf>
    <xf numFmtId="49" fontId="18" fillId="21" borderId="0" xfId="0" applyNumberFormat="1" applyFont="1" applyFill="1" applyAlignment="1" applyProtection="1">
      <alignment horizontal="center"/>
    </xf>
    <xf numFmtId="49" fontId="0" fillId="21" borderId="0" xfId="0" applyNumberFormat="1" applyFill="1" applyAlignment="1">
      <alignment horizontal="center"/>
    </xf>
    <xf numFmtId="14" fontId="19" fillId="21" borderId="0" xfId="0" applyNumberFormat="1" applyFont="1" applyFill="1" applyAlignment="1" applyProtection="1">
      <alignment horizontal="center"/>
    </xf>
    <xf numFmtId="164" fontId="35" fillId="21" borderId="0" xfId="0" applyFont="1" applyFill="1"/>
    <xf numFmtId="164" fontId="19" fillId="21" borderId="0" xfId="0" applyNumberFormat="1" applyFont="1" applyFill="1" applyAlignment="1" applyProtection="1">
      <alignment horizontal="left"/>
    </xf>
    <xf numFmtId="164" fontId="19" fillId="21" borderId="0" xfId="0" applyNumberFormat="1" applyFont="1" applyFill="1" applyBorder="1" applyAlignment="1" applyProtection="1"/>
    <xf numFmtId="5" fontId="47" fillId="21" borderId="0" xfId="0" applyNumberFormat="1" applyFont="1" applyFill="1" applyProtection="1"/>
    <xf numFmtId="41" fontId="47" fillId="21" borderId="0" xfId="0" applyNumberFormat="1" applyFont="1" applyFill="1" applyProtection="1"/>
    <xf numFmtId="164" fontId="47" fillId="21" borderId="0" xfId="0" applyNumberFormat="1" applyFont="1" applyFill="1" applyProtection="1"/>
    <xf numFmtId="0" fontId="31" fillId="21" borderId="0" xfId="8" applyFont="1" applyFill="1"/>
    <xf numFmtId="0" fontId="35" fillId="21" borderId="0" xfId="8" applyFont="1" applyFill="1"/>
    <xf numFmtId="164" fontId="48" fillId="21" borderId="0" xfId="0" applyNumberFormat="1" applyFont="1" applyFill="1" applyProtection="1"/>
    <xf numFmtId="164" fontId="41" fillId="21" borderId="0" xfId="0" applyFont="1" applyFill="1"/>
    <xf numFmtId="164" fontId="49" fillId="21" borderId="0" xfId="0" applyNumberFormat="1" applyFont="1" applyFill="1" applyProtection="1"/>
    <xf numFmtId="14" fontId="48" fillId="21" borderId="0" xfId="0" applyNumberFormat="1" applyFont="1" applyFill="1" applyAlignment="1" applyProtection="1">
      <alignment horizontal="left"/>
    </xf>
    <xf numFmtId="164" fontId="48" fillId="21" borderId="0" xfId="0" applyNumberFormat="1" applyFont="1" applyFill="1" applyAlignment="1" applyProtection="1">
      <alignment horizontal="right"/>
    </xf>
    <xf numFmtId="164" fontId="48" fillId="21" borderId="0" xfId="0" applyNumberFormat="1" applyFont="1" applyFill="1" applyAlignment="1" applyProtection="1"/>
    <xf numFmtId="49" fontId="49" fillId="21" borderId="0" xfId="0" applyNumberFormat="1" applyFont="1" applyFill="1" applyAlignment="1" applyProtection="1">
      <alignment horizontal="center"/>
    </xf>
    <xf numFmtId="0" fontId="31" fillId="21" borderId="0" xfId="8" applyFont="1" applyFill="1" applyAlignment="1">
      <alignment horizontal="center"/>
    </xf>
    <xf numFmtId="164" fontId="43" fillId="21" borderId="0" xfId="0" applyFont="1" applyFill="1"/>
    <xf numFmtId="0" fontId="31" fillId="21" borderId="0" xfId="61" applyFont="1" applyFill="1"/>
    <xf numFmtId="164" fontId="22" fillId="21" borderId="0" xfId="0" applyNumberFormat="1" applyFont="1" applyFill="1" applyAlignment="1" applyProtection="1"/>
    <xf numFmtId="0" fontId="50" fillId="21" borderId="0" xfId="192" applyFill="1"/>
    <xf numFmtId="0" fontId="28" fillId="21" borderId="0" xfId="8" applyFont="1" applyFill="1"/>
    <xf numFmtId="164" fontId="51" fillId="21" borderId="0" xfId="0" applyFont="1" applyFill="1"/>
    <xf numFmtId="164" fontId="51" fillId="21" borderId="0" xfId="0" applyFont="1" applyFill="1" applyAlignment="1">
      <alignment horizontal="left" indent="1"/>
    </xf>
    <xf numFmtId="164" fontId="42" fillId="21" borderId="0" xfId="0" applyNumberFormat="1" applyFont="1" applyFill="1" applyProtection="1"/>
    <xf numFmtId="0" fontId="28" fillId="21" borderId="0" xfId="6" applyFont="1" applyFill="1"/>
    <xf numFmtId="0" fontId="28" fillId="21" borderId="0" xfId="6" applyFont="1" applyFill="1" applyBorder="1" applyAlignment="1">
      <alignment horizontal="center"/>
    </xf>
    <xf numFmtId="0" fontId="28" fillId="21" borderId="0" xfId="6" applyFont="1" applyFill="1" applyBorder="1" applyAlignment="1">
      <alignment horizontal="right"/>
    </xf>
    <xf numFmtId="0" fontId="30" fillId="21" borderId="0" xfId="6" quotePrefix="1" applyFont="1" applyFill="1"/>
    <xf numFmtId="1" fontId="28" fillId="21" borderId="0" xfId="6" applyNumberFormat="1" applyFont="1" applyFill="1" applyBorder="1" applyAlignment="1">
      <alignment horizontal="left"/>
    </xf>
    <xf numFmtId="49" fontId="28" fillId="21" borderId="0" xfId="6" applyNumberFormat="1" applyFont="1" applyFill="1" applyAlignment="1">
      <alignment horizontal="left"/>
    </xf>
    <xf numFmtId="0" fontId="35" fillId="21" borderId="0" xfId="6" applyFont="1" applyFill="1"/>
    <xf numFmtId="0" fontId="30" fillId="21" borderId="0" xfId="144" applyFont="1" applyFill="1"/>
    <xf numFmtId="0" fontId="45" fillId="21" borderId="0" xfId="8" applyFont="1" applyFill="1"/>
    <xf numFmtId="164" fontId="53" fillId="21" borderId="0" xfId="0" applyFont="1" applyFill="1"/>
    <xf numFmtId="164" fontId="54" fillId="21" borderId="0" xfId="0" applyFont="1" applyFill="1"/>
    <xf numFmtId="0" fontId="46" fillId="21" borderId="0" xfId="162" applyFont="1" applyFill="1"/>
    <xf numFmtId="164" fontId="55" fillId="21" borderId="0" xfId="0" applyFont="1" applyFill="1"/>
    <xf numFmtId="14" fontId="22" fillId="21" borderId="0" xfId="0" applyNumberFormat="1" applyFont="1" applyFill="1" applyAlignment="1" applyProtection="1">
      <alignment horizontal="left"/>
    </xf>
    <xf numFmtId="164" fontId="48" fillId="21" borderId="0" xfId="0" applyNumberFormat="1" applyFont="1" applyFill="1" applyBorder="1" applyAlignment="1" applyProtection="1"/>
    <xf numFmtId="0" fontId="17" fillId="21" borderId="0" xfId="17" applyFont="1" applyFill="1"/>
    <xf numFmtId="0" fontId="34" fillId="21" borderId="0" xfId="17" applyFont="1" applyFill="1" applyAlignment="1">
      <alignment horizontal="right"/>
    </xf>
    <xf numFmtId="164" fontId="19" fillId="21" borderId="0" xfId="0" applyNumberFormat="1" applyFont="1" applyFill="1" applyAlignment="1" applyProtection="1"/>
    <xf numFmtId="0" fontId="30" fillId="21" borderId="0" xfId="6" applyFont="1" applyFill="1"/>
    <xf numFmtId="0" fontId="30" fillId="21" borderId="0" xfId="6" applyFont="1" applyFill="1" applyBorder="1" applyAlignment="1">
      <alignment horizontal="center"/>
    </xf>
    <xf numFmtId="0" fontId="30" fillId="21" borderId="0" xfId="6" applyFont="1" applyFill="1" applyBorder="1" applyAlignment="1">
      <alignment horizontal="right"/>
    </xf>
    <xf numFmtId="0" fontId="30" fillId="21" borderId="0" xfId="6" applyFont="1" applyFill="1" applyBorder="1" applyAlignment="1"/>
    <xf numFmtId="165" fontId="22" fillId="21" borderId="0" xfId="0" applyNumberFormat="1" applyFont="1" applyFill="1" applyAlignment="1" applyProtection="1">
      <alignment horizontal="right"/>
    </xf>
    <xf numFmtId="164" fontId="61" fillId="21" borderId="0" xfId="0" applyNumberFormat="1" applyFont="1" applyFill="1" applyProtection="1"/>
    <xf numFmtId="164" fontId="61" fillId="21" borderId="0" xfId="0" applyNumberFormat="1" applyFont="1" applyFill="1" applyAlignment="1" applyProtection="1">
      <alignment horizontal="left"/>
    </xf>
    <xf numFmtId="5" fontId="62" fillId="21" borderId="0" xfId="0" applyNumberFormat="1" applyFont="1" applyFill="1" applyProtection="1"/>
    <xf numFmtId="164" fontId="61" fillId="0" borderId="0" xfId="0" applyNumberFormat="1" applyFont="1" applyFill="1" applyProtection="1"/>
    <xf numFmtId="164" fontId="61" fillId="21" borderId="0" xfId="0" applyNumberFormat="1" applyFont="1" applyFill="1" applyAlignment="1" applyProtection="1">
      <alignment horizontal="center"/>
    </xf>
    <xf numFmtId="164" fontId="63" fillId="21" borderId="0" xfId="0" applyNumberFormat="1" applyFont="1" applyFill="1" applyAlignment="1" applyProtection="1">
      <alignment horizontal="center"/>
    </xf>
    <xf numFmtId="5" fontId="61" fillId="21" borderId="0" xfId="0" applyNumberFormat="1" applyFont="1" applyFill="1" applyProtection="1"/>
    <xf numFmtId="5" fontId="61" fillId="0" borderId="0" xfId="0" applyNumberFormat="1" applyFont="1" applyFill="1" applyProtection="1"/>
    <xf numFmtId="14" fontId="22" fillId="21" borderId="0" xfId="0" applyNumberFormat="1" applyFont="1" applyFill="1" applyAlignment="1" applyProtection="1">
      <alignment horizontal="right"/>
    </xf>
    <xf numFmtId="0" fontId="28" fillId="21" borderId="0" xfId="192" applyFont="1" applyFill="1"/>
    <xf numFmtId="164" fontId="28" fillId="21" borderId="0" xfId="0" applyFont="1" applyFill="1"/>
    <xf numFmtId="164" fontId="55" fillId="0" borderId="0" xfId="0" applyFont="1"/>
    <xf numFmtId="14" fontId="22" fillId="21" borderId="0" xfId="0" applyNumberFormat="1" applyFont="1" applyFill="1" applyAlignment="1" applyProtection="1">
      <alignment horizontal="center"/>
    </xf>
    <xf numFmtId="164" fontId="65" fillId="21" borderId="0" xfId="0" applyFont="1" applyFill="1"/>
    <xf numFmtId="164" fontId="66" fillId="0" borderId="0" xfId="0" applyFont="1"/>
    <xf numFmtId="164" fontId="64" fillId="21" borderId="0" xfId="0" applyNumberFormat="1" applyFont="1" applyFill="1" applyAlignment="1" applyProtection="1">
      <alignment horizontal="right"/>
    </xf>
    <xf numFmtId="0" fontId="31" fillId="21" borderId="3" xfId="8" applyFont="1" applyFill="1" applyBorder="1" applyAlignment="1">
      <alignment horizontal="center"/>
    </xf>
    <xf numFmtId="0" fontId="28" fillId="21" borderId="0" xfId="39" applyFont="1" applyFill="1"/>
    <xf numFmtId="0" fontId="35" fillId="21" borderId="0" xfId="39" applyFill="1"/>
    <xf numFmtId="164" fontId="21" fillId="21" borderId="0" xfId="193" applyNumberFormat="1" applyFont="1" applyFill="1" applyProtection="1"/>
    <xf numFmtId="164" fontId="55" fillId="21" borderId="0" xfId="193" applyFont="1" applyFill="1"/>
    <xf numFmtId="164" fontId="25" fillId="21" borderId="0" xfId="193" applyFont="1" applyFill="1"/>
    <xf numFmtId="164" fontId="19" fillId="21" borderId="0" xfId="193" applyNumberFormat="1" applyFont="1" applyFill="1" applyProtection="1"/>
    <xf numFmtId="164" fontId="18" fillId="21" borderId="0" xfId="193" applyNumberFormat="1" applyFont="1" applyFill="1" applyProtection="1"/>
    <xf numFmtId="164" fontId="43" fillId="21" borderId="0" xfId="193" applyFont="1" applyFill="1"/>
    <xf numFmtId="164" fontId="41" fillId="21" borderId="0" xfId="193" applyFill="1"/>
    <xf numFmtId="49" fontId="18" fillId="21" borderId="0" xfId="193" applyNumberFormat="1" applyFont="1" applyFill="1" applyAlignment="1" applyProtection="1">
      <alignment horizontal="center"/>
    </xf>
    <xf numFmtId="0" fontId="35" fillId="21" borderId="0" xfId="6" applyFont="1" applyFill="1" applyAlignment="1">
      <alignment horizontal="center"/>
    </xf>
    <xf numFmtId="164" fontId="67" fillId="21" borderId="0" xfId="0" applyFont="1" applyFill="1"/>
    <xf numFmtId="164" fontId="68" fillId="21" borderId="0" xfId="0" applyNumberFormat="1" applyFont="1" applyFill="1" applyProtection="1"/>
    <xf numFmtId="164" fontId="70" fillId="0" borderId="0" xfId="0" applyNumberFormat="1" applyFont="1" applyProtection="1"/>
    <xf numFmtId="164" fontId="53" fillId="0" borderId="0" xfId="0" applyFont="1"/>
    <xf numFmtId="164" fontId="70" fillId="21" borderId="0" xfId="0" applyNumberFormat="1" applyFont="1" applyFill="1" applyProtection="1"/>
    <xf numFmtId="164" fontId="69" fillId="21" borderId="0" xfId="0" applyNumberFormat="1" applyFont="1" applyFill="1" applyAlignment="1" applyProtection="1">
      <alignment horizontal="center"/>
    </xf>
    <xf numFmtId="5" fontId="70" fillId="21" borderId="0" xfId="0" applyNumberFormat="1" applyFont="1" applyFill="1" applyProtection="1"/>
    <xf numFmtId="5" fontId="69" fillId="21" borderId="0" xfId="0" applyNumberFormat="1" applyFont="1" applyFill="1" applyProtection="1"/>
    <xf numFmtId="164" fontId="71" fillId="21" borderId="0" xfId="0" applyNumberFormat="1" applyFont="1" applyFill="1" applyProtection="1"/>
    <xf numFmtId="164" fontId="53" fillId="21" borderId="0" xfId="0" applyFont="1" applyFill="1" applyAlignment="1">
      <alignment horizontal="center"/>
    </xf>
    <xf numFmtId="172" fontId="70" fillId="21" borderId="0" xfId="0" applyNumberFormat="1" applyFont="1" applyFill="1" applyAlignment="1" applyProtection="1">
      <alignment horizontal="right"/>
    </xf>
    <xf numFmtId="164" fontId="57" fillId="21" borderId="0" xfId="0" applyFont="1" applyFill="1"/>
    <xf numFmtId="0" fontId="54" fillId="0" borderId="0" xfId="8" applyFont="1"/>
    <xf numFmtId="0" fontId="54" fillId="21" borderId="0" xfId="8" applyFont="1" applyFill="1"/>
    <xf numFmtId="0" fontId="53" fillId="21" borderId="0" xfId="8" applyFont="1" applyFill="1"/>
    <xf numFmtId="168" fontId="53" fillId="21" borderId="0" xfId="8" applyNumberFormat="1" applyFont="1" applyFill="1"/>
    <xf numFmtId="3" fontId="54" fillId="21" borderId="0" xfId="8" applyNumberFormat="1" applyFont="1" applyFill="1"/>
    <xf numFmtId="164" fontId="69" fillId="21" borderId="0" xfId="0" applyNumberFormat="1" applyFont="1" applyFill="1" applyBorder="1" applyAlignment="1" applyProtection="1"/>
    <xf numFmtId="0" fontId="53" fillId="21" borderId="0" xfId="39" applyFont="1" applyFill="1"/>
    <xf numFmtId="164" fontId="35" fillId="0" borderId="0" xfId="0" applyFont="1"/>
    <xf numFmtId="10" fontId="69" fillId="21" borderId="0" xfId="0" applyNumberFormat="1" applyFont="1" applyFill="1" applyBorder="1" applyProtection="1"/>
    <xf numFmtId="164" fontId="28" fillId="0" borderId="0" xfId="0" applyFont="1"/>
    <xf numFmtId="14" fontId="30" fillId="21" borderId="0" xfId="0" applyNumberFormat="1" applyFont="1" applyFill="1" applyAlignment="1" applyProtection="1">
      <alignment horizontal="right"/>
    </xf>
    <xf numFmtId="3" fontId="54" fillId="21" borderId="0" xfId="8" applyNumberFormat="1" applyFont="1" applyFill="1" applyBorder="1"/>
    <xf numFmtId="3" fontId="52" fillId="21" borderId="0" xfId="8" applyNumberFormat="1" applyFont="1" applyFill="1"/>
    <xf numFmtId="3" fontId="54" fillId="21" borderId="0" xfId="9" applyNumberFormat="1" applyFont="1" applyFill="1" applyBorder="1"/>
    <xf numFmtId="14" fontId="30" fillId="21" borderId="0" xfId="0" applyNumberFormat="1" applyFont="1" applyFill="1" applyAlignment="1" applyProtection="1">
      <alignment horizontal="left"/>
    </xf>
    <xf numFmtId="164" fontId="19" fillId="21" borderId="0" xfId="193" applyNumberFormat="1" applyFont="1" applyFill="1" applyAlignment="1" applyProtection="1">
      <alignment horizontal="center"/>
    </xf>
    <xf numFmtId="14" fontId="30" fillId="21" borderId="0" xfId="193" applyNumberFormat="1" applyFont="1" applyFill="1" applyAlignment="1" applyProtection="1">
      <alignment horizontal="right"/>
    </xf>
    <xf numFmtId="164" fontId="22" fillId="21" borderId="0" xfId="193" applyNumberFormat="1" applyFont="1" applyFill="1" applyAlignment="1" applyProtection="1">
      <alignment horizontal="right"/>
    </xf>
    <xf numFmtId="14" fontId="19" fillId="21" borderId="0" xfId="193" applyNumberFormat="1" applyFont="1" applyFill="1" applyAlignment="1" applyProtection="1">
      <alignment horizontal="center"/>
    </xf>
    <xf numFmtId="164" fontId="19" fillId="21" borderId="0" xfId="193" applyNumberFormat="1" applyFont="1" applyFill="1" applyAlignment="1" applyProtection="1"/>
    <xf numFmtId="164" fontId="19" fillId="21" borderId="0" xfId="193" applyNumberFormat="1" applyFont="1" applyFill="1" applyBorder="1" applyAlignment="1" applyProtection="1"/>
    <xf numFmtId="164" fontId="68" fillId="21" borderId="0" xfId="193" applyNumberFormat="1" applyFont="1" applyFill="1" applyAlignment="1" applyProtection="1">
      <alignment horizontal="center"/>
    </xf>
    <xf numFmtId="164" fontId="68" fillId="21" borderId="0" xfId="193" applyNumberFormat="1" applyFont="1" applyFill="1" applyAlignment="1" applyProtection="1"/>
    <xf numFmtId="164" fontId="53" fillId="21" borderId="0" xfId="193" applyFont="1" applyFill="1"/>
    <xf numFmtId="164" fontId="54" fillId="21" borderId="0" xfId="193" applyFont="1" applyFill="1"/>
    <xf numFmtId="10" fontId="52" fillId="21" borderId="0" xfId="148" applyNumberFormat="1" applyFont="1" applyFill="1" applyBorder="1" applyAlignment="1">
      <alignment horizontal="center"/>
    </xf>
    <xf numFmtId="164" fontId="41" fillId="21" borderId="0" xfId="193" applyFont="1" applyFill="1"/>
    <xf numFmtId="164" fontId="78" fillId="21" borderId="0" xfId="0" applyNumberFormat="1" applyFont="1" applyFill="1" applyProtection="1"/>
    <xf numFmtId="164" fontId="69" fillId="21" borderId="0" xfId="0" applyNumberFormat="1" applyFont="1" applyFill="1" applyProtection="1"/>
    <xf numFmtId="164" fontId="22" fillId="0" borderId="0" xfId="0" applyNumberFormat="1" applyFont="1" applyAlignment="1" applyProtection="1"/>
    <xf numFmtId="165" fontId="64" fillId="21" borderId="0" xfId="0" applyNumberFormat="1" applyFont="1" applyFill="1" applyAlignment="1" applyProtection="1">
      <alignment horizontal="right"/>
    </xf>
    <xf numFmtId="164" fontId="81" fillId="21" borderId="0" xfId="0" applyNumberFormat="1" applyFont="1" applyFill="1" applyProtection="1"/>
    <xf numFmtId="164" fontId="64" fillId="21" borderId="0" xfId="0" applyNumberFormat="1" applyFont="1" applyFill="1" applyBorder="1" applyAlignment="1" applyProtection="1">
      <alignment horizontal="center"/>
    </xf>
    <xf numFmtId="164" fontId="82" fillId="21" borderId="0" xfId="0" applyNumberFormat="1" applyFont="1" applyFill="1" applyProtection="1"/>
    <xf numFmtId="164" fontId="82" fillId="21" borderId="0" xfId="0" applyNumberFormat="1" applyFont="1" applyFill="1" applyAlignment="1" applyProtection="1">
      <alignment horizontal="left"/>
    </xf>
    <xf numFmtId="164" fontId="81" fillId="21" borderId="0" xfId="0" applyNumberFormat="1" applyFont="1" applyFill="1" applyAlignment="1" applyProtection="1">
      <alignment horizontal="left"/>
    </xf>
    <xf numFmtId="164" fontId="64" fillId="21" borderId="0" xfId="0" applyNumberFormat="1" applyFont="1" applyFill="1" applyProtection="1"/>
    <xf numFmtId="164" fontId="83" fillId="21" borderId="0" xfId="0" applyNumberFormat="1" applyFont="1" applyFill="1" applyProtection="1"/>
    <xf numFmtId="4" fontId="18" fillId="21" borderId="0" xfId="0" applyNumberFormat="1" applyFont="1" applyFill="1" applyProtection="1"/>
    <xf numFmtId="4" fontId="19" fillId="21" borderId="0" xfId="0" applyNumberFormat="1" applyFont="1" applyFill="1" applyBorder="1" applyAlignment="1" applyProtection="1">
      <alignment horizontal="center"/>
    </xf>
    <xf numFmtId="43" fontId="35" fillId="21" borderId="0" xfId="161" applyFont="1" applyFill="1"/>
    <xf numFmtId="174" fontId="35" fillId="0" borderId="0" xfId="326" applyNumberFormat="1" applyFont="1" applyFill="1" applyBorder="1">
      <alignment vertical="center"/>
    </xf>
    <xf numFmtId="164" fontId="31" fillId="21" borderId="0" xfId="0" applyFont="1" applyFill="1" applyAlignment="1">
      <alignment horizontal="left"/>
    </xf>
    <xf numFmtId="0" fontId="95" fillId="21" borderId="0" xfId="387" applyFont="1" applyFill="1"/>
    <xf numFmtId="0" fontId="96" fillId="21" borderId="0" xfId="387" applyFont="1" applyFill="1"/>
    <xf numFmtId="0" fontId="5" fillId="21" borderId="0" xfId="513" applyFill="1"/>
    <xf numFmtId="0" fontId="58" fillId="21" borderId="0" xfId="513" applyFont="1" applyFill="1"/>
    <xf numFmtId="183" fontId="5" fillId="21" borderId="0" xfId="513" applyNumberFormat="1" applyFill="1"/>
    <xf numFmtId="164" fontId="22" fillId="21" borderId="0" xfId="0" applyNumberFormat="1" applyFont="1" applyFill="1" applyAlignment="1" applyProtection="1">
      <alignment horizontal="centerContinuous"/>
    </xf>
    <xf numFmtId="164" fontId="0" fillId="21" borderId="0" xfId="0" applyFill="1" applyAlignment="1">
      <alignment horizontal="centerContinuous"/>
    </xf>
    <xf numFmtId="164" fontId="22" fillId="21" borderId="0" xfId="0" applyNumberFormat="1" applyFont="1" applyFill="1" applyBorder="1" applyAlignment="1" applyProtection="1">
      <alignment horizontal="centerContinuous"/>
    </xf>
    <xf numFmtId="164" fontId="0" fillId="0" borderId="0" xfId="0" applyFill="1"/>
    <xf numFmtId="175" fontId="85" fillId="0" borderId="0" xfId="0" applyNumberFormat="1" applyFont="1" applyFill="1" applyBorder="1" applyAlignment="1" applyProtection="1"/>
    <xf numFmtId="168" fontId="53" fillId="21" borderId="0" xfId="9" applyNumberFormat="1" applyFont="1" applyFill="1" applyAlignment="1">
      <alignment horizontal="center"/>
    </xf>
    <xf numFmtId="164" fontId="53" fillId="21" borderId="0" xfId="0" applyFont="1" applyFill="1" applyAlignment="1"/>
    <xf numFmtId="164" fontId="30" fillId="21" borderId="0" xfId="0" applyFont="1" applyFill="1"/>
    <xf numFmtId="43" fontId="54" fillId="21" borderId="27" xfId="161" quotePrefix="1" applyFont="1" applyFill="1" applyBorder="1" applyAlignment="1"/>
    <xf numFmtId="164" fontId="56" fillId="21" borderId="0" xfId="0" applyFont="1" applyFill="1" applyAlignment="1">
      <alignment horizontal="center"/>
    </xf>
    <xf numFmtId="164" fontId="56" fillId="21" borderId="0" xfId="0" applyFont="1" applyFill="1" applyBorder="1" applyAlignment="1"/>
    <xf numFmtId="164" fontId="92" fillId="21" borderId="0" xfId="0" applyNumberFormat="1" applyFont="1" applyFill="1" applyAlignment="1" applyProtection="1">
      <alignment horizontal="center"/>
    </xf>
    <xf numFmtId="14" fontId="56" fillId="21" borderId="0" xfId="0" applyNumberFormat="1" applyFont="1" applyFill="1" applyAlignment="1" applyProtection="1">
      <alignment horizontal="right"/>
    </xf>
    <xf numFmtId="164" fontId="56" fillId="21" borderId="0" xfId="0" applyFont="1" applyFill="1" applyAlignment="1"/>
    <xf numFmtId="164" fontId="79" fillId="21" borderId="0" xfId="0" applyFont="1" applyFill="1" applyAlignment="1"/>
    <xf numFmtId="164" fontId="56" fillId="21" borderId="9" xfId="0" applyFont="1" applyFill="1" applyBorder="1" applyAlignment="1"/>
    <xf numFmtId="164" fontId="91" fillId="21" borderId="0" xfId="0" applyNumberFormat="1" applyFont="1" applyFill="1" applyAlignment="1" applyProtection="1"/>
    <xf numFmtId="164" fontId="92" fillId="21" borderId="0" xfId="0" applyNumberFormat="1" applyFont="1" applyFill="1" applyAlignment="1" applyProtection="1"/>
    <xf numFmtId="164" fontId="57" fillId="21" borderId="0" xfId="0" applyNumberFormat="1" applyFont="1" applyFill="1" applyAlignment="1" applyProtection="1"/>
    <xf numFmtId="164" fontId="28" fillId="21" borderId="0" xfId="0" applyFont="1" applyFill="1" applyAlignment="1"/>
    <xf numFmtId="165" fontId="92" fillId="21" borderId="0" xfId="0" applyNumberFormat="1" applyFont="1" applyFill="1" applyAlignment="1" applyProtection="1"/>
    <xf numFmtId="164" fontId="35" fillId="21" borderId="0" xfId="0" applyFont="1" applyFill="1" applyAlignment="1"/>
    <xf numFmtId="164" fontId="57" fillId="21" borderId="0" xfId="0" applyFont="1" applyFill="1" applyAlignment="1"/>
    <xf numFmtId="164" fontId="53" fillId="21" borderId="9" xfId="0" applyFont="1" applyFill="1" applyBorder="1" applyAlignment="1"/>
    <xf numFmtId="0" fontId="30" fillId="0" borderId="0" xfId="8" applyFont="1" applyFill="1"/>
    <xf numFmtId="3" fontId="30" fillId="0" borderId="0" xfId="8" applyNumberFormat="1" applyFont="1" applyFill="1"/>
    <xf numFmtId="164" fontId="21" fillId="0" borderId="0" xfId="0" applyNumberFormat="1" applyFont="1" applyFill="1" applyProtection="1"/>
    <xf numFmtId="164" fontId="18" fillId="0" borderId="0" xfId="0" applyNumberFormat="1" applyFont="1" applyFill="1" applyProtection="1"/>
    <xf numFmtId="49" fontId="49" fillId="0" borderId="0" xfId="0" applyNumberFormat="1" applyFont="1" applyFill="1" applyAlignment="1" applyProtection="1">
      <alignment horizontal="center"/>
    </xf>
    <xf numFmtId="0" fontId="28" fillId="0" borderId="0" xfId="387" applyFont="1" applyFill="1" applyAlignment="1">
      <alignment horizontal="center"/>
    </xf>
    <xf numFmtId="0" fontId="28" fillId="0" borderId="0" xfId="387" applyFont="1" applyFill="1"/>
    <xf numFmtId="0" fontId="54" fillId="0" borderId="0" xfId="8" applyFont="1" applyFill="1"/>
    <xf numFmtId="0" fontId="54" fillId="0" borderId="0" xfId="8" applyFont="1" applyFill="1" applyAlignment="1">
      <alignment horizontal="right"/>
    </xf>
    <xf numFmtId="0" fontId="52" fillId="0" borderId="0" xfId="8" applyFont="1" applyFill="1" applyAlignment="1">
      <alignment horizontal="left"/>
    </xf>
    <xf numFmtId="164" fontId="19" fillId="0" borderId="0" xfId="0" applyNumberFormat="1" applyFont="1" applyFill="1" applyAlignment="1" applyProtection="1"/>
    <xf numFmtId="164" fontId="19" fillId="0" borderId="0" xfId="0" applyNumberFormat="1" applyFont="1" applyFill="1" applyBorder="1" applyAlignment="1" applyProtection="1"/>
    <xf numFmtId="0" fontId="54" fillId="0" borderId="0" xfId="8" applyFont="1" applyFill="1" applyAlignment="1">
      <alignment horizontal="left"/>
    </xf>
    <xf numFmtId="3" fontId="54" fillId="0" borderId="0" xfId="8" applyNumberFormat="1" applyFont="1" applyFill="1"/>
    <xf numFmtId="3" fontId="54" fillId="0" borderId="0" xfId="8" applyNumberFormat="1" applyFont="1" applyFill="1" applyAlignment="1">
      <alignment horizontal="center"/>
    </xf>
    <xf numFmtId="3" fontId="54" fillId="0" borderId="0" xfId="8" applyNumberFormat="1" applyFont="1" applyFill="1" applyAlignment="1">
      <alignment horizontal="right"/>
    </xf>
    <xf numFmtId="3" fontId="72" fillId="0" borderId="0" xfId="8" applyNumberFormat="1" applyFont="1" applyFill="1" applyBorder="1" applyAlignment="1">
      <alignment horizontal="left"/>
    </xf>
    <xf numFmtId="3" fontId="73" fillId="0" borderId="0" xfId="8" applyNumberFormat="1" applyFont="1" applyFill="1" applyBorder="1" applyAlignment="1">
      <alignment horizontal="right"/>
    </xf>
    <xf numFmtId="3" fontId="54" fillId="0" borderId="0" xfId="8" applyNumberFormat="1" applyFont="1" applyFill="1" applyAlignment="1">
      <alignment horizontal="left"/>
    </xf>
    <xf numFmtId="3" fontId="52" fillId="0" borderId="0" xfId="8" applyNumberFormat="1" applyFont="1" applyFill="1" applyBorder="1" applyAlignment="1">
      <alignment horizontal="left"/>
    </xf>
    <xf numFmtId="164" fontId="19" fillId="21" borderId="0" xfId="0" applyNumberFormat="1" applyFont="1" applyFill="1" applyAlignment="1" applyProtection="1">
      <alignment horizontal="center"/>
    </xf>
    <xf numFmtId="164" fontId="19" fillId="21" borderId="0" xfId="0" applyNumberFormat="1" applyFont="1" applyFill="1" applyBorder="1" applyAlignment="1" applyProtection="1">
      <alignment horizontal="center"/>
    </xf>
    <xf numFmtId="164" fontId="30" fillId="21" borderId="0" xfId="0" applyFont="1" applyFill="1" applyAlignment="1">
      <alignment horizontal="center"/>
    </xf>
    <xf numFmtId="164" fontId="19" fillId="21" borderId="0" xfId="193" applyNumberFormat="1" applyFont="1" applyFill="1" applyAlignment="1" applyProtection="1">
      <alignment horizontal="center"/>
    </xf>
    <xf numFmtId="0" fontId="31" fillId="21" borderId="0" xfId="8" applyFont="1" applyFill="1" applyBorder="1" applyAlignment="1">
      <alignment horizontal="center"/>
    </xf>
    <xf numFmtId="168" fontId="69" fillId="21" borderId="0" xfId="161" applyNumberFormat="1" applyFont="1" applyFill="1" applyProtection="1"/>
    <xf numFmtId="164" fontId="98" fillId="21" borderId="0" xfId="0" applyFont="1" applyFill="1"/>
    <xf numFmtId="164" fontId="103" fillId="21" borderId="0" xfId="0" applyFont="1" applyFill="1"/>
    <xf numFmtId="0" fontId="28" fillId="21" borderId="0" xfId="61" applyFont="1" applyFill="1"/>
    <xf numFmtId="0" fontId="30" fillId="21" borderId="0" xfId="61" applyFont="1" applyFill="1" applyAlignment="1">
      <alignment horizontal="center"/>
    </xf>
    <xf numFmtId="0" fontId="30" fillId="21" borderId="4" xfId="61" applyFont="1" applyFill="1" applyBorder="1" applyAlignment="1">
      <alignment horizontal="center"/>
    </xf>
    <xf numFmtId="0" fontId="30" fillId="21" borderId="4" xfId="8" applyFont="1" applyFill="1" applyBorder="1" applyAlignment="1">
      <alignment horizontal="center"/>
    </xf>
    <xf numFmtId="0" fontId="30" fillId="21" borderId="0" xfId="61" applyFont="1" applyFill="1"/>
    <xf numFmtId="3" fontId="28" fillId="21" borderId="0" xfId="61" applyNumberFormat="1" applyFont="1" applyFill="1"/>
    <xf numFmtId="168" fontId="28" fillId="21" borderId="0" xfId="9" applyNumberFormat="1" applyFont="1" applyFill="1"/>
    <xf numFmtId="41" fontId="30" fillId="21" borderId="4" xfId="147" applyNumberFormat="1" applyFont="1" applyFill="1" applyBorder="1"/>
    <xf numFmtId="41" fontId="28" fillId="21" borderId="0" xfId="61" applyNumberFormat="1" applyFont="1" applyFill="1"/>
    <xf numFmtId="41" fontId="30" fillId="21" borderId="0" xfId="147" applyNumberFormat="1" applyFont="1" applyFill="1"/>
    <xf numFmtId="41" fontId="28" fillId="21" borderId="0" xfId="8" applyNumberFormat="1" applyFont="1" applyFill="1"/>
    <xf numFmtId="170" fontId="30" fillId="21" borderId="0" xfId="147" applyNumberFormat="1" applyFont="1" applyFill="1" applyBorder="1"/>
    <xf numFmtId="170" fontId="30" fillId="21" borderId="0" xfId="147" applyNumberFormat="1" applyFont="1" applyFill="1"/>
    <xf numFmtId="3" fontId="30" fillId="21" borderId="0" xfId="61" applyNumberFormat="1" applyFont="1" applyFill="1"/>
    <xf numFmtId="41" fontId="30" fillId="21" borderId="0" xfId="61" applyNumberFormat="1" applyFont="1" applyFill="1"/>
    <xf numFmtId="0" fontId="35" fillId="21" borderId="0" xfId="61" applyFont="1" applyFill="1"/>
    <xf numFmtId="3" fontId="35" fillId="21" borderId="0" xfId="61" applyNumberFormat="1" applyFont="1" applyFill="1"/>
    <xf numFmtId="164" fontId="19" fillId="21" borderId="0" xfId="0" applyNumberFormat="1" applyFont="1" applyFill="1" applyAlignment="1" applyProtection="1">
      <alignment horizontal="centerContinuous"/>
    </xf>
    <xf numFmtId="164" fontId="35" fillId="21" borderId="0" xfId="0" applyFont="1" applyFill="1" applyAlignment="1">
      <alignment horizontal="centerContinuous"/>
    </xf>
    <xf numFmtId="164" fontId="18" fillId="21" borderId="0" xfId="0" applyNumberFormat="1" applyFont="1" applyFill="1" applyAlignment="1" applyProtection="1">
      <alignment horizontal="centerContinuous"/>
    </xf>
    <xf numFmtId="49" fontId="18" fillId="21" borderId="0" xfId="0" applyNumberFormat="1" applyFont="1" applyFill="1" applyAlignment="1" applyProtection="1">
      <alignment horizontal="centerContinuous"/>
    </xf>
    <xf numFmtId="0" fontId="35" fillId="21" borderId="0" xfId="8" applyFont="1" applyFill="1" applyAlignment="1">
      <alignment horizontal="centerContinuous"/>
    </xf>
    <xf numFmtId="164" fontId="22" fillId="21" borderId="0" xfId="0" applyNumberFormat="1" applyFont="1" applyFill="1" applyBorder="1" applyAlignment="1" applyProtection="1"/>
    <xf numFmtId="0" fontId="30" fillId="21" borderId="0" xfId="8" applyFont="1" applyFill="1" applyAlignment="1">
      <alignment horizontal="center"/>
    </xf>
    <xf numFmtId="0" fontId="28" fillId="21" borderId="4" xfId="192" applyFont="1" applyFill="1" applyBorder="1"/>
    <xf numFmtId="0" fontId="97" fillId="21" borderId="0" xfId="39" applyFont="1" applyFill="1"/>
    <xf numFmtId="1" fontId="28" fillId="21" borderId="0" xfId="192" applyNumberFormat="1" applyFont="1" applyFill="1"/>
    <xf numFmtId="168" fontId="28" fillId="21" borderId="0" xfId="161" applyNumberFormat="1" applyFont="1" applyFill="1"/>
    <xf numFmtId="0" fontId="28" fillId="21" borderId="0" xfId="192" applyFont="1" applyFill="1" applyAlignment="1">
      <alignment horizontal="left"/>
    </xf>
    <xf numFmtId="1" fontId="30" fillId="21" borderId="0" xfId="192" applyNumberFormat="1" applyFont="1" applyFill="1"/>
    <xf numFmtId="41" fontId="30" fillId="21" borderId="6" xfId="147" applyNumberFormat="1" applyFont="1" applyFill="1" applyBorder="1"/>
    <xf numFmtId="41" fontId="28" fillId="21" borderId="0" xfId="147" applyNumberFormat="1" applyFont="1" applyFill="1"/>
    <xf numFmtId="0" fontId="30" fillId="21" borderId="0" xfId="39" applyFont="1" applyFill="1"/>
    <xf numFmtId="0" fontId="35" fillId="21" borderId="0" xfId="192" applyFont="1" applyFill="1"/>
    <xf numFmtId="0" fontId="35" fillId="21" borderId="0" xfId="39" applyFont="1" applyFill="1"/>
    <xf numFmtId="164" fontId="28" fillId="21" borderId="0" xfId="0" applyFont="1" applyFill="1" applyAlignment="1">
      <alignment horizontal="center"/>
    </xf>
    <xf numFmtId="0" fontId="105" fillId="21" borderId="0" xfId="0" applyNumberFormat="1" applyFont="1" applyFill="1" applyBorder="1" applyAlignment="1">
      <alignment horizontal="center"/>
    </xf>
    <xf numFmtId="164" fontId="30" fillId="21" borderId="0" xfId="0" applyFont="1" applyFill="1" applyBorder="1" applyAlignment="1">
      <alignment horizontal="center"/>
    </xf>
    <xf numFmtId="164" fontId="35" fillId="21" borderId="0" xfId="0" applyFont="1" applyFill="1" applyBorder="1"/>
    <xf numFmtId="164" fontId="30" fillId="21" borderId="3" xfId="0" applyFont="1" applyFill="1" applyBorder="1" applyAlignment="1">
      <alignment horizontal="center"/>
    </xf>
    <xf numFmtId="164" fontId="35" fillId="21" borderId="3" xfId="0" applyFont="1" applyFill="1" applyBorder="1" applyAlignment="1">
      <alignment horizontal="center"/>
    </xf>
    <xf numFmtId="164" fontId="30" fillId="21" borderId="3" xfId="0" applyFont="1" applyFill="1" applyBorder="1" applyAlignment="1">
      <alignment horizontal="left"/>
    </xf>
    <xf numFmtId="14" fontId="105" fillId="21" borderId="20" xfId="0" applyNumberFormat="1" applyFont="1" applyFill="1" applyBorder="1" applyAlignment="1">
      <alignment horizontal="center"/>
    </xf>
    <xf numFmtId="0" fontId="106" fillId="21" borderId="22" xfId="0" applyNumberFormat="1" applyFont="1" applyFill="1" applyBorder="1" applyAlignment="1">
      <alignment horizontal="center"/>
    </xf>
    <xf numFmtId="0" fontId="107" fillId="21" borderId="0" xfId="0" applyNumberFormat="1" applyFont="1" applyFill="1" applyBorder="1"/>
    <xf numFmtId="168" fontId="107" fillId="21" borderId="0" xfId="161" applyNumberFormat="1" applyFont="1" applyFill="1" applyBorder="1"/>
    <xf numFmtId="171" fontId="107" fillId="21" borderId="0" xfId="148" applyNumberFormat="1" applyFont="1" applyFill="1" applyBorder="1"/>
    <xf numFmtId="168" fontId="107" fillId="21" borderId="0" xfId="0" applyNumberFormat="1" applyFont="1" applyFill="1" applyBorder="1"/>
    <xf numFmtId="170" fontId="105" fillId="21" borderId="6" xfId="147" applyNumberFormat="1" applyFont="1" applyFill="1" applyBorder="1"/>
    <xf numFmtId="41" fontId="105" fillId="21" borderId="6" xfId="147" applyNumberFormat="1" applyFont="1" applyFill="1" applyBorder="1"/>
    <xf numFmtId="168" fontId="35" fillId="21" borderId="0" xfId="161" applyNumberFormat="1" applyFont="1" applyFill="1"/>
    <xf numFmtId="0" fontId="95" fillId="21" borderId="0" xfId="17" applyFont="1" applyFill="1"/>
    <xf numFmtId="1" fontId="28" fillId="21" borderId="0" xfId="149" applyNumberFormat="1" applyFont="1" applyFill="1" applyAlignment="1">
      <alignment horizontal="center"/>
    </xf>
    <xf numFmtId="168" fontId="28" fillId="21" borderId="0" xfId="149" applyNumberFormat="1" applyFont="1" applyFill="1"/>
    <xf numFmtId="168" fontId="28" fillId="21" borderId="0" xfId="149" applyNumberFormat="1" applyFont="1" applyFill="1" applyAlignment="1">
      <alignment horizontal="right"/>
    </xf>
    <xf numFmtId="0" fontId="96" fillId="21" borderId="0" xfId="17" applyFont="1" applyFill="1" applyAlignment="1">
      <alignment horizontal="center"/>
    </xf>
    <xf numFmtId="1" fontId="30" fillId="21" borderId="0" xfId="149" applyNumberFormat="1" applyFont="1" applyFill="1" applyAlignment="1">
      <alignment horizontal="center"/>
    </xf>
    <xf numFmtId="168" fontId="30" fillId="21" borderId="0" xfId="149" applyNumberFormat="1" applyFont="1" applyFill="1" applyAlignment="1">
      <alignment horizontal="center"/>
    </xf>
    <xf numFmtId="1" fontId="109" fillId="21" borderId="0" xfId="149" applyNumberFormat="1" applyFont="1" applyFill="1" applyAlignment="1">
      <alignment horizontal="center"/>
    </xf>
    <xf numFmtId="168" fontId="109" fillId="21" borderId="0" xfId="149" applyNumberFormat="1" applyFont="1" applyFill="1" applyAlignment="1">
      <alignment horizontal="center"/>
    </xf>
    <xf numFmtId="0" fontId="109" fillId="21" borderId="0" xfId="17" applyFont="1" applyFill="1" applyAlignment="1">
      <alignment horizontal="center"/>
    </xf>
    <xf numFmtId="1" fontId="28" fillId="21" borderId="0" xfId="149" quotePrefix="1" applyNumberFormat="1" applyFont="1" applyFill="1" applyAlignment="1">
      <alignment horizontal="center"/>
    </xf>
    <xf numFmtId="0" fontId="28" fillId="21" borderId="0" xfId="17" applyFont="1" applyFill="1" applyAlignment="1">
      <alignment horizontal="right"/>
    </xf>
    <xf numFmtId="0" fontId="109" fillId="21" borderId="0" xfId="17" applyFont="1" applyFill="1" applyAlignment="1">
      <alignment horizontal="centerContinuous"/>
    </xf>
    <xf numFmtId="168" fontId="28" fillId="21" borderId="0" xfId="149" applyNumberFormat="1" applyFont="1" applyFill="1" applyAlignment="1">
      <alignment horizontal="centerContinuous"/>
    </xf>
    <xf numFmtId="168" fontId="30" fillId="21" borderId="0" xfId="149" applyNumberFormat="1" applyFont="1" applyFill="1" applyAlignment="1">
      <alignment horizontal="right"/>
    </xf>
    <xf numFmtId="1" fontId="28" fillId="21" borderId="0" xfId="149" applyNumberFormat="1" applyFont="1" applyFill="1" applyBorder="1" applyAlignment="1">
      <alignment horizontal="center"/>
    </xf>
    <xf numFmtId="1" fontId="30" fillId="21" borderId="5" xfId="149" applyNumberFormat="1" applyFont="1" applyFill="1" applyBorder="1" applyAlignment="1">
      <alignment horizontal="center"/>
    </xf>
    <xf numFmtId="0" fontId="111" fillId="21" borderId="0" xfId="17" applyFont="1" applyFill="1"/>
    <xf numFmtId="168" fontId="35" fillId="21" borderId="0" xfId="149" applyNumberFormat="1" applyFont="1" applyFill="1" applyAlignment="1">
      <alignment horizontal="right"/>
    </xf>
    <xf numFmtId="164" fontId="30" fillId="21" borderId="20" xfId="0" applyFont="1" applyFill="1" applyBorder="1" applyAlignment="1">
      <alignment horizontal="center"/>
    </xf>
    <xf numFmtId="164" fontId="98" fillId="21" borderId="0" xfId="0" applyFont="1" applyFill="1" applyAlignment="1">
      <alignment horizontal="center"/>
    </xf>
    <xf numFmtId="164" fontId="104" fillId="21" borderId="0" xfId="0" applyFont="1" applyFill="1"/>
    <xf numFmtId="164" fontId="28" fillId="21" borderId="0" xfId="0" quotePrefix="1" applyFont="1" applyFill="1" applyAlignment="1">
      <alignment horizontal="center"/>
    </xf>
    <xf numFmtId="170" fontId="28" fillId="21" borderId="0" xfId="147" applyNumberFormat="1" applyFont="1" applyFill="1"/>
    <xf numFmtId="5" fontId="30" fillId="21" borderId="0" xfId="147" applyNumberFormat="1" applyFont="1" applyFill="1"/>
    <xf numFmtId="164" fontId="21" fillId="0" borderId="0" xfId="0" applyNumberFormat="1" applyFont="1" applyBorder="1" applyProtection="1"/>
    <xf numFmtId="164" fontId="35" fillId="0" borderId="0" xfId="0" applyFont="1" applyBorder="1"/>
    <xf numFmtId="164" fontId="112" fillId="0" borderId="0" xfId="0" applyNumberFormat="1" applyFont="1" applyAlignment="1" applyProtection="1">
      <alignment horizontal="center"/>
    </xf>
    <xf numFmtId="164" fontId="21" fillId="0" borderId="0" xfId="0" applyNumberFormat="1" applyFont="1" applyAlignment="1" applyProtection="1">
      <alignment horizontal="center"/>
    </xf>
    <xf numFmtId="164" fontId="22" fillId="0" borderId="1" xfId="0" applyNumberFormat="1" applyFont="1" applyBorder="1" applyAlignment="1" applyProtection="1">
      <alignment horizontal="center"/>
    </xf>
    <xf numFmtId="37" fontId="22" fillId="0" borderId="0" xfId="0" applyNumberFormat="1" applyFont="1" applyAlignment="1" applyProtection="1">
      <alignment horizontal="center"/>
    </xf>
    <xf numFmtId="164" fontId="35" fillId="0" borderId="0" xfId="0" applyFont="1" applyAlignment="1">
      <alignment horizontal="center"/>
    </xf>
    <xf numFmtId="39" fontId="22" fillId="0" borderId="0" xfId="0" applyNumberFormat="1" applyFont="1" applyAlignment="1" applyProtection="1">
      <alignment horizontal="center"/>
    </xf>
    <xf numFmtId="10" fontId="22" fillId="0" borderId="0" xfId="148" applyNumberFormat="1" applyFont="1" applyBorder="1" applyAlignment="1" applyProtection="1">
      <alignment horizontal="center"/>
    </xf>
    <xf numFmtId="10" fontId="35" fillId="0" borderId="0" xfId="148" applyNumberFormat="1" applyFont="1"/>
    <xf numFmtId="5" fontId="22" fillId="0" borderId="0" xfId="0" applyNumberFormat="1" applyFont="1" applyAlignment="1" applyProtection="1">
      <alignment horizontal="center"/>
    </xf>
    <xf numFmtId="164" fontId="35" fillId="21" borderId="0" xfId="193" applyFont="1" applyFill="1"/>
    <xf numFmtId="164" fontId="30" fillId="21" borderId="0" xfId="193" applyFont="1" applyFill="1" applyAlignment="1">
      <alignment horizontal="center"/>
    </xf>
    <xf numFmtId="164" fontId="28" fillId="21" borderId="0" xfId="193" applyFont="1" applyFill="1"/>
    <xf numFmtId="164" fontId="30" fillId="21" borderId="0" xfId="193" applyFont="1" applyFill="1"/>
    <xf numFmtId="164" fontId="30" fillId="21" borderId="20" xfId="0" applyFont="1" applyFill="1" applyBorder="1"/>
    <xf numFmtId="164" fontId="98" fillId="21" borderId="0" xfId="193" applyFont="1" applyFill="1" applyAlignment="1">
      <alignment horizontal="center"/>
    </xf>
    <xf numFmtId="164" fontId="30" fillId="21" borderId="20" xfId="193" applyFont="1" applyFill="1" applyBorder="1"/>
    <xf numFmtId="164" fontId="30" fillId="21" borderId="20" xfId="193" applyFont="1" applyFill="1" applyBorder="1" applyAlignment="1">
      <alignment horizontal="center"/>
    </xf>
    <xf numFmtId="164" fontId="28" fillId="21" borderId="0" xfId="193" applyFont="1" applyFill="1" applyAlignment="1">
      <alignment horizontal="center"/>
    </xf>
    <xf numFmtId="164" fontId="98" fillId="21" borderId="0" xfId="193" applyFont="1" applyFill="1"/>
    <xf numFmtId="164" fontId="104" fillId="21" borderId="0" xfId="193" applyFont="1" applyFill="1"/>
    <xf numFmtId="164" fontId="28" fillId="21" borderId="0" xfId="0" quotePrefix="1" applyFont="1" applyFill="1" applyAlignment="1">
      <alignment horizontal="left"/>
    </xf>
    <xf numFmtId="168" fontId="28" fillId="21" borderId="0" xfId="194" applyNumberFormat="1" applyFont="1" applyFill="1"/>
    <xf numFmtId="168" fontId="28" fillId="21" borderId="0" xfId="161" applyNumberFormat="1" applyFont="1" applyFill="1" applyBorder="1"/>
    <xf numFmtId="168" fontId="30" fillId="21" borderId="0" xfId="161" applyNumberFormat="1" applyFont="1" applyFill="1"/>
    <xf numFmtId="10" fontId="28" fillId="21" borderId="0" xfId="148" applyNumberFormat="1" applyFont="1" applyFill="1" applyBorder="1" applyAlignment="1">
      <alignment horizontal="center"/>
    </xf>
    <xf numFmtId="168" fontId="30" fillId="21" borderId="20" xfId="161" applyNumberFormat="1" applyFont="1" applyFill="1" applyBorder="1"/>
    <xf numFmtId="167" fontId="30" fillId="21" borderId="0" xfId="193" applyNumberFormat="1" applyFont="1" applyFill="1"/>
    <xf numFmtId="164" fontId="21" fillId="21" borderId="0" xfId="193" applyNumberFormat="1" applyFont="1" applyFill="1" applyAlignment="1" applyProtection="1">
      <alignment horizontal="left" indent="1"/>
    </xf>
    <xf numFmtId="168" fontId="30" fillId="21" borderId="14" xfId="161" applyNumberFormat="1" applyFont="1" applyFill="1" applyBorder="1"/>
    <xf numFmtId="10" fontId="30" fillId="21" borderId="0" xfId="148" applyNumberFormat="1" applyFont="1" applyFill="1" applyBorder="1" applyAlignment="1">
      <alignment horizontal="center"/>
    </xf>
    <xf numFmtId="164" fontId="103" fillId="21" borderId="0" xfId="193" applyFont="1" applyFill="1"/>
    <xf numFmtId="164" fontId="104" fillId="21" borderId="0" xfId="0" applyFont="1" applyFill="1" applyAlignment="1">
      <alignment horizontal="center"/>
    </xf>
    <xf numFmtId="164" fontId="28" fillId="21" borderId="0" xfId="193" applyFont="1" applyFill="1" applyAlignment="1"/>
    <xf numFmtId="164" fontId="106" fillId="21" borderId="0" xfId="0" applyFont="1" applyFill="1" applyAlignment="1">
      <alignment vertical="center"/>
    </xf>
    <xf numFmtId="164" fontId="31" fillId="21" borderId="0" xfId="0" applyFont="1" applyFill="1" applyAlignment="1">
      <alignment horizontal="right"/>
    </xf>
    <xf numFmtId="164" fontId="108" fillId="21" borderId="0" xfId="0" applyFont="1" applyFill="1" applyAlignment="1">
      <alignment vertical="center"/>
    </xf>
    <xf numFmtId="168" fontId="106" fillId="21" borderId="0" xfId="161" applyNumberFormat="1" applyFont="1" applyFill="1" applyAlignment="1">
      <alignment horizontal="right" vertical="center"/>
    </xf>
    <xf numFmtId="164" fontId="28" fillId="21" borderId="0" xfId="0" applyFont="1" applyFill="1" applyAlignment="1">
      <alignment wrapText="1"/>
    </xf>
    <xf numFmtId="49" fontId="21" fillId="21" borderId="0" xfId="0" applyNumberFormat="1" applyFont="1" applyFill="1" applyAlignment="1" applyProtection="1">
      <alignment horizontal="left"/>
    </xf>
    <xf numFmtId="164" fontId="30" fillId="21" borderId="3" xfId="0" applyFont="1" applyFill="1" applyBorder="1" applyAlignment="1">
      <alignment horizontal="center" wrapText="1"/>
    </xf>
    <xf numFmtId="164" fontId="30" fillId="21" borderId="0" xfId="0" applyFont="1" applyFill="1" applyBorder="1" applyAlignment="1">
      <alignment horizontal="center" wrapText="1"/>
    </xf>
    <xf numFmtId="164" fontId="28" fillId="21" borderId="0" xfId="0" applyFont="1" applyFill="1" applyBorder="1" applyAlignment="1">
      <alignment wrapText="1"/>
    </xf>
    <xf numFmtId="168" fontId="30" fillId="21" borderId="0" xfId="161" applyNumberFormat="1" applyFont="1" applyFill="1" applyBorder="1"/>
    <xf numFmtId="5" fontId="28" fillId="21" borderId="0" xfId="147" applyNumberFormat="1" applyFont="1" applyFill="1" applyBorder="1"/>
    <xf numFmtId="0" fontId="28" fillId="21" borderId="0" xfId="8" applyFont="1" applyFill="1" applyBorder="1"/>
    <xf numFmtId="0" fontId="95" fillId="21" borderId="0" xfId="162" applyFont="1" applyFill="1"/>
    <xf numFmtId="0" fontId="96" fillId="21" borderId="0" xfId="162" applyFont="1" applyFill="1" applyAlignment="1">
      <alignment horizontal="center"/>
    </xf>
    <xf numFmtId="0" fontId="96" fillId="21" borderId="3" xfId="162" applyFont="1" applyFill="1" applyBorder="1" applyAlignment="1">
      <alignment horizontal="center"/>
    </xf>
    <xf numFmtId="0" fontId="96" fillId="21" borderId="0" xfId="162" applyFont="1" applyFill="1" applyBorder="1" applyAlignment="1">
      <alignment horizontal="center"/>
    </xf>
    <xf numFmtId="0" fontId="96" fillId="21" borderId="0" xfId="162" applyFont="1" applyFill="1"/>
    <xf numFmtId="41" fontId="95" fillId="21" borderId="0" xfId="162" applyNumberFormat="1" applyFont="1" applyFill="1"/>
    <xf numFmtId="41" fontId="96" fillId="21" borderId="5" xfId="162" applyNumberFormat="1" applyFont="1" applyFill="1" applyBorder="1"/>
    <xf numFmtId="41" fontId="96" fillId="21" borderId="0" xfId="162" applyNumberFormat="1" applyFont="1" applyFill="1"/>
    <xf numFmtId="41" fontId="30" fillId="21" borderId="0" xfId="163" applyNumberFormat="1" applyFont="1" applyFill="1"/>
    <xf numFmtId="0" fontId="14" fillId="21" borderId="0" xfId="162" quotePrefix="1" applyFont="1" applyFill="1"/>
    <xf numFmtId="0" fontId="14" fillId="21" borderId="0" xfId="162" applyFont="1" applyFill="1"/>
    <xf numFmtId="0" fontId="28" fillId="21" borderId="0" xfId="144" applyFont="1" applyFill="1"/>
    <xf numFmtId="0" fontId="28" fillId="21" borderId="0" xfId="144" applyFont="1" applyFill="1" applyAlignment="1">
      <alignment horizontal="center"/>
    </xf>
    <xf numFmtId="0" fontId="30" fillId="21" borderId="3" xfId="144" applyFont="1" applyFill="1" applyBorder="1" applyAlignment="1">
      <alignment horizontal="center"/>
    </xf>
    <xf numFmtId="0" fontId="30" fillId="21" borderId="0" xfId="144" applyFont="1" applyFill="1" applyBorder="1" applyAlignment="1">
      <alignment horizontal="center"/>
    </xf>
    <xf numFmtId="5" fontId="28" fillId="21" borderId="0" xfId="147" applyNumberFormat="1" applyFont="1" applyFill="1"/>
    <xf numFmtId="164" fontId="28" fillId="21" borderId="0" xfId="0" applyFont="1" applyFill="1" applyBorder="1" applyAlignment="1">
      <alignment horizontal="center" wrapText="1"/>
    </xf>
    <xf numFmtId="0" fontId="35" fillId="21" borderId="0" xfId="8" applyFont="1" applyFill="1" applyAlignment="1">
      <alignment horizontal="center"/>
    </xf>
    <xf numFmtId="168" fontId="111" fillId="21" borderId="0" xfId="9" applyNumberFormat="1" applyFont="1" applyFill="1" applyBorder="1"/>
    <xf numFmtId="168" fontId="111" fillId="21" borderId="0" xfId="9" applyNumberFormat="1" applyFont="1" applyFill="1"/>
    <xf numFmtId="168" fontId="114" fillId="21" borderId="0" xfId="9" applyNumberFormat="1" applyFont="1" applyFill="1"/>
    <xf numFmtId="168" fontId="114" fillId="21" borderId="0" xfId="9" applyNumberFormat="1" applyFont="1" applyFill="1" applyBorder="1"/>
    <xf numFmtId="3" fontId="111" fillId="21" borderId="0" xfId="9" applyNumberFormat="1" applyFont="1" applyFill="1"/>
    <xf numFmtId="10" fontId="113" fillId="21" borderId="0" xfId="148" applyNumberFormat="1" applyFont="1" applyFill="1"/>
    <xf numFmtId="164" fontId="116" fillId="21" borderId="0" xfId="0" applyNumberFormat="1" applyFont="1" applyFill="1" applyAlignment="1" applyProtection="1"/>
    <xf numFmtId="164" fontId="117" fillId="0" borderId="0" xfId="0" applyNumberFormat="1" applyFont="1" applyProtection="1"/>
    <xf numFmtId="164" fontId="117" fillId="21" borderId="0" xfId="0" applyNumberFormat="1" applyFont="1" applyFill="1" applyProtection="1"/>
    <xf numFmtId="164" fontId="19" fillId="21" borderId="0" xfId="0" applyNumberFormat="1" applyFont="1" applyFill="1" applyAlignment="1" applyProtection="1">
      <alignment horizontal="center"/>
    </xf>
    <xf numFmtId="164" fontId="48" fillId="21" borderId="0" xfId="0" applyNumberFormat="1" applyFont="1" applyFill="1" applyAlignment="1" applyProtection="1">
      <alignment horizontal="center"/>
    </xf>
    <xf numFmtId="164" fontId="21" fillId="0" borderId="35" xfId="0" applyNumberFormat="1" applyFont="1" applyFill="1" applyBorder="1" applyProtection="1"/>
    <xf numFmtId="43" fontId="0" fillId="0" borderId="0" xfId="410" applyFont="1" applyFill="1"/>
    <xf numFmtId="43" fontId="28" fillId="0" borderId="0" xfId="410" applyFont="1" applyFill="1"/>
    <xf numFmtId="0" fontId="30" fillId="39" borderId="0" xfId="420" applyFont="1" applyFill="1" applyBorder="1" applyAlignment="1">
      <alignment horizontal="center"/>
    </xf>
    <xf numFmtId="3" fontId="97" fillId="39" borderId="0" xfId="8" applyNumberFormat="1" applyFont="1" applyFill="1" applyAlignment="1">
      <alignment horizontal="center"/>
    </xf>
    <xf numFmtId="43" fontId="54" fillId="0" borderId="0" xfId="410" applyFont="1" applyFill="1"/>
    <xf numFmtId="43" fontId="95" fillId="0" borderId="0" xfId="410" applyFont="1" applyFill="1"/>
    <xf numFmtId="43" fontId="54" fillId="0" borderId="0" xfId="410" applyFont="1" applyFill="1" applyBorder="1"/>
    <xf numFmtId="43" fontId="25" fillId="21" borderId="0" xfId="410" applyFont="1" applyFill="1"/>
    <xf numFmtId="43" fontId="0" fillId="21" borderId="0" xfId="410" applyFont="1" applyFill="1"/>
    <xf numFmtId="43" fontId="58" fillId="21" borderId="0" xfId="410" applyFont="1" applyFill="1"/>
    <xf numFmtId="43" fontId="4" fillId="21" borderId="0" xfId="410" applyFont="1" applyFill="1"/>
    <xf numFmtId="41" fontId="28" fillId="21" borderId="0" xfId="363" applyNumberFormat="1" applyFont="1" applyFill="1"/>
    <xf numFmtId="41" fontId="30" fillId="21" borderId="0" xfId="363" applyNumberFormat="1" applyFont="1" applyFill="1"/>
    <xf numFmtId="0" fontId="28" fillId="21" borderId="0" xfId="144" applyFont="1" applyFill="1" applyAlignment="1">
      <alignment horizontal="left"/>
    </xf>
    <xf numFmtId="41" fontId="60" fillId="21" borderId="0" xfId="147" applyNumberFormat="1" applyFont="1" applyFill="1" applyBorder="1" applyAlignment="1"/>
    <xf numFmtId="169" fontId="54" fillId="21" borderId="0" xfId="0" applyNumberFormat="1" applyFont="1" applyFill="1"/>
    <xf numFmtId="169" fontId="54" fillId="21" borderId="0" xfId="410" applyNumberFormat="1" applyFont="1" applyFill="1"/>
    <xf numFmtId="169" fontId="53" fillId="21" borderId="0" xfId="0" applyNumberFormat="1" applyFont="1" applyFill="1"/>
    <xf numFmtId="169" fontId="102" fillId="21" borderId="0" xfId="0" applyNumberFormat="1" applyFont="1" applyFill="1"/>
    <xf numFmtId="169" fontId="53" fillId="21" borderId="0" xfId="410" applyNumberFormat="1" applyFont="1" applyFill="1"/>
    <xf numFmtId="169" fontId="53" fillId="21" borderId="0" xfId="0" applyNumberFormat="1" applyFont="1" applyFill="1" applyAlignment="1">
      <alignment horizontal="center"/>
    </xf>
    <xf numFmtId="169" fontId="67" fillId="21" borderId="0" xfId="0" applyNumberFormat="1" applyFont="1" applyFill="1" applyAlignment="1">
      <alignment horizontal="center"/>
    </xf>
    <xf numFmtId="0" fontId="52" fillId="21" borderId="0" xfId="8" quotePrefix="1" applyFont="1" applyFill="1" applyBorder="1" applyAlignment="1">
      <alignment horizontal="center"/>
    </xf>
    <xf numFmtId="41" fontId="30" fillId="21" borderId="14" xfId="192" applyNumberFormat="1" applyFont="1" applyFill="1" applyBorder="1"/>
    <xf numFmtId="164" fontId="119" fillId="21" borderId="0" xfId="0" applyFont="1" applyFill="1"/>
    <xf numFmtId="0" fontId="49" fillId="21" borderId="0" xfId="39" applyFont="1" applyFill="1"/>
    <xf numFmtId="0" fontId="49" fillId="21" borderId="0" xfId="192" applyFont="1" applyFill="1"/>
    <xf numFmtId="0" fontId="49" fillId="21" borderId="0" xfId="8" applyFont="1" applyFill="1"/>
    <xf numFmtId="164" fontId="116" fillId="21" borderId="0" xfId="0" applyNumberFormat="1" applyFont="1" applyFill="1" applyProtection="1"/>
    <xf numFmtId="0" fontId="30" fillId="0" borderId="0" xfId="8" applyFont="1"/>
    <xf numFmtId="0" fontId="35" fillId="0" borderId="0" xfId="8" applyFont="1"/>
    <xf numFmtId="3" fontId="28" fillId="0" borderId="0" xfId="8" applyNumberFormat="1" applyFont="1" applyFill="1"/>
    <xf numFmtId="3" fontId="28" fillId="0" borderId="0" xfId="8" applyNumberFormat="1" applyFont="1" applyFill="1" applyAlignment="1">
      <alignment horizontal="center"/>
    </xf>
    <xf numFmtId="3" fontId="97" fillId="0" borderId="0" xfId="8" applyNumberFormat="1" applyFont="1" applyFill="1" applyBorder="1" applyAlignment="1">
      <alignment horizontal="right"/>
    </xf>
    <xf numFmtId="3" fontId="28" fillId="0" borderId="0" xfId="8" applyNumberFormat="1" applyFont="1" applyFill="1" applyAlignment="1">
      <alignment horizontal="left"/>
    </xf>
    <xf numFmtId="3" fontId="28" fillId="21" borderId="0" xfId="9" applyNumberFormat="1" applyFont="1" applyFill="1" applyBorder="1"/>
    <xf numFmtId="3" fontId="28" fillId="21" borderId="0" xfId="8" applyNumberFormat="1" applyFont="1" applyFill="1" applyBorder="1"/>
    <xf numFmtId="3" fontId="28" fillId="21" borderId="0" xfId="8" applyNumberFormat="1" applyFont="1" applyFill="1"/>
    <xf numFmtId="3" fontId="28" fillId="21" borderId="3" xfId="9" applyNumberFormat="1" applyFont="1" applyFill="1" applyBorder="1"/>
    <xf numFmtId="3" fontId="28" fillId="21" borderId="3" xfId="8" applyNumberFormat="1" applyFont="1" applyFill="1" applyBorder="1"/>
    <xf numFmtId="3" fontId="28" fillId="0" borderId="0" xfId="8" applyNumberFormat="1" applyFont="1" applyFill="1" applyAlignment="1">
      <alignment horizontal="right"/>
    </xf>
    <xf numFmtId="3" fontId="30" fillId="0" borderId="0" xfId="8" applyNumberFormat="1" applyFont="1" applyFill="1" applyBorder="1" applyAlignment="1">
      <alignment horizontal="left"/>
    </xf>
    <xf numFmtId="3" fontId="30" fillId="21" borderId="0" xfId="8" applyNumberFormat="1" applyFont="1" applyFill="1"/>
    <xf numFmtId="3" fontId="48" fillId="0" borderId="0" xfId="8" applyNumberFormat="1" applyFont="1" applyFill="1" applyBorder="1" applyAlignment="1">
      <alignment horizontal="left"/>
    </xf>
    <xf numFmtId="3" fontId="30" fillId="0" borderId="0" xfId="8" applyNumberFormat="1" applyFont="1" applyFill="1" applyAlignment="1">
      <alignment horizontal="center"/>
    </xf>
    <xf numFmtId="3" fontId="30" fillId="21" borderId="0" xfId="9" applyNumberFormat="1" applyFont="1" applyFill="1" applyBorder="1"/>
    <xf numFmtId="3" fontId="48" fillId="0" borderId="0" xfId="8" applyNumberFormat="1" applyFont="1" applyFill="1"/>
    <xf numFmtId="0" fontId="28" fillId="0" borderId="0" xfId="8" applyFont="1" applyFill="1"/>
    <xf numFmtId="0" fontId="28" fillId="0" borderId="0" xfId="8" applyFont="1" applyFill="1" applyAlignment="1">
      <alignment horizontal="right"/>
    </xf>
    <xf numFmtId="0" fontId="28" fillId="0" borderId="0" xfId="8" applyFont="1" applyFill="1" applyAlignment="1">
      <alignment horizontal="left"/>
    </xf>
    <xf numFmtId="43" fontId="30" fillId="0" borderId="0" xfId="410" applyFont="1" applyFill="1" applyAlignment="1">
      <alignment horizontal="center"/>
    </xf>
    <xf numFmtId="0" fontId="30" fillId="0" borderId="0" xfId="8" applyFont="1" applyAlignment="1">
      <alignment horizontal="center"/>
    </xf>
    <xf numFmtId="0" fontId="28" fillId="0" borderId="0" xfId="8" applyFont="1"/>
    <xf numFmtId="0" fontId="97" fillId="0" borderId="0" xfId="8" applyFont="1" applyFill="1" applyAlignment="1">
      <alignment horizontal="center"/>
    </xf>
    <xf numFmtId="43" fontId="30" fillId="0" borderId="4" xfId="410" applyFont="1" applyFill="1" applyBorder="1" applyAlignment="1">
      <alignment horizontal="center"/>
    </xf>
    <xf numFmtId="0" fontId="30" fillId="0" borderId="4" xfId="8" applyFont="1" applyBorder="1" applyAlignment="1">
      <alignment horizontal="center"/>
    </xf>
    <xf numFmtId="0" fontId="30" fillId="21" borderId="0" xfId="8" applyFont="1" applyFill="1"/>
    <xf numFmtId="164" fontId="31" fillId="21" borderId="0" xfId="0" applyFont="1" applyFill="1"/>
    <xf numFmtId="41" fontId="31" fillId="21" borderId="0" xfId="147" applyNumberFormat="1" applyFont="1" applyFill="1"/>
    <xf numFmtId="41" fontId="35" fillId="21" borderId="0" xfId="0" applyNumberFormat="1" applyFont="1" applyFill="1"/>
    <xf numFmtId="41" fontId="35" fillId="21" borderId="0" xfId="410" applyNumberFormat="1" applyFont="1" applyFill="1"/>
    <xf numFmtId="41" fontId="31" fillId="21" borderId="5" xfId="147" applyNumberFormat="1" applyFont="1" applyFill="1" applyBorder="1"/>
    <xf numFmtId="41" fontId="35" fillId="21" borderId="0" xfId="147" applyNumberFormat="1" applyFont="1" applyFill="1"/>
    <xf numFmtId="41" fontId="35" fillId="21" borderId="4" xfId="147" applyNumberFormat="1" applyFont="1" applyFill="1" applyBorder="1"/>
    <xf numFmtId="0" fontId="96" fillId="21" borderId="0" xfId="513" applyFont="1" applyFill="1"/>
    <xf numFmtId="0" fontId="95" fillId="21" borderId="0" xfId="513" applyFont="1" applyFill="1"/>
    <xf numFmtId="43" fontId="95" fillId="21" borderId="0" xfId="410" applyFont="1" applyFill="1"/>
    <xf numFmtId="0" fontId="111" fillId="21" borderId="0" xfId="513" applyFont="1" applyFill="1"/>
    <xf numFmtId="14" fontId="95" fillId="21" borderId="0" xfId="410" applyNumberFormat="1" applyFont="1" applyFill="1" applyAlignment="1">
      <alignment horizontal="center"/>
    </xf>
    <xf numFmtId="182" fontId="21" fillId="21" borderId="0" xfId="513" applyNumberFormat="1" applyFont="1" applyFill="1"/>
    <xf numFmtId="43" fontId="22" fillId="21" borderId="0" xfId="410" applyFont="1" applyFill="1" applyBorder="1" applyAlignment="1">
      <alignment horizontal="center"/>
    </xf>
    <xf numFmtId="43" fontId="21" fillId="21" borderId="0" xfId="410" applyFont="1" applyFill="1"/>
    <xf numFmtId="182" fontId="21" fillId="21" borderId="0" xfId="513" applyNumberFormat="1" applyFont="1" applyFill="1" applyAlignment="1">
      <alignment horizontal="center"/>
    </xf>
    <xf numFmtId="43" fontId="22" fillId="21" borderId="22" xfId="410" applyFont="1" applyFill="1" applyBorder="1" applyAlignment="1">
      <alignment horizontal="center"/>
    </xf>
    <xf numFmtId="43" fontId="21" fillId="21" borderId="0" xfId="410" applyFont="1" applyFill="1" applyAlignment="1">
      <alignment horizontal="centerContinuous"/>
    </xf>
    <xf numFmtId="168" fontId="28" fillId="21" borderId="0" xfId="410" applyNumberFormat="1" applyFont="1" applyFill="1"/>
    <xf numFmtId="0" fontId="125" fillId="21" borderId="0" xfId="513" applyFont="1" applyFill="1"/>
    <xf numFmtId="168" fontId="28" fillId="21" borderId="22" xfId="410" applyNumberFormat="1" applyFont="1" applyFill="1" applyBorder="1"/>
    <xf numFmtId="168" fontId="28" fillId="21" borderId="0" xfId="410" applyNumberFormat="1" applyFont="1" applyFill="1" applyBorder="1"/>
    <xf numFmtId="183" fontId="95" fillId="21" borderId="0" xfId="513" applyNumberFormat="1" applyFont="1" applyFill="1"/>
    <xf numFmtId="183" fontId="111" fillId="21" borderId="0" xfId="513" applyNumberFormat="1" applyFont="1" applyFill="1"/>
    <xf numFmtId="182" fontId="22" fillId="21" borderId="0" xfId="513" applyNumberFormat="1" applyFont="1" applyFill="1" applyAlignment="1">
      <alignment horizontal="center" vertical="center" textRotation="90"/>
    </xf>
    <xf numFmtId="168" fontId="30" fillId="21" borderId="0" xfId="410" applyNumberFormat="1" applyFont="1" applyFill="1" applyAlignment="1">
      <alignment horizontal="center" vertical="center" textRotation="90"/>
    </xf>
    <xf numFmtId="168" fontId="28" fillId="21" borderId="5" xfId="410" applyNumberFormat="1" applyFont="1" applyFill="1" applyBorder="1"/>
    <xf numFmtId="164" fontId="23" fillId="21" borderId="0" xfId="0" applyNumberFormat="1" applyFont="1" applyFill="1" applyAlignment="1" applyProtection="1">
      <alignment horizontal="center"/>
    </xf>
    <xf numFmtId="169" fontId="35" fillId="21" borderId="0" xfId="0" applyNumberFormat="1" applyFont="1" applyFill="1" applyAlignment="1">
      <alignment horizontal="center"/>
    </xf>
    <xf numFmtId="169" fontId="35" fillId="21" borderId="0" xfId="0" applyNumberFormat="1" applyFont="1" applyFill="1"/>
    <xf numFmtId="164" fontId="126" fillId="21" borderId="0" xfId="0" applyNumberFormat="1" applyFont="1" applyFill="1" applyAlignment="1" applyProtection="1">
      <alignment horizontal="center"/>
    </xf>
    <xf numFmtId="169" fontId="35" fillId="21" borderId="0" xfId="0" applyNumberFormat="1" applyFont="1" applyFill="1" applyAlignment="1">
      <alignment horizontal="left"/>
    </xf>
    <xf numFmtId="169" fontId="35" fillId="21" borderId="0" xfId="0" applyNumberFormat="1" applyFont="1" applyFill="1" applyAlignment="1">
      <alignment horizontal="left" indent="1"/>
    </xf>
    <xf numFmtId="168" fontId="35" fillId="21" borderId="0" xfId="161" applyNumberFormat="1" applyFont="1" applyFill="1" applyAlignment="1"/>
    <xf numFmtId="169" fontId="121" fillId="21" borderId="0" xfId="0" applyNumberFormat="1" applyFont="1" applyFill="1" applyAlignment="1">
      <alignment horizontal="center"/>
    </xf>
    <xf numFmtId="169" fontId="121" fillId="21" borderId="0" xfId="0" applyNumberFormat="1" applyFont="1" applyFill="1" applyAlignment="1">
      <alignment horizontal="left" indent="1"/>
    </xf>
    <xf numFmtId="169" fontId="103" fillId="21" borderId="0" xfId="0" applyNumberFormat="1" applyFont="1" applyFill="1" applyAlignment="1">
      <alignment horizontal="left"/>
    </xf>
    <xf numFmtId="169" fontId="103" fillId="21" borderId="0" xfId="0" applyNumberFormat="1" applyFont="1" applyFill="1" applyAlignment="1">
      <alignment horizontal="center"/>
    </xf>
    <xf numFmtId="169" fontId="45" fillId="21" borderId="0" xfId="0" applyNumberFormat="1" applyFont="1" applyFill="1"/>
    <xf numFmtId="169" fontId="35" fillId="21" borderId="0" xfId="147" applyNumberFormat="1" applyFont="1" applyFill="1" applyBorder="1" applyAlignment="1"/>
    <xf numFmtId="169" fontId="35" fillId="21" borderId="22" xfId="147" applyNumberFormat="1" applyFont="1" applyFill="1" applyBorder="1" applyAlignment="1"/>
    <xf numFmtId="169" fontId="35" fillId="21" borderId="0" xfId="0" applyNumberFormat="1" applyFont="1" applyFill="1" applyAlignment="1">
      <alignment horizontal="left" indent="2"/>
    </xf>
    <xf numFmtId="169" fontId="35" fillId="21" borderId="5" xfId="147" applyNumberFormat="1" applyFont="1" applyFill="1" applyBorder="1" applyAlignment="1"/>
    <xf numFmtId="169" fontId="35" fillId="21" borderId="6" xfId="147" applyNumberFormat="1" applyFont="1" applyFill="1" applyBorder="1" applyAlignment="1"/>
    <xf numFmtId="169" fontId="121" fillId="21" borderId="0" xfId="0" applyNumberFormat="1" applyFont="1" applyFill="1"/>
    <xf numFmtId="169" fontId="121" fillId="21" borderId="0" xfId="147" applyNumberFormat="1" applyFont="1" applyFill="1" applyBorder="1" applyAlignment="1"/>
    <xf numFmtId="169" fontId="122" fillId="21" borderId="0" xfId="0" applyNumberFormat="1" applyFont="1" applyFill="1" applyAlignment="1">
      <alignment horizontal="center"/>
    </xf>
    <xf numFmtId="164" fontId="114" fillId="0" borderId="0" xfId="0" applyFont="1"/>
    <xf numFmtId="186" fontId="114" fillId="0" borderId="0" xfId="0" applyNumberFormat="1" applyFont="1"/>
    <xf numFmtId="164" fontId="112" fillId="21" borderId="0" xfId="0" applyNumberFormat="1" applyFont="1" applyFill="1" applyAlignment="1" applyProtection="1">
      <alignment horizontal="center"/>
    </xf>
    <xf numFmtId="164" fontId="112" fillId="21" borderId="0" xfId="0" applyNumberFormat="1" applyFont="1" applyFill="1" applyProtection="1"/>
    <xf numFmtId="49" fontId="22" fillId="21" borderId="0" xfId="0" applyNumberFormat="1" applyFont="1" applyFill="1" applyAlignment="1" applyProtection="1">
      <alignment horizontal="center"/>
    </xf>
    <xf numFmtId="5" fontId="21" fillId="21" borderId="0" xfId="0" applyNumberFormat="1" applyFont="1" applyFill="1" applyProtection="1"/>
    <xf numFmtId="3" fontId="21" fillId="21" borderId="0" xfId="0" applyNumberFormat="1" applyFont="1" applyFill="1" applyProtection="1"/>
    <xf numFmtId="5" fontId="22" fillId="21" borderId="0" xfId="0" applyNumberFormat="1" applyFont="1" applyFill="1" applyProtection="1"/>
    <xf numFmtId="168" fontId="22" fillId="21" borderId="0" xfId="161" applyNumberFormat="1" applyFont="1" applyFill="1" applyProtection="1"/>
    <xf numFmtId="5" fontId="22" fillId="21" borderId="0" xfId="0" applyNumberFormat="1" applyFont="1" applyFill="1" applyAlignment="1" applyProtection="1">
      <alignment horizontal="center"/>
    </xf>
    <xf numFmtId="168" fontId="22" fillId="21" borderId="17" xfId="161" applyNumberFormat="1" applyFont="1" applyFill="1" applyBorder="1" applyProtection="1"/>
    <xf numFmtId="5" fontId="22" fillId="21" borderId="0" xfId="0" applyNumberFormat="1" applyFont="1" applyFill="1" applyBorder="1" applyProtection="1"/>
    <xf numFmtId="164" fontId="21" fillId="21" borderId="0" xfId="0" applyNumberFormat="1" applyFont="1" applyFill="1" applyAlignment="1" applyProtection="1">
      <alignment horizontal="left"/>
    </xf>
    <xf numFmtId="164" fontId="21" fillId="0" borderId="0" xfId="0" applyNumberFormat="1" applyFont="1" applyFill="1" applyAlignment="1" applyProtection="1">
      <alignment horizontal="center"/>
    </xf>
    <xf numFmtId="164" fontId="28" fillId="0" borderId="0" xfId="0" applyFont="1" applyFill="1"/>
    <xf numFmtId="164" fontId="21" fillId="0" borderId="0" xfId="0" applyNumberFormat="1" applyFont="1" applyFill="1" applyAlignment="1" applyProtection="1">
      <alignment horizontal="left"/>
    </xf>
    <xf numFmtId="164" fontId="21" fillId="4" borderId="0" xfId="0" applyNumberFormat="1" applyFont="1" applyFill="1" applyProtection="1"/>
    <xf numFmtId="164" fontId="28" fillId="4" borderId="0" xfId="0" applyFont="1" applyFill="1"/>
    <xf numFmtId="164" fontId="113" fillId="21" borderId="0" xfId="0" applyNumberFormat="1" applyFont="1" applyFill="1" applyProtection="1"/>
    <xf numFmtId="41" fontId="21" fillId="21" borderId="0" xfId="0" applyNumberFormat="1" applyFont="1" applyFill="1" applyProtection="1"/>
    <xf numFmtId="164" fontId="30" fillId="21" borderId="0" xfId="0" applyNumberFormat="1" applyFont="1" applyFill="1" applyAlignment="1" applyProtection="1">
      <alignment horizontal="center"/>
    </xf>
    <xf numFmtId="164" fontId="28" fillId="21" borderId="0" xfId="0" applyNumberFormat="1" applyFont="1" applyFill="1" applyAlignment="1" applyProtection="1">
      <alignment horizontal="center"/>
    </xf>
    <xf numFmtId="164" fontId="28" fillId="21" borderId="0" xfId="0" applyNumberFormat="1" applyFont="1" applyFill="1" applyProtection="1"/>
    <xf numFmtId="5" fontId="30" fillId="21" borderId="0" xfId="0" applyNumberFormat="1" applyFont="1" applyFill="1" applyProtection="1"/>
    <xf numFmtId="168" fontId="30" fillId="21" borderId="2" xfId="161" applyNumberFormat="1" applyFont="1" applyFill="1" applyBorder="1" applyProtection="1"/>
    <xf numFmtId="0" fontId="28" fillId="21" borderId="0" xfId="0" applyNumberFormat="1" applyFont="1" applyFill="1" applyProtection="1"/>
    <xf numFmtId="49" fontId="21" fillId="21" borderId="0" xfId="0" applyNumberFormat="1" applyFont="1" applyFill="1" applyAlignment="1" applyProtection="1">
      <alignment horizontal="center"/>
    </xf>
    <xf numFmtId="49" fontId="112" fillId="21" borderId="0" xfId="0" applyNumberFormat="1" applyFont="1" applyFill="1" applyAlignment="1" applyProtection="1">
      <alignment horizontal="center"/>
    </xf>
    <xf numFmtId="49" fontId="112" fillId="21" borderId="0" xfId="0" applyNumberFormat="1" applyFont="1" applyFill="1" applyAlignment="1" applyProtection="1">
      <alignment horizontal="left"/>
    </xf>
    <xf numFmtId="164" fontId="129" fillId="21" borderId="0" xfId="0" applyNumberFormat="1" applyFont="1" applyFill="1" applyProtection="1"/>
    <xf numFmtId="168" fontId="28" fillId="21" borderId="0" xfId="161" applyNumberFormat="1" applyFont="1" applyFill="1" applyProtection="1"/>
    <xf numFmtId="49" fontId="28" fillId="21" borderId="0" xfId="0" applyNumberFormat="1" applyFont="1" applyFill="1" applyAlignment="1" applyProtection="1">
      <alignment horizontal="left"/>
    </xf>
    <xf numFmtId="164" fontId="22" fillId="21" borderId="0" xfId="0" applyNumberFormat="1" applyFont="1" applyFill="1" applyAlignment="1" applyProtection="1">
      <alignment horizontal="left" indent="1"/>
    </xf>
    <xf numFmtId="164" fontId="22" fillId="21" borderId="0" xfId="0" applyNumberFormat="1" applyFont="1" applyFill="1" applyAlignment="1" applyProtection="1">
      <alignment horizontal="left"/>
    </xf>
    <xf numFmtId="0" fontId="28" fillId="0" borderId="0" xfId="72" applyFont="1"/>
    <xf numFmtId="169" fontId="21" fillId="21" borderId="0" xfId="0" applyNumberFormat="1" applyFont="1" applyFill="1" applyProtection="1"/>
    <xf numFmtId="169" fontId="28" fillId="21" borderId="0" xfId="0" applyNumberFormat="1" applyFont="1" applyFill="1"/>
    <xf numFmtId="168" fontId="21" fillId="21" borderId="0" xfId="161" applyNumberFormat="1" applyFont="1" applyFill="1" applyProtection="1"/>
    <xf numFmtId="168" fontId="22" fillId="21" borderId="2" xfId="161" applyNumberFormat="1" applyFont="1" applyFill="1" applyBorder="1" applyProtection="1"/>
    <xf numFmtId="164" fontId="45" fillId="21" borderId="0" xfId="0" applyFont="1" applyFill="1" applyAlignment="1"/>
    <xf numFmtId="164" fontId="35" fillId="21" borderId="0" xfId="0" applyFont="1" applyFill="1" applyAlignment="1">
      <alignment horizontal="center"/>
    </xf>
    <xf numFmtId="164" fontId="31" fillId="21" borderId="0" xfId="0" applyFont="1" applyFill="1" applyAlignment="1">
      <alignment horizontal="center"/>
    </xf>
    <xf numFmtId="164" fontId="31" fillId="21" borderId="0" xfId="0" applyFont="1" applyFill="1" applyAlignment="1"/>
    <xf numFmtId="164" fontId="103" fillId="21" borderId="0" xfId="0" applyFont="1" applyFill="1" applyAlignment="1">
      <alignment horizontal="center"/>
    </xf>
    <xf numFmtId="164" fontId="103" fillId="21" borderId="0" xfId="0" applyFont="1" applyFill="1" applyAlignment="1"/>
    <xf numFmtId="164" fontId="130" fillId="21" borderId="0" xfId="0" applyNumberFormat="1" applyFont="1" applyFill="1" applyAlignment="1" applyProtection="1">
      <alignment horizontal="center"/>
    </xf>
    <xf numFmtId="164" fontId="35" fillId="21" borderId="0" xfId="0" quotePrefix="1" applyFont="1" applyFill="1" applyAlignment="1">
      <alignment horizontal="center"/>
    </xf>
    <xf numFmtId="164" fontId="35" fillId="21" borderId="0" xfId="0" applyFont="1" applyFill="1" applyBorder="1" applyAlignment="1"/>
    <xf numFmtId="164" fontId="35" fillId="21" borderId="36" xfId="0" applyFont="1" applyFill="1" applyBorder="1" applyAlignment="1"/>
    <xf numFmtId="164" fontId="45" fillId="21" borderId="37" xfId="0" applyFont="1" applyFill="1" applyBorder="1" applyAlignment="1"/>
    <xf numFmtId="164" fontId="35" fillId="21" borderId="37" xfId="0" applyFont="1" applyFill="1" applyBorder="1" applyAlignment="1">
      <alignment horizontal="center"/>
    </xf>
    <xf numFmtId="41" fontId="35" fillId="21" borderId="37" xfId="147" applyNumberFormat="1" applyFont="1" applyFill="1" applyBorder="1" applyAlignment="1"/>
    <xf numFmtId="41" fontId="35" fillId="21" borderId="38" xfId="147" applyNumberFormat="1" applyFont="1" applyFill="1" applyBorder="1" applyAlignment="1"/>
    <xf numFmtId="164" fontId="45" fillId="21" borderId="0" xfId="0" applyFont="1" applyFill="1" applyBorder="1" applyAlignment="1"/>
    <xf numFmtId="164" fontId="35" fillId="21" borderId="22" xfId="0" applyFont="1" applyFill="1" applyBorder="1" applyAlignment="1"/>
    <xf numFmtId="164" fontId="31" fillId="21" borderId="0" xfId="0" applyFont="1" applyFill="1" applyBorder="1" applyAlignment="1"/>
    <xf numFmtId="164" fontId="31" fillId="21" borderId="0" xfId="0" applyFont="1" applyFill="1" applyBorder="1" applyAlignment="1">
      <alignment horizontal="center"/>
    </xf>
    <xf numFmtId="170" fontId="35" fillId="21" borderId="0" xfId="147" applyNumberFormat="1" applyFont="1" applyFill="1" applyBorder="1" applyAlignment="1"/>
    <xf numFmtId="170" fontId="35" fillId="21" borderId="0" xfId="147" applyNumberFormat="1" applyFont="1" applyFill="1" applyAlignment="1"/>
    <xf numFmtId="164" fontId="45" fillId="21" borderId="0" xfId="0" applyFont="1" applyFill="1"/>
    <xf numFmtId="168" fontId="35" fillId="21" borderId="0" xfId="9" applyNumberFormat="1" applyFont="1" applyFill="1" applyAlignment="1">
      <alignment horizontal="center"/>
    </xf>
    <xf numFmtId="168" fontId="35" fillId="21" borderId="22" xfId="9" applyNumberFormat="1" applyFont="1" applyFill="1" applyBorder="1" applyAlignment="1">
      <alignment horizontal="center"/>
    </xf>
    <xf numFmtId="164" fontId="35" fillId="21" borderId="22" xfId="0" applyFont="1" applyFill="1" applyBorder="1"/>
    <xf numFmtId="43" fontId="31" fillId="21" borderId="0" xfId="9" applyFont="1" applyFill="1"/>
    <xf numFmtId="49" fontId="35" fillId="21" borderId="0" xfId="9" applyNumberFormat="1" applyFont="1" applyFill="1"/>
    <xf numFmtId="10" fontId="35" fillId="21" borderId="0" xfId="148" applyNumberFormat="1" applyFont="1" applyFill="1" applyAlignment="1">
      <alignment horizontal="right"/>
    </xf>
    <xf numFmtId="10" fontId="35" fillId="21" borderId="0" xfId="148" applyNumberFormat="1" applyFont="1" applyFill="1"/>
    <xf numFmtId="43" fontId="35" fillId="21" borderId="0" xfId="9" applyFont="1" applyFill="1" applyAlignment="1">
      <alignment horizontal="right"/>
    </xf>
    <xf numFmtId="49" fontId="35" fillId="21" borderId="0" xfId="0" applyNumberFormat="1" applyFont="1" applyFill="1"/>
    <xf numFmtId="2" fontId="35" fillId="21" borderId="0" xfId="0" applyNumberFormat="1" applyFont="1" applyFill="1"/>
    <xf numFmtId="1" fontId="35" fillId="21" borderId="0" xfId="0" applyNumberFormat="1" applyFont="1" applyFill="1" applyAlignment="1">
      <alignment horizontal="center"/>
    </xf>
    <xf numFmtId="164" fontId="112" fillId="0" borderId="0" xfId="0" applyNumberFormat="1" applyFont="1" applyProtection="1"/>
    <xf numFmtId="41" fontId="28" fillId="0" borderId="0" xfId="147" applyNumberFormat="1" applyFont="1" applyFill="1" applyProtection="1"/>
    <xf numFmtId="41" fontId="28" fillId="0" borderId="0" xfId="147" applyNumberFormat="1" applyFont="1" applyProtection="1"/>
    <xf numFmtId="41" fontId="21" fillId="0" borderId="0" xfId="147" applyNumberFormat="1" applyFont="1" applyProtection="1"/>
    <xf numFmtId="41" fontId="21" fillId="0" borderId="0" xfId="0" applyNumberFormat="1" applyFont="1" applyProtection="1"/>
    <xf numFmtId="168" fontId="28" fillId="0" borderId="0" xfId="161" applyNumberFormat="1" applyFont="1" applyProtection="1"/>
    <xf numFmtId="168" fontId="21" fillId="0" borderId="0" xfId="161" applyNumberFormat="1" applyFont="1" applyProtection="1"/>
    <xf numFmtId="168" fontId="28" fillId="0" borderId="0" xfId="161" applyNumberFormat="1" applyFont="1" applyFill="1" applyProtection="1"/>
    <xf numFmtId="164" fontId="30" fillId="0" borderId="0" xfId="0" applyNumberFormat="1" applyFont="1" applyProtection="1"/>
    <xf numFmtId="164" fontId="28" fillId="0" borderId="0" xfId="0" applyNumberFormat="1" applyFont="1" applyProtection="1"/>
    <xf numFmtId="37" fontId="21" fillId="21" borderId="0" xfId="0" applyNumberFormat="1" applyFont="1" applyFill="1" applyProtection="1"/>
    <xf numFmtId="5" fontId="21" fillId="0" borderId="0" xfId="0" applyNumberFormat="1" applyFont="1" applyProtection="1"/>
    <xf numFmtId="164" fontId="22" fillId="0" borderId="0" xfId="0" applyNumberFormat="1" applyFont="1" applyAlignment="1" applyProtection="1">
      <alignment horizontal="left"/>
    </xf>
    <xf numFmtId="41" fontId="22" fillId="0" borderId="0" xfId="0" applyNumberFormat="1" applyFont="1" applyProtection="1"/>
    <xf numFmtId="5" fontId="22" fillId="0" borderId="0" xfId="0" applyNumberFormat="1" applyFont="1" applyProtection="1"/>
    <xf numFmtId="41" fontId="22" fillId="0" borderId="1" xfId="0" applyNumberFormat="1" applyFont="1" applyBorder="1" applyProtection="1"/>
    <xf numFmtId="164" fontId="30" fillId="21" borderId="0" xfId="0" applyNumberFormat="1" applyFont="1" applyFill="1" applyProtection="1"/>
    <xf numFmtId="164" fontId="22" fillId="21" borderId="0" xfId="0" applyNumberFormat="1" applyFont="1" applyFill="1" applyAlignment="1" applyProtection="1">
      <alignment horizontal="center" wrapText="1"/>
    </xf>
    <xf numFmtId="164" fontId="112" fillId="21" borderId="0" xfId="0" applyNumberFormat="1" applyFont="1" applyFill="1" applyAlignment="1" applyProtection="1">
      <alignment horizontal="center" wrapText="1"/>
    </xf>
    <xf numFmtId="164" fontId="22" fillId="21" borderId="0" xfId="0" quotePrefix="1" applyNumberFormat="1" applyFont="1" applyFill="1" applyAlignment="1" applyProtection="1">
      <alignment horizontal="center"/>
    </xf>
    <xf numFmtId="10" fontId="22" fillId="21" borderId="0" xfId="0" applyNumberFormat="1" applyFont="1" applyFill="1" applyAlignment="1" applyProtection="1">
      <alignment horizontal="center"/>
    </xf>
    <xf numFmtId="10" fontId="22" fillId="21" borderId="0" xfId="148" applyNumberFormat="1" applyFont="1" applyFill="1" applyAlignment="1" applyProtection="1">
      <alignment horizontal="center"/>
    </xf>
    <xf numFmtId="10" fontId="21" fillId="21" borderId="0" xfId="0" applyNumberFormat="1" applyFont="1" applyFill="1" applyProtection="1"/>
    <xf numFmtId="10" fontId="21" fillId="21" borderId="0" xfId="148" applyNumberFormat="1" applyFont="1" applyFill="1" applyProtection="1"/>
    <xf numFmtId="10" fontId="112" fillId="21" borderId="0" xfId="0" applyNumberFormat="1" applyFont="1" applyFill="1" applyAlignment="1" applyProtection="1">
      <alignment horizontal="center"/>
    </xf>
    <xf numFmtId="10" fontId="30" fillId="21" borderId="0" xfId="148" applyNumberFormat="1" applyFont="1" applyFill="1" applyAlignment="1" applyProtection="1">
      <alignment horizontal="center"/>
    </xf>
    <xf numFmtId="164" fontId="129" fillId="0" borderId="0" xfId="0" applyNumberFormat="1" applyFont="1" applyAlignment="1" applyProtection="1">
      <alignment horizontal="left"/>
    </xf>
    <xf numFmtId="164" fontId="112" fillId="0" borderId="0" xfId="0" applyNumberFormat="1" applyFont="1" applyAlignment="1" applyProtection="1">
      <alignment horizontal="left"/>
    </xf>
    <xf numFmtId="164" fontId="21" fillId="0" borderId="0" xfId="0" applyNumberFormat="1" applyFont="1" applyAlignment="1" applyProtection="1">
      <alignment horizontal="left"/>
    </xf>
    <xf numFmtId="0" fontId="30" fillId="21" borderId="0" xfId="8" quotePrefix="1" applyFont="1" applyFill="1" applyBorder="1" applyAlignment="1">
      <alignment horizontal="center"/>
    </xf>
    <xf numFmtId="41" fontId="31" fillId="21" borderId="0" xfId="8" applyNumberFormat="1" applyFont="1" applyFill="1"/>
    <xf numFmtId="41" fontId="31" fillId="21" borderId="6" xfId="147" applyNumberFormat="1" applyFont="1" applyFill="1" applyBorder="1"/>
    <xf numFmtId="41" fontId="35" fillId="21" borderId="0" xfId="8" applyNumberFormat="1" applyFont="1" applyFill="1"/>
    <xf numFmtId="168" fontId="35" fillId="21" borderId="0" xfId="9" applyNumberFormat="1" applyFont="1" applyFill="1"/>
    <xf numFmtId="170" fontId="35" fillId="21" borderId="0" xfId="147" applyNumberFormat="1" applyFont="1" applyFill="1"/>
    <xf numFmtId="41" fontId="30" fillId="21" borderId="0" xfId="147" applyNumberFormat="1" applyFont="1" applyFill="1" applyBorder="1"/>
    <xf numFmtId="168" fontId="28" fillId="21" borderId="0" xfId="8" applyNumberFormat="1" applyFont="1" applyFill="1"/>
    <xf numFmtId="164" fontId="21" fillId="0" borderId="0" xfId="0" applyNumberFormat="1" applyFont="1" applyFill="1" applyAlignment="1" applyProtection="1">
      <alignment horizontal="right"/>
    </xf>
    <xf numFmtId="0" fontId="30" fillId="21" borderId="0" xfId="61" applyFont="1" applyFill="1" applyAlignment="1">
      <alignment horizontal="left"/>
    </xf>
    <xf numFmtId="0" fontId="30" fillId="39" borderId="0" xfId="61" applyFont="1" applyFill="1" applyBorder="1" applyAlignment="1"/>
    <xf numFmtId="164" fontId="22" fillId="0" borderId="0" xfId="0" applyNumberFormat="1" applyFont="1" applyAlignment="1" applyProtection="1">
      <alignment horizontal="left" indent="1"/>
    </xf>
    <xf numFmtId="164" fontId="30" fillId="0" borderId="0" xfId="0" applyNumberFormat="1" applyFont="1" applyAlignment="1" applyProtection="1">
      <alignment horizontal="left" indent="1"/>
    </xf>
    <xf numFmtId="164" fontId="129" fillId="21" borderId="0" xfId="0" applyNumberFormat="1" applyFont="1" applyFill="1" applyAlignment="1" applyProtection="1">
      <alignment horizontal="center"/>
    </xf>
    <xf numFmtId="43" fontId="28" fillId="21" borderId="0" xfId="161" applyFont="1" applyFill="1" applyBorder="1" applyAlignment="1">
      <alignment horizontal="center"/>
    </xf>
    <xf numFmtId="43" fontId="21" fillId="0" borderId="0" xfId="161" applyFont="1" applyAlignment="1" applyProtection="1">
      <alignment horizontal="right"/>
    </xf>
    <xf numFmtId="43" fontId="35" fillId="0" borderId="0" xfId="161" applyFont="1" applyAlignment="1">
      <alignment horizontal="right"/>
    </xf>
    <xf numFmtId="168" fontId="28" fillId="21" borderId="0" xfId="161" applyNumberFormat="1" applyFont="1" applyFill="1" applyBorder="1" applyAlignment="1">
      <alignment horizontal="left"/>
    </xf>
    <xf numFmtId="171" fontId="28" fillId="21" borderId="0" xfId="148" applyNumberFormat="1" applyFont="1" applyFill="1" applyBorder="1" applyAlignment="1">
      <alignment horizontal="right"/>
    </xf>
    <xf numFmtId="168" fontId="22" fillId="0" borderId="0" xfId="161" applyNumberFormat="1" applyFont="1" applyBorder="1" applyAlignment="1" applyProtection="1">
      <alignment horizontal="right"/>
    </xf>
    <xf numFmtId="168" fontId="22" fillId="0" borderId="16" xfId="161" applyNumberFormat="1" applyFont="1" applyBorder="1" applyProtection="1"/>
    <xf numFmtId="168" fontId="22" fillId="0" borderId="57" xfId="161" applyNumberFormat="1" applyFont="1" applyBorder="1" applyProtection="1"/>
    <xf numFmtId="168" fontId="108" fillId="21" borderId="0" xfId="161" applyNumberFormat="1" applyFont="1" applyFill="1" applyBorder="1" applyAlignment="1">
      <alignment horizontal="left"/>
    </xf>
    <xf numFmtId="0" fontId="28" fillId="21" borderId="0" xfId="144" quotePrefix="1" applyFont="1" applyFill="1" applyAlignment="1">
      <alignment horizontal="left"/>
    </xf>
    <xf numFmtId="0" fontId="28" fillId="0" borderId="0" xfId="387" quotePrefix="1" applyFont="1" applyFill="1" applyAlignment="1">
      <alignment horizontal="center"/>
    </xf>
    <xf numFmtId="0" fontId="139" fillId="21" borderId="0" xfId="387" applyFont="1" applyFill="1"/>
    <xf numFmtId="0" fontId="140" fillId="21" borderId="0" xfId="387" applyFont="1" applyFill="1"/>
    <xf numFmtId="0" fontId="140" fillId="22" borderId="4" xfId="387" applyFont="1" applyFill="1" applyBorder="1"/>
    <xf numFmtId="3" fontId="28" fillId="0" borderId="0" xfId="8" applyNumberFormat="1" applyFont="1" applyFill="1" applyBorder="1" applyAlignment="1">
      <alignment horizontal="right"/>
    </xf>
    <xf numFmtId="0" fontId="54" fillId="40" borderId="0" xfId="8" applyFont="1" applyFill="1" applyAlignment="1"/>
    <xf numFmtId="43" fontId="30" fillId="21" borderId="0" xfId="161" applyFont="1" applyFill="1" applyBorder="1"/>
    <xf numFmtId="43" fontId="30" fillId="21" borderId="0" xfId="161" applyFont="1" applyFill="1"/>
    <xf numFmtId="43" fontId="28" fillId="21" borderId="0" xfId="161" applyFont="1" applyFill="1" applyBorder="1"/>
    <xf numFmtId="43" fontId="28" fillId="21" borderId="0" xfId="161" applyFont="1" applyFill="1"/>
    <xf numFmtId="43" fontId="28" fillId="21" borderId="3" xfId="161" applyFont="1" applyFill="1" applyBorder="1"/>
    <xf numFmtId="168" fontId="30" fillId="0" borderId="0" xfId="161" applyNumberFormat="1" applyFont="1" applyFill="1" applyBorder="1"/>
    <xf numFmtId="168" fontId="30" fillId="0" borderId="0" xfId="161" applyNumberFormat="1" applyFont="1" applyFill="1"/>
    <xf numFmtId="168" fontId="28" fillId="0" borderId="0" xfId="161" applyNumberFormat="1" applyFont="1" applyFill="1" applyBorder="1"/>
    <xf numFmtId="168" fontId="28" fillId="0" borderId="0" xfId="161" applyNumberFormat="1" applyFont="1" applyFill="1"/>
    <xf numFmtId="168" fontId="28" fillId="0" borderId="22" xfId="161" applyNumberFormat="1" applyFont="1" applyFill="1" applyBorder="1"/>
    <xf numFmtId="168" fontId="54" fillId="0" borderId="0" xfId="161" applyNumberFormat="1" applyFont="1" applyFill="1"/>
    <xf numFmtId="168" fontId="52" fillId="0" borderId="0" xfId="161" applyNumberFormat="1" applyFont="1" applyFill="1"/>
    <xf numFmtId="164" fontId="18" fillId="21" borderId="0" xfId="0" applyNumberFormat="1" applyFont="1" applyFill="1" applyAlignment="1" applyProtection="1">
      <alignment horizontal="center"/>
    </xf>
    <xf numFmtId="164" fontId="18" fillId="21" borderId="0" xfId="0" quotePrefix="1" applyNumberFormat="1" applyFont="1" applyFill="1" applyAlignment="1" applyProtection="1">
      <alignment horizontal="center"/>
    </xf>
    <xf numFmtId="164" fontId="19" fillId="0" borderId="0" xfId="0" applyNumberFormat="1" applyFont="1" applyFill="1" applyAlignment="1" applyProtection="1">
      <alignment horizontal="left"/>
    </xf>
    <xf numFmtId="164" fontId="18" fillId="0" borderId="0" xfId="0" applyNumberFormat="1" applyFont="1" applyFill="1" applyAlignment="1" applyProtection="1">
      <alignment horizontal="left"/>
    </xf>
    <xf numFmtId="164" fontId="19" fillId="0" borderId="0" xfId="0" applyNumberFormat="1" applyFont="1" applyFill="1" applyBorder="1" applyAlignment="1" applyProtection="1">
      <alignment horizontal="left"/>
    </xf>
    <xf numFmtId="0" fontId="28" fillId="0" borderId="0" xfId="387" applyFont="1" applyFill="1" applyAlignment="1">
      <alignment horizontal="left"/>
    </xf>
    <xf numFmtId="0" fontId="30" fillId="0" borderId="0" xfId="8" applyFont="1" applyAlignment="1">
      <alignment horizontal="left"/>
    </xf>
    <xf numFmtId="3" fontId="34" fillId="0" borderId="0" xfId="8" applyNumberFormat="1" applyFont="1" applyFill="1" applyBorder="1" applyAlignment="1"/>
    <xf numFmtId="3" fontId="34" fillId="0" borderId="0" xfId="8" applyNumberFormat="1" applyFont="1" applyFill="1" applyAlignment="1"/>
    <xf numFmtId="3" fontId="34" fillId="0" borderId="0" xfId="8" applyNumberFormat="1" applyFont="1" applyFill="1" applyBorder="1" applyAlignment="1">
      <alignment horizontal="left"/>
    </xf>
    <xf numFmtId="164" fontId="34" fillId="0" borderId="0" xfId="0" applyFont="1" applyAlignment="1">
      <alignment horizontal="left"/>
    </xf>
    <xf numFmtId="3" fontId="141" fillId="0" borderId="0" xfId="8" applyNumberFormat="1" applyFont="1" applyFill="1" applyBorder="1" applyAlignment="1">
      <alignment horizontal="left"/>
    </xf>
    <xf numFmtId="164" fontId="141" fillId="0" borderId="0" xfId="0" applyFont="1" applyAlignment="1">
      <alignment horizontal="left"/>
    </xf>
    <xf numFmtId="3" fontId="141" fillId="0" borderId="0" xfId="8" applyNumberFormat="1" applyFont="1" applyFill="1" applyAlignment="1">
      <alignment horizontal="left"/>
    </xf>
    <xf numFmtId="165" fontId="30" fillId="21" borderId="0" xfId="0" applyNumberFormat="1" applyFont="1" applyFill="1" applyAlignment="1" applyProtection="1">
      <alignment horizontal="left"/>
    </xf>
    <xf numFmtId="4" fontId="61" fillId="0" borderId="0" xfId="0" applyNumberFormat="1" applyFont="1" applyFill="1" applyProtection="1"/>
    <xf numFmtId="4" fontId="18" fillId="0" borderId="0" xfId="0" applyNumberFormat="1" applyFont="1" applyFill="1" applyProtection="1"/>
    <xf numFmtId="0" fontId="95" fillId="0" borderId="0" xfId="387" applyFont="1" applyFill="1" applyAlignment="1">
      <alignment horizontal="center"/>
    </xf>
    <xf numFmtId="0" fontId="96" fillId="0" borderId="0" xfId="387" applyFont="1" applyFill="1" applyAlignment="1">
      <alignment horizontal="center"/>
    </xf>
    <xf numFmtId="0" fontId="96" fillId="0" borderId="4" xfId="387" applyFont="1" applyFill="1" applyBorder="1" applyAlignment="1">
      <alignment horizontal="center"/>
    </xf>
    <xf numFmtId="0" fontId="28" fillId="21" borderId="0" xfId="61" applyFont="1" applyFill="1" applyAlignment="1">
      <alignment horizontal="left"/>
    </xf>
    <xf numFmtId="0" fontId="28" fillId="21" borderId="0" xfId="8" quotePrefix="1" applyFont="1" applyFill="1" applyBorder="1" applyAlignment="1">
      <alignment horizontal="center"/>
    </xf>
    <xf numFmtId="0" fontId="35" fillId="21" borderId="0" xfId="8" quotePrefix="1" applyFont="1" applyFill="1" applyBorder="1" applyAlignment="1">
      <alignment horizontal="center"/>
    </xf>
    <xf numFmtId="0" fontId="95" fillId="21" borderId="0" xfId="162" applyFont="1" applyFill="1" applyAlignment="1">
      <alignment horizontal="center"/>
    </xf>
    <xf numFmtId="164" fontId="141" fillId="0" borderId="0" xfId="0" applyFont="1" applyFill="1" applyAlignment="1">
      <alignment horizontal="left"/>
    </xf>
    <xf numFmtId="41" fontId="31" fillId="21" borderId="0" xfId="147" applyNumberFormat="1" applyFont="1" applyFill="1" applyBorder="1"/>
    <xf numFmtId="0" fontId="28" fillId="21" borderId="0" xfId="162" applyFont="1" applyFill="1"/>
    <xf numFmtId="0" fontId="35" fillId="21" borderId="0" xfId="6" quotePrefix="1" applyFont="1" applyFill="1" applyAlignment="1">
      <alignment horizontal="center"/>
    </xf>
    <xf numFmtId="164" fontId="35" fillId="21" borderId="0" xfId="0" applyFont="1" applyFill="1" applyAlignment="1">
      <alignment horizontal="left"/>
    </xf>
    <xf numFmtId="164" fontId="0" fillId="21" borderId="0" xfId="0" applyFill="1" applyAlignment="1">
      <alignment horizontal="left"/>
    </xf>
    <xf numFmtId="41" fontId="35" fillId="21" borderId="0" xfId="147" applyNumberFormat="1" applyFont="1" applyFill="1" applyBorder="1"/>
    <xf numFmtId="0" fontId="53" fillId="21" borderId="0" xfId="5" quotePrefix="1" applyFont="1" applyFill="1" applyAlignment="1">
      <alignment horizontal="center"/>
    </xf>
    <xf numFmtId="0" fontId="111" fillId="21" borderId="0" xfId="513" applyFont="1" applyFill="1" applyAlignment="1">
      <alignment horizontal="left"/>
    </xf>
    <xf numFmtId="0" fontId="5" fillId="21" borderId="0" xfId="513" applyFill="1" applyAlignment="1">
      <alignment horizontal="left"/>
    </xf>
    <xf numFmtId="0" fontId="114" fillId="21" borderId="0" xfId="513" applyFont="1" applyFill="1" applyAlignment="1">
      <alignment horizontal="left"/>
    </xf>
    <xf numFmtId="182" fontId="21" fillId="21" borderId="0" xfId="513" quotePrefix="1" applyNumberFormat="1" applyFont="1" applyFill="1"/>
    <xf numFmtId="164" fontId="28" fillId="0" borderId="0" xfId="0" applyNumberFormat="1" applyFont="1" applyFill="1" applyAlignment="1" applyProtection="1">
      <alignment horizontal="left"/>
    </xf>
    <xf numFmtId="168" fontId="28" fillId="21" borderId="0" xfId="161" quotePrefix="1" applyNumberFormat="1" applyFont="1" applyFill="1" applyBorder="1" applyAlignment="1">
      <alignment horizontal="center"/>
    </xf>
    <xf numFmtId="164" fontId="28" fillId="0" borderId="0" xfId="193" quotePrefix="1" applyFont="1" applyFill="1" applyAlignment="1">
      <alignment horizontal="center"/>
    </xf>
    <xf numFmtId="168" fontId="28" fillId="0" borderId="0" xfId="194" quotePrefix="1" applyNumberFormat="1" applyFont="1" applyFill="1" applyBorder="1" applyAlignment="1">
      <alignment horizontal="center"/>
    </xf>
    <xf numFmtId="168" fontId="113" fillId="21" borderId="0" xfId="194" applyNumberFormat="1" applyFont="1" applyFill="1" applyBorder="1"/>
    <xf numFmtId="168" fontId="28" fillId="21" borderId="0" xfId="194" applyNumberFormat="1" applyFont="1" applyFill="1" applyBorder="1"/>
    <xf numFmtId="168" fontId="28" fillId="0" borderId="22" xfId="161" applyNumberFormat="1" applyFont="1" applyFill="1" applyBorder="1" applyAlignment="1">
      <alignment horizontal="center"/>
    </xf>
    <xf numFmtId="168" fontId="30" fillId="0" borderId="0" xfId="161" applyNumberFormat="1" applyFont="1" applyFill="1" applyBorder="1" applyAlignment="1">
      <alignment horizontal="center"/>
    </xf>
    <xf numFmtId="168" fontId="28" fillId="0" borderId="22" xfId="161" applyNumberFormat="1" applyFont="1" applyFill="1" applyBorder="1" applyAlignment="1">
      <alignment horizontal="left"/>
    </xf>
    <xf numFmtId="168" fontId="30" fillId="0" borderId="0" xfId="161" applyNumberFormat="1" applyFont="1" applyFill="1" applyBorder="1" applyAlignment="1">
      <alignment horizontal="right"/>
    </xf>
    <xf numFmtId="168" fontId="28" fillId="0" borderId="0" xfId="161" applyNumberFormat="1" applyFont="1" applyFill="1" applyBorder="1" applyAlignment="1">
      <alignment horizontal="center"/>
    </xf>
    <xf numFmtId="168" fontId="28" fillId="0" borderId="0" xfId="161" applyNumberFormat="1" applyFont="1" applyFill="1" applyBorder="1" applyAlignment="1">
      <alignment horizontal="left"/>
    </xf>
    <xf numFmtId="164" fontId="31" fillId="21" borderId="0" xfId="0" applyFont="1" applyFill="1" applyAlignment="1">
      <alignment wrapText="1"/>
    </xf>
    <xf numFmtId="0" fontId="30" fillId="21" borderId="0" xfId="192" applyFont="1" applyFill="1"/>
    <xf numFmtId="164" fontId="108" fillId="21" borderId="22" xfId="0" applyFont="1" applyFill="1" applyBorder="1" applyAlignment="1">
      <alignment vertical="center"/>
    </xf>
    <xf numFmtId="0" fontId="28" fillId="21" borderId="22" xfId="192" applyFont="1" applyFill="1" applyBorder="1"/>
    <xf numFmtId="0" fontId="28" fillId="21" borderId="22" xfId="39" applyFont="1" applyFill="1" applyBorder="1"/>
    <xf numFmtId="4" fontId="28" fillId="21" borderId="22" xfId="39" applyNumberFormat="1" applyFont="1" applyFill="1" applyBorder="1"/>
    <xf numFmtId="0" fontId="28" fillId="21" borderId="0" xfId="192" applyFont="1" applyFill="1" applyBorder="1"/>
    <xf numFmtId="0" fontId="28" fillId="21" borderId="0" xfId="39" applyFont="1" applyFill="1" applyBorder="1"/>
    <xf numFmtId="4" fontId="28" fillId="21" borderId="0" xfId="39" applyNumberFormat="1" applyFont="1" applyFill="1" applyBorder="1"/>
    <xf numFmtId="164" fontId="112" fillId="21" borderId="0" xfId="0" applyNumberFormat="1" applyFont="1" applyFill="1" applyAlignment="1" applyProtection="1">
      <alignment horizontal="left"/>
    </xf>
    <xf numFmtId="168" fontId="22" fillId="21" borderId="0" xfId="161" applyNumberFormat="1" applyFont="1" applyFill="1" applyAlignment="1" applyProtection="1">
      <alignment horizontal="center"/>
    </xf>
    <xf numFmtId="168" fontId="22" fillId="0" borderId="0" xfId="161" applyNumberFormat="1" applyFont="1" applyBorder="1" applyProtection="1"/>
    <xf numFmtId="164" fontId="21" fillId="39" borderId="0" xfId="0" applyNumberFormat="1" applyFont="1" applyFill="1" applyProtection="1"/>
    <xf numFmtId="164" fontId="35" fillId="21" borderId="51" xfId="0" applyFont="1" applyFill="1" applyBorder="1" applyAlignment="1"/>
    <xf numFmtId="164" fontId="19" fillId="21" borderId="0" xfId="0" applyNumberFormat="1" applyFont="1" applyFill="1" applyAlignment="1" applyProtection="1">
      <alignment horizontal="center"/>
    </xf>
    <xf numFmtId="164" fontId="19" fillId="21" borderId="0" xfId="0" applyNumberFormat="1" applyFont="1" applyFill="1" applyBorder="1" applyAlignment="1" applyProtection="1">
      <alignment horizontal="center"/>
    </xf>
    <xf numFmtId="0" fontId="96" fillId="21" borderId="3" xfId="162" applyFont="1" applyFill="1" applyBorder="1" applyAlignment="1">
      <alignment horizontal="center" wrapText="1"/>
    </xf>
    <xf numFmtId="0" fontId="96" fillId="21" borderId="22" xfId="162" applyFont="1" applyFill="1" applyBorder="1" applyAlignment="1">
      <alignment horizontal="center"/>
    </xf>
    <xf numFmtId="0" fontId="113" fillId="21" borderId="0" xfId="162" applyFont="1" applyFill="1"/>
    <xf numFmtId="0" fontId="30" fillId="21" borderId="0" xfId="162" applyFont="1" applyFill="1"/>
    <xf numFmtId="41" fontId="95" fillId="21" borderId="0" xfId="162" applyNumberFormat="1" applyFont="1" applyFill="1" applyBorder="1"/>
    <xf numFmtId="41" fontId="96" fillId="21" borderId="22" xfId="162" applyNumberFormat="1" applyFont="1" applyFill="1" applyBorder="1"/>
    <xf numFmtId="164" fontId="113" fillId="39" borderId="0" xfId="0" applyNumberFormat="1" applyFont="1" applyFill="1" applyProtection="1"/>
    <xf numFmtId="49" fontId="113" fillId="39" borderId="0" xfId="0" applyNumberFormat="1" applyFont="1" applyFill="1" applyAlignment="1" applyProtection="1">
      <alignment horizontal="center"/>
    </xf>
    <xf numFmtId="10" fontId="21" fillId="0" borderId="0" xfId="148" applyNumberFormat="1" applyFont="1" applyFill="1" applyProtection="1"/>
    <xf numFmtId="10" fontId="30" fillId="0" borderId="0" xfId="148" applyNumberFormat="1" applyFont="1" applyFill="1" applyAlignment="1" applyProtection="1">
      <alignment horizontal="center"/>
    </xf>
    <xf numFmtId="49" fontId="21" fillId="0" borderId="0" xfId="0" applyNumberFormat="1" applyFont="1" applyFill="1" applyAlignment="1" applyProtection="1">
      <alignment horizontal="center"/>
    </xf>
    <xf numFmtId="49" fontId="18" fillId="0" borderId="0" xfId="0" applyNumberFormat="1" applyFont="1" applyFill="1" applyAlignment="1" applyProtection="1">
      <alignment horizontal="center"/>
    </xf>
    <xf numFmtId="43" fontId="30" fillId="21" borderId="0" xfId="161" applyFont="1" applyFill="1" applyAlignment="1" applyProtection="1">
      <alignment horizontal="right"/>
    </xf>
    <xf numFmtId="43" fontId="48" fillId="21" borderId="0" xfId="161" applyFont="1" applyFill="1" applyAlignment="1" applyProtection="1"/>
    <xf numFmtId="43" fontId="35" fillId="21" borderId="0" xfId="161" quotePrefix="1" applyFont="1" applyFill="1" applyBorder="1" applyAlignment="1">
      <alignment horizontal="center"/>
    </xf>
    <xf numFmtId="43" fontId="30" fillId="21" borderId="0" xfId="161" applyFont="1" applyFill="1" applyAlignment="1">
      <alignment horizontal="center"/>
    </xf>
    <xf numFmtId="43" fontId="30" fillId="21" borderId="3" xfId="161" applyFont="1" applyFill="1" applyBorder="1" applyAlignment="1">
      <alignment horizontal="center"/>
    </xf>
    <xf numFmtId="43" fontId="28" fillId="21" borderId="4" xfId="161" applyFont="1" applyFill="1" applyBorder="1"/>
    <xf numFmtId="10" fontId="28" fillId="21" borderId="14" xfId="148" applyNumberFormat="1" applyFont="1" applyFill="1" applyBorder="1"/>
    <xf numFmtId="43" fontId="110" fillId="21" borderId="0" xfId="161" applyFont="1" applyFill="1" applyAlignment="1">
      <alignment horizontal="right"/>
    </xf>
    <xf numFmtId="43" fontId="28" fillId="21" borderId="0" xfId="161" applyFont="1" applyFill="1" applyAlignment="1">
      <alignment horizontal="right"/>
    </xf>
    <xf numFmtId="43" fontId="30" fillId="21" borderId="0" xfId="161" applyFont="1" applyFill="1" applyAlignment="1">
      <alignment horizontal="right"/>
    </xf>
    <xf numFmtId="43" fontId="110" fillId="21" borderId="0" xfId="161" applyFont="1" applyFill="1" applyBorder="1" applyAlignment="1">
      <alignment horizontal="right"/>
    </xf>
    <xf numFmtId="43" fontId="30" fillId="21" borderId="0" xfId="161" applyFont="1" applyFill="1" applyBorder="1" applyAlignment="1">
      <alignment horizontal="right"/>
    </xf>
    <xf numFmtId="43" fontId="95" fillId="21" borderId="0" xfId="161" applyFont="1" applyFill="1"/>
    <xf numFmtId="43" fontId="30" fillId="21" borderId="5" xfId="161" applyFont="1" applyFill="1" applyBorder="1"/>
    <xf numFmtId="43" fontId="111" fillId="21" borderId="0" xfId="161" applyFont="1" applyFill="1"/>
    <xf numFmtId="43" fontId="21" fillId="0" borderId="0" xfId="161" applyFont="1" applyProtection="1"/>
    <xf numFmtId="43" fontId="22" fillId="0" borderId="0" xfId="161" applyFont="1" applyAlignment="1" applyProtection="1">
      <alignment horizontal="center"/>
    </xf>
    <xf numFmtId="43" fontId="35" fillId="0" borderId="0" xfId="161" applyFont="1"/>
    <xf numFmtId="43" fontId="28" fillId="21" borderId="0" xfId="161" applyFont="1" applyFill="1" applyProtection="1"/>
    <xf numFmtId="43" fontId="28" fillId="21" borderId="0" xfId="161" applyFont="1" applyFill="1" applyAlignment="1" applyProtection="1">
      <alignment horizontal="center"/>
    </xf>
    <xf numFmtId="43" fontId="21" fillId="21" borderId="0" xfId="161" applyFont="1" applyFill="1" applyProtection="1"/>
    <xf numFmtId="43" fontId="104" fillId="21" borderId="0" xfId="161" applyFont="1" applyFill="1" applyBorder="1" applyProtection="1"/>
    <xf numFmtId="43" fontId="28" fillId="21" borderId="0" xfId="161" applyFont="1" applyFill="1" applyBorder="1" applyProtection="1"/>
    <xf numFmtId="43" fontId="22" fillId="21" borderId="0" xfId="161" applyFont="1" applyFill="1" applyBorder="1" applyProtection="1"/>
    <xf numFmtId="43" fontId="54" fillId="21" borderId="0" xfId="161" applyFont="1" applyFill="1" applyProtection="1"/>
    <xf numFmtId="43" fontId="70" fillId="21" borderId="0" xfId="161" applyFont="1" applyFill="1" applyProtection="1"/>
    <xf numFmtId="43" fontId="0" fillId="21" borderId="0" xfId="161" applyFont="1" applyFill="1"/>
    <xf numFmtId="43" fontId="21" fillId="0" borderId="0" xfId="161" applyFont="1" applyFill="1" applyProtection="1"/>
    <xf numFmtId="43" fontId="22" fillId="21" borderId="0" xfId="161" applyFont="1" applyFill="1" applyProtection="1"/>
    <xf numFmtId="43" fontId="21" fillId="21" borderId="16" xfId="161" applyFont="1" applyFill="1" applyBorder="1" applyProtection="1"/>
    <xf numFmtId="43" fontId="21" fillId="0" borderId="16" xfId="161" applyFont="1" applyFill="1" applyBorder="1" applyProtection="1"/>
    <xf numFmtId="43" fontId="28" fillId="0" borderId="0" xfId="161" applyFont="1" applyFill="1" applyProtection="1"/>
    <xf numFmtId="43" fontId="113" fillId="21" borderId="0" xfId="161" applyFont="1" applyFill="1" applyProtection="1"/>
    <xf numFmtId="43" fontId="113" fillId="0" borderId="0" xfId="161" applyFont="1" applyFill="1"/>
    <xf numFmtId="43" fontId="21" fillId="21" borderId="0" xfId="161" applyFont="1" applyFill="1" applyBorder="1" applyProtection="1"/>
    <xf numFmtId="43" fontId="28" fillId="0" borderId="0" xfId="161" applyFont="1" applyFill="1" applyBorder="1" applyProtection="1"/>
    <xf numFmtId="43" fontId="22" fillId="21" borderId="46" xfId="161" applyFont="1" applyFill="1" applyBorder="1" applyProtection="1"/>
    <xf numFmtId="43" fontId="22" fillId="21" borderId="0" xfId="161" applyFont="1" applyFill="1" applyAlignment="1" applyProtection="1">
      <alignment horizontal="right"/>
    </xf>
    <xf numFmtId="10" fontId="28" fillId="21" borderId="0" xfId="146" applyNumberFormat="1" applyFont="1" applyFill="1"/>
    <xf numFmtId="10" fontId="28" fillId="21" borderId="4" xfId="148" applyNumberFormat="1" applyFont="1" applyFill="1" applyBorder="1"/>
    <xf numFmtId="9" fontId="28" fillId="21" borderId="0" xfId="148" applyFont="1" applyFill="1"/>
    <xf numFmtId="43" fontId="28" fillId="21" borderId="0" xfId="161" applyFont="1" applyFill="1" applyAlignment="1">
      <alignment horizontal="center"/>
    </xf>
    <xf numFmtId="43" fontId="28" fillId="21" borderId="0" xfId="161" applyFont="1" applyFill="1" applyAlignment="1"/>
    <xf numFmtId="10" fontId="45" fillId="21" borderId="0" xfId="148" applyNumberFormat="1" applyFont="1" applyFill="1" applyAlignment="1">
      <alignment horizontal="right"/>
    </xf>
    <xf numFmtId="49" fontId="45" fillId="21" borderId="0" xfId="9" applyNumberFormat="1" applyFont="1" applyFill="1"/>
    <xf numFmtId="43" fontId="45" fillId="21" borderId="0" xfId="9" applyFont="1" applyFill="1" applyAlignment="1">
      <alignment horizontal="right"/>
    </xf>
    <xf numFmtId="0" fontId="95" fillId="0" borderId="0" xfId="513" applyFont="1" applyFill="1"/>
    <xf numFmtId="2" fontId="35" fillId="21" borderId="0" xfId="0" applyNumberFormat="1" applyFont="1" applyFill="1" applyAlignment="1"/>
    <xf numFmtId="166" fontId="35" fillId="21" borderId="0" xfId="148" applyNumberFormat="1" applyFont="1" applyFill="1" applyAlignment="1">
      <alignment horizontal="right"/>
    </xf>
    <xf numFmtId="49" fontId="31" fillId="21" borderId="0" xfId="9" applyNumberFormat="1" applyFont="1" applyFill="1"/>
    <xf numFmtId="164" fontId="52" fillId="21" borderId="0" xfId="0" applyFont="1" applyFill="1" applyAlignment="1">
      <alignment horizontal="center" vertical="center"/>
    </xf>
    <xf numFmtId="10" fontId="28" fillId="21" borderId="0" xfId="148" applyNumberFormat="1" applyFont="1" applyFill="1"/>
    <xf numFmtId="43" fontId="110" fillId="21" borderId="0" xfId="410" applyFont="1" applyFill="1" applyAlignment="1">
      <alignment horizontal="right"/>
    </xf>
    <xf numFmtId="43" fontId="28" fillId="21" borderId="0" xfId="410" applyFont="1" applyFill="1"/>
    <xf numFmtId="3" fontId="110" fillId="21" borderId="0" xfId="17" applyNumberFormat="1" applyFont="1" applyFill="1" applyAlignment="1">
      <alignment horizontal="right"/>
    </xf>
    <xf numFmtId="3" fontId="110" fillId="21" borderId="0" xfId="17" applyNumberFormat="1" applyFont="1" applyFill="1" applyBorder="1" applyAlignment="1">
      <alignment horizontal="right"/>
    </xf>
    <xf numFmtId="43" fontId="110" fillId="21" borderId="0" xfId="410" applyFont="1" applyFill="1" applyBorder="1" applyAlignment="1">
      <alignment horizontal="right"/>
    </xf>
    <xf numFmtId="43" fontId="28" fillId="21" borderId="0" xfId="410" applyFont="1" applyFill="1" applyBorder="1"/>
    <xf numFmtId="3" fontId="110" fillId="21" borderId="22" xfId="17" applyNumberFormat="1" applyFont="1" applyFill="1" applyBorder="1" applyAlignment="1">
      <alignment horizontal="right"/>
    </xf>
    <xf numFmtId="43" fontId="110" fillId="21" borderId="22" xfId="410" applyFont="1" applyFill="1" applyBorder="1" applyAlignment="1">
      <alignment horizontal="right"/>
    </xf>
    <xf numFmtId="43" fontId="28" fillId="21" borderId="22" xfId="410" applyFont="1" applyFill="1" applyBorder="1"/>
    <xf numFmtId="10" fontId="28" fillId="21" borderId="0" xfId="148" applyNumberFormat="1" applyFont="1" applyFill="1" applyAlignment="1" applyProtection="1">
      <alignment horizontal="center"/>
    </xf>
    <xf numFmtId="10" fontId="104" fillId="21" borderId="0" xfId="148" applyNumberFormat="1" applyFont="1" applyFill="1" applyBorder="1" applyAlignment="1" applyProtection="1">
      <alignment horizontal="center"/>
    </xf>
    <xf numFmtId="10" fontId="22" fillId="21" borderId="1" xfId="148" applyNumberFormat="1" applyFont="1" applyFill="1" applyBorder="1" applyAlignment="1" applyProtection="1">
      <alignment horizontal="center"/>
    </xf>
    <xf numFmtId="168" fontId="30" fillId="21" borderId="0" xfId="410" applyNumberFormat="1" applyFont="1" applyFill="1"/>
    <xf numFmtId="172" fontId="21" fillId="0" borderId="0" xfId="0" applyNumberFormat="1" applyFont="1" applyProtection="1"/>
    <xf numFmtId="182" fontId="28" fillId="21" borderId="0" xfId="513" applyNumberFormat="1" applyFont="1" applyFill="1"/>
    <xf numFmtId="182" fontId="28" fillId="21" borderId="0" xfId="513" applyNumberFormat="1" applyFont="1" applyFill="1" applyAlignment="1">
      <alignment horizontal="center"/>
    </xf>
    <xf numFmtId="168" fontId="28" fillId="21" borderId="4" xfId="161" applyNumberFormat="1" applyFont="1" applyFill="1" applyBorder="1"/>
    <xf numFmtId="10" fontId="21" fillId="0" borderId="0" xfId="148" applyNumberFormat="1" applyFont="1" applyProtection="1"/>
    <xf numFmtId="10" fontId="22" fillId="0" borderId="0" xfId="148" applyNumberFormat="1" applyFont="1" applyProtection="1"/>
    <xf numFmtId="10" fontId="112" fillId="21" borderId="0" xfId="148" applyNumberFormat="1" applyFont="1" applyFill="1" applyAlignment="1" applyProtection="1">
      <alignment horizontal="center"/>
    </xf>
    <xf numFmtId="10" fontId="22" fillId="0" borderId="0" xfId="148" applyNumberFormat="1" applyFont="1" applyFill="1" applyAlignment="1" applyProtection="1">
      <alignment horizontal="center"/>
    </xf>
    <xf numFmtId="10" fontId="30" fillId="21" borderId="14" xfId="148" applyNumberFormat="1" applyFont="1" applyFill="1" applyBorder="1" applyAlignment="1">
      <alignment horizontal="center"/>
    </xf>
    <xf numFmtId="10" fontId="22" fillId="0" borderId="0" xfId="148" applyNumberFormat="1" applyFont="1" applyAlignment="1" applyProtection="1">
      <alignment horizontal="center"/>
    </xf>
    <xf numFmtId="10" fontId="22" fillId="0" borderId="44" xfId="148" applyNumberFormat="1" applyFont="1" applyBorder="1" applyAlignment="1" applyProtection="1">
      <alignment horizontal="center"/>
    </xf>
    <xf numFmtId="10" fontId="105" fillId="21" borderId="6" xfId="161" applyNumberFormat="1" applyFont="1" applyFill="1" applyBorder="1"/>
    <xf numFmtId="43" fontId="144" fillId="0" borderId="0" xfId="410" applyFont="1" applyFill="1"/>
    <xf numFmtId="43" fontId="96" fillId="0" borderId="0" xfId="410" applyFont="1" applyFill="1" applyAlignment="1" applyProtection="1">
      <alignment horizontal="right"/>
    </xf>
    <xf numFmtId="43" fontId="145" fillId="0" borderId="0" xfId="410" applyFont="1" applyFill="1" applyProtection="1"/>
    <xf numFmtId="43" fontId="146" fillId="0" borderId="0" xfId="410" applyFont="1" applyFill="1"/>
    <xf numFmtId="43" fontId="95" fillId="0" borderId="0" xfId="410" applyFont="1" applyFill="1" applyBorder="1"/>
    <xf numFmtId="0" fontId="95" fillId="0" borderId="0" xfId="387" quotePrefix="1" applyFont="1" applyFill="1" applyAlignment="1">
      <alignment horizontal="center"/>
    </xf>
    <xf numFmtId="43" fontId="96" fillId="0" borderId="58" xfId="410" applyFont="1" applyFill="1" applyBorder="1" applyAlignment="1">
      <alignment horizontal="center" wrapText="1"/>
    </xf>
    <xf numFmtId="43" fontId="96" fillId="0" borderId="0" xfId="410" applyFont="1" applyFill="1" applyBorder="1" applyAlignment="1">
      <alignment horizontal="center" wrapText="1"/>
    </xf>
    <xf numFmtId="43" fontId="96" fillId="0" borderId="4" xfId="410" applyFont="1" applyFill="1" applyBorder="1" applyAlignment="1">
      <alignment horizontal="center" wrapText="1"/>
    </xf>
    <xf numFmtId="168" fontId="95" fillId="0" borderId="33" xfId="410" applyNumberFormat="1" applyFont="1" applyFill="1" applyBorder="1"/>
    <xf numFmtId="168" fontId="95" fillId="0" borderId="0" xfId="410" applyNumberFormat="1" applyFont="1" applyFill="1" applyBorder="1"/>
    <xf numFmtId="168" fontId="95" fillId="0" borderId="4" xfId="410" applyNumberFormat="1" applyFont="1" applyFill="1" applyBorder="1"/>
    <xf numFmtId="168" fontId="96" fillId="0" borderId="33" xfId="410" applyNumberFormat="1" applyFont="1" applyFill="1" applyBorder="1"/>
    <xf numFmtId="168" fontId="96" fillId="0" borderId="4" xfId="410" applyNumberFormat="1" applyFont="1" applyFill="1" applyBorder="1" applyAlignment="1">
      <alignment horizontal="center" wrapText="1"/>
    </xf>
    <xf numFmtId="164" fontId="148" fillId="0" borderId="0" xfId="0" applyFont="1"/>
    <xf numFmtId="168" fontId="96" fillId="0" borderId="32" xfId="410" applyNumberFormat="1" applyFont="1" applyFill="1" applyBorder="1"/>
    <xf numFmtId="3" fontId="96" fillId="0" borderId="0" xfId="8" applyNumberFormat="1" applyFont="1" applyFill="1"/>
    <xf numFmtId="168" fontId="95" fillId="0" borderId="0" xfId="388" applyNumberFormat="1" applyFont="1" applyFill="1" applyBorder="1"/>
    <xf numFmtId="168" fontId="95" fillId="0" borderId="0" xfId="420" applyNumberFormat="1" applyFont="1" applyFill="1"/>
    <xf numFmtId="0" fontId="95" fillId="0" borderId="0" xfId="420" applyFont="1" applyFill="1"/>
    <xf numFmtId="43" fontId="0" fillId="0" borderId="0" xfId="161" applyFont="1"/>
    <xf numFmtId="164" fontId="22" fillId="21" borderId="0" xfId="0" applyFont="1" applyFill="1" applyAlignment="1">
      <alignment horizontal="center"/>
    </xf>
    <xf numFmtId="164" fontId="22" fillId="21" borderId="0" xfId="0" applyFont="1" applyFill="1" applyAlignment="1">
      <alignment horizontal="left"/>
    </xf>
    <xf numFmtId="10" fontId="22" fillId="21" borderId="0" xfId="0" applyNumberFormat="1" applyFont="1" applyFill="1" applyAlignment="1">
      <alignment horizontal="center"/>
    </xf>
    <xf numFmtId="164" fontId="21" fillId="0" borderId="0" xfId="0" applyFont="1"/>
    <xf numFmtId="43" fontId="21" fillId="0" borderId="0" xfId="410" applyFont="1" applyFill="1" applyProtection="1"/>
    <xf numFmtId="164" fontId="21" fillId="21" borderId="0" xfId="0" applyFont="1" applyFill="1"/>
    <xf numFmtId="164" fontId="21" fillId="21" borderId="0" xfId="0" applyFont="1" applyFill="1" applyAlignment="1">
      <alignment horizontal="center"/>
    </xf>
    <xf numFmtId="164" fontId="21" fillId="21" borderId="0" xfId="0" applyFont="1" applyFill="1" applyAlignment="1">
      <alignment horizontal="left"/>
    </xf>
    <xf numFmtId="10" fontId="21" fillId="21" borderId="0" xfId="0" applyNumberFormat="1" applyFont="1" applyFill="1"/>
    <xf numFmtId="164" fontId="112" fillId="21" borderId="0" xfId="0" applyFont="1" applyFill="1" applyAlignment="1">
      <alignment horizontal="left"/>
    </xf>
    <xf numFmtId="10" fontId="112" fillId="21" borderId="0" xfId="0" applyNumberFormat="1" applyFont="1" applyFill="1" applyAlignment="1">
      <alignment horizontal="center"/>
    </xf>
    <xf numFmtId="43" fontId="21" fillId="21" borderId="0" xfId="410" applyFont="1" applyFill="1" applyProtection="1"/>
    <xf numFmtId="10" fontId="22" fillId="21" borderId="64" xfId="148" applyNumberFormat="1" applyFont="1" applyFill="1" applyBorder="1" applyAlignment="1" applyProtection="1">
      <alignment horizontal="center"/>
    </xf>
    <xf numFmtId="168" fontId="22" fillId="21" borderId="0" xfId="410" applyNumberFormat="1" applyFont="1" applyFill="1" applyAlignment="1" applyProtection="1">
      <alignment horizontal="center"/>
    </xf>
    <xf numFmtId="41" fontId="113" fillId="21" borderId="0" xfId="61" applyNumberFormat="1" applyFont="1" applyFill="1"/>
    <xf numFmtId="164" fontId="53" fillId="21" borderId="0" xfId="0" applyNumberFormat="1" applyFont="1" applyFill="1" applyAlignment="1" applyProtection="1"/>
    <xf numFmtId="170" fontId="28" fillId="0" borderId="0" xfId="147" applyNumberFormat="1" applyFont="1" applyAlignment="1" applyProtection="1">
      <alignment horizontal="right"/>
    </xf>
    <xf numFmtId="170" fontId="21" fillId="0" borderId="0" xfId="147" applyNumberFormat="1" applyFont="1" applyAlignment="1" applyProtection="1">
      <alignment horizontal="right"/>
    </xf>
    <xf numFmtId="170" fontId="22" fillId="0" borderId="0" xfId="147" applyNumberFormat="1" applyFont="1" applyAlignment="1" applyProtection="1">
      <alignment horizontal="right"/>
    </xf>
    <xf numFmtId="170" fontId="45" fillId="0" borderId="0" xfId="147" applyNumberFormat="1" applyFont="1" applyAlignment="1">
      <alignment horizontal="right"/>
    </xf>
    <xf numFmtId="170" fontId="35" fillId="0" borderId="0" xfId="147" applyNumberFormat="1" applyFont="1" applyAlignment="1">
      <alignment horizontal="right"/>
    </xf>
    <xf numFmtId="170" fontId="31" fillId="0" borderId="0" xfId="147" applyNumberFormat="1" applyFont="1" applyAlignment="1">
      <alignment horizontal="right"/>
    </xf>
    <xf numFmtId="170" fontId="104" fillId="0" borderId="0" xfId="147" applyNumberFormat="1" applyFont="1" applyAlignment="1" applyProtection="1">
      <alignment horizontal="right"/>
    </xf>
    <xf numFmtId="170" fontId="112" fillId="0" borderId="0" xfId="147" applyNumberFormat="1" applyFont="1" applyAlignment="1" applyProtection="1">
      <alignment horizontal="right"/>
    </xf>
    <xf numFmtId="3" fontId="52" fillId="0" borderId="0" xfId="8" applyNumberFormat="1" applyFont="1" applyFill="1" applyAlignment="1">
      <alignment horizontal="left"/>
    </xf>
    <xf numFmtId="164" fontId="143" fillId="0" borderId="0" xfId="0" applyFont="1"/>
    <xf numFmtId="164" fontId="22" fillId="0" borderId="0" xfId="0" applyNumberFormat="1" applyFont="1" applyAlignment="1" applyProtection="1">
      <alignment horizontal="center"/>
    </xf>
    <xf numFmtId="164" fontId="22" fillId="0" borderId="0" xfId="0" applyNumberFormat="1" applyFont="1" applyBorder="1" applyAlignment="1" applyProtection="1">
      <alignment horizontal="center"/>
    </xf>
    <xf numFmtId="164" fontId="19" fillId="21" borderId="0" xfId="0" applyNumberFormat="1" applyFont="1" applyFill="1" applyAlignment="1" applyProtection="1">
      <alignment horizontal="center"/>
    </xf>
    <xf numFmtId="164" fontId="19" fillId="21" borderId="0" xfId="0" applyNumberFormat="1" applyFont="1" applyFill="1" applyBorder="1" applyAlignment="1" applyProtection="1">
      <alignment horizontal="center"/>
    </xf>
    <xf numFmtId="164" fontId="30" fillId="21" borderId="0" xfId="0" applyFont="1" applyFill="1" applyAlignment="1">
      <alignment horizontal="center"/>
    </xf>
    <xf numFmtId="164" fontId="52" fillId="21" borderId="0" xfId="0" applyFont="1" applyFill="1" applyAlignment="1">
      <alignment horizontal="center"/>
    </xf>
    <xf numFmtId="164" fontId="22" fillId="21" borderId="0" xfId="0" applyNumberFormat="1" applyFont="1" applyFill="1" applyAlignment="1" applyProtection="1">
      <alignment horizontal="center"/>
    </xf>
    <xf numFmtId="164" fontId="22" fillId="21" borderId="0" xfId="0" applyNumberFormat="1" applyFont="1" applyFill="1" applyBorder="1" applyAlignment="1" applyProtection="1">
      <alignment horizontal="center"/>
    </xf>
    <xf numFmtId="164" fontId="22" fillId="0" borderId="0" xfId="0" applyNumberFormat="1" applyFont="1" applyFill="1" applyAlignment="1" applyProtection="1">
      <alignment horizontal="center"/>
    </xf>
    <xf numFmtId="164" fontId="19" fillId="21" borderId="0" xfId="193" applyNumberFormat="1" applyFont="1" applyFill="1" applyAlignment="1" applyProtection="1">
      <alignment horizontal="center"/>
    </xf>
    <xf numFmtId="164" fontId="19" fillId="0" borderId="0" xfId="0" applyNumberFormat="1" applyFont="1" applyAlignment="1" applyProtection="1">
      <alignment horizontal="center"/>
    </xf>
    <xf numFmtId="164" fontId="19" fillId="0" borderId="0" xfId="0" applyNumberFormat="1" applyFont="1" applyFill="1" applyAlignment="1" applyProtection="1">
      <alignment horizontal="center"/>
    </xf>
    <xf numFmtId="164" fontId="48" fillId="21" borderId="0" xfId="0" applyNumberFormat="1" applyFont="1" applyFill="1" applyBorder="1" applyAlignment="1" applyProtection="1">
      <alignment horizontal="center"/>
    </xf>
    <xf numFmtId="164" fontId="0" fillId="0" borderId="0" xfId="0" applyProtection="1"/>
    <xf numFmtId="164" fontId="43" fillId="0" borderId="0" xfId="0" applyFont="1" applyProtection="1"/>
    <xf numFmtId="164" fontId="53" fillId="0" borderId="0" xfId="0" applyFont="1" applyProtection="1"/>
    <xf numFmtId="164" fontId="35" fillId="0" borderId="0" xfId="0" applyFont="1" applyProtection="1"/>
    <xf numFmtId="164" fontId="28" fillId="0" borderId="0" xfId="0" applyFont="1" applyProtection="1"/>
    <xf numFmtId="9" fontId="28" fillId="0" borderId="0" xfId="148" applyFont="1" applyProtection="1"/>
    <xf numFmtId="168" fontId="28" fillId="0" borderId="16" xfId="161" applyNumberFormat="1" applyFont="1" applyBorder="1" applyProtection="1"/>
    <xf numFmtId="43" fontId="28" fillId="0" borderId="0" xfId="161" applyFont="1" applyProtection="1"/>
    <xf numFmtId="0" fontId="28" fillId="0" borderId="0" xfId="399" applyNumberFormat="1" applyFont="1" applyAlignment="1" applyProtection="1"/>
    <xf numFmtId="0" fontId="28" fillId="0" borderId="0" xfId="399" applyFont="1" applyAlignment="1" applyProtection="1"/>
    <xf numFmtId="0" fontId="28" fillId="0" borderId="0" xfId="399" applyNumberFormat="1" applyFont="1" applyAlignment="1" applyProtection="1">
      <alignment horizontal="center"/>
    </xf>
    <xf numFmtId="43" fontId="28" fillId="0" borderId="0" xfId="9" applyFont="1" applyFill="1" applyAlignment="1" applyProtection="1"/>
    <xf numFmtId="0" fontId="28" fillId="21" borderId="0" xfId="399" applyNumberFormat="1" applyFont="1" applyFill="1" applyProtection="1"/>
    <xf numFmtId="0" fontId="28" fillId="0" borderId="0" xfId="399" applyNumberFormat="1" applyFont="1" applyProtection="1"/>
    <xf numFmtId="0" fontId="113" fillId="0" borderId="0" xfId="399" applyFont="1" applyAlignment="1" applyProtection="1"/>
    <xf numFmtId="0" fontId="30" fillId="0" borderId="0" xfId="399" applyNumberFormat="1" applyFont="1" applyAlignment="1" applyProtection="1"/>
    <xf numFmtId="168" fontId="30" fillId="0" borderId="17" xfId="161" applyNumberFormat="1" applyFont="1" applyBorder="1" applyProtection="1"/>
    <xf numFmtId="43" fontId="113" fillId="0" borderId="0" xfId="161" applyFont="1" applyAlignment="1" applyProtection="1"/>
    <xf numFmtId="3" fontId="28" fillId="0" borderId="0" xfId="399" applyNumberFormat="1" applyFont="1" applyAlignment="1" applyProtection="1"/>
    <xf numFmtId="43" fontId="113" fillId="0" borderId="0" xfId="161" applyFont="1" applyProtection="1"/>
    <xf numFmtId="164" fontId="28" fillId="0" borderId="0" xfId="0" applyFont="1" applyAlignment="1" applyProtection="1">
      <alignment wrapText="1"/>
    </xf>
    <xf numFmtId="43" fontId="28" fillId="39" borderId="0" xfId="161" applyFont="1" applyFill="1" applyAlignment="1" applyProtection="1">
      <alignment horizontal="left"/>
      <protection locked="0"/>
    </xf>
    <xf numFmtId="3" fontId="28" fillId="39" borderId="0" xfId="399" applyNumberFormat="1" applyFont="1" applyFill="1" applyAlignment="1" applyProtection="1">
      <protection locked="0"/>
    </xf>
    <xf numFmtId="43" fontId="28" fillId="39" borderId="0" xfId="161" applyFont="1" applyFill="1" applyProtection="1">
      <protection locked="0"/>
    </xf>
    <xf numFmtId="164" fontId="30" fillId="21" borderId="0" xfId="0" applyFont="1" applyFill="1" applyBorder="1" applyProtection="1"/>
    <xf numFmtId="164" fontId="31" fillId="21" borderId="0" xfId="0" applyFont="1" applyFill="1" applyBorder="1" applyProtection="1"/>
    <xf numFmtId="164" fontId="35" fillId="21" borderId="0" xfId="0" applyFont="1" applyFill="1" applyBorder="1" applyProtection="1"/>
    <xf numFmtId="164" fontId="35" fillId="21" borderId="0" xfId="0" applyFont="1" applyFill="1" applyProtection="1"/>
    <xf numFmtId="164" fontId="30" fillId="21" borderId="0" xfId="0" applyFont="1" applyFill="1" applyBorder="1" applyAlignment="1" applyProtection="1">
      <alignment horizontal="center"/>
    </xf>
    <xf numFmtId="164" fontId="30" fillId="21" borderId="5" xfId="0" applyFont="1" applyFill="1" applyBorder="1" applyAlignment="1" applyProtection="1">
      <alignment horizontal="left"/>
    </xf>
    <xf numFmtId="164" fontId="30" fillId="21" borderId="5" xfId="0" applyFont="1" applyFill="1" applyBorder="1" applyAlignment="1" applyProtection="1">
      <alignment horizontal="center"/>
    </xf>
    <xf numFmtId="164" fontId="30" fillId="21" borderId="5" xfId="0" applyFont="1" applyFill="1" applyBorder="1" applyAlignment="1" applyProtection="1"/>
    <xf numFmtId="164" fontId="28" fillId="21" borderId="0" xfId="0" applyFont="1" applyFill="1" applyBorder="1" applyProtection="1"/>
    <xf numFmtId="164" fontId="115" fillId="21" borderId="0" xfId="197" applyNumberFormat="1" applyFont="1" applyFill="1" applyBorder="1" applyAlignment="1" applyProtection="1"/>
    <xf numFmtId="164" fontId="28" fillId="21" borderId="0" xfId="0" applyFont="1" applyFill="1" applyBorder="1" applyAlignment="1" applyProtection="1">
      <alignment vertical="center"/>
    </xf>
    <xf numFmtId="0" fontId="28" fillId="21" borderId="0" xfId="389" applyNumberFormat="1" applyFont="1" applyFill="1" applyBorder="1" applyAlignment="1" applyProtection="1"/>
    <xf numFmtId="0" fontId="28" fillId="0" borderId="0" xfId="389" applyNumberFormat="1" applyFont="1" applyFill="1" applyBorder="1" applyAlignment="1" applyProtection="1"/>
    <xf numFmtId="168" fontId="28" fillId="0" borderId="0" xfId="9" applyNumberFormat="1" applyFont="1" applyAlignment="1" applyProtection="1"/>
    <xf numFmtId="164" fontId="54" fillId="0" borderId="0" xfId="0" applyFont="1" applyProtection="1"/>
    <xf numFmtId="43" fontId="0" fillId="0" borderId="0" xfId="161" applyFont="1" applyProtection="1"/>
    <xf numFmtId="164" fontId="21" fillId="39" borderId="0" xfId="0" applyNumberFormat="1" applyFont="1" applyFill="1" applyProtection="1">
      <protection locked="0"/>
    </xf>
    <xf numFmtId="168" fontId="21" fillId="39" borderId="35" xfId="161" applyNumberFormat="1" applyFont="1" applyFill="1" applyBorder="1" applyProtection="1">
      <protection locked="0"/>
    </xf>
    <xf numFmtId="164" fontId="21" fillId="39" borderId="35" xfId="0" applyNumberFormat="1" applyFont="1" applyFill="1" applyBorder="1" applyProtection="1">
      <protection locked="0"/>
    </xf>
    <xf numFmtId="168" fontId="22" fillId="39" borderId="0" xfId="161" applyNumberFormat="1" applyFont="1" applyFill="1" applyAlignment="1" applyProtection="1">
      <alignment horizontal="center"/>
      <protection locked="0"/>
    </xf>
    <xf numFmtId="168" fontId="22" fillId="39" borderId="0" xfId="410" applyNumberFormat="1" applyFont="1" applyFill="1" applyAlignment="1" applyProtection="1">
      <alignment horizontal="center"/>
      <protection locked="0"/>
    </xf>
    <xf numFmtId="164" fontId="0" fillId="39" borderId="0" xfId="0" applyFill="1" applyProtection="1">
      <protection locked="0"/>
    </xf>
    <xf numFmtId="175" fontId="85" fillId="0" borderId="0" xfId="389" applyFont="1" applyFill="1" applyBorder="1" applyAlignment="1" applyProtection="1"/>
    <xf numFmtId="175" fontId="85" fillId="0" borderId="0" xfId="389" applyFont="1" applyFill="1" applyBorder="1" applyAlignment="1" applyProtection="1">
      <alignment horizontal="right"/>
    </xf>
    <xf numFmtId="175" fontId="28" fillId="0" borderId="0" xfId="389" applyFont="1" applyFill="1" applyBorder="1" applyAlignment="1" applyProtection="1"/>
    <xf numFmtId="175" fontId="89" fillId="0" borderId="0" xfId="389" applyFont="1" applyFill="1" applyBorder="1" applyAlignment="1" applyProtection="1"/>
    <xf numFmtId="0" fontId="86" fillId="0" borderId="0" xfId="389" applyNumberFormat="1" applyFont="1" applyFill="1" applyBorder="1" applyProtection="1"/>
    <xf numFmtId="0" fontId="85" fillId="0" borderId="0" xfId="389" applyNumberFormat="1" applyFont="1" applyFill="1" applyBorder="1" applyProtection="1"/>
    <xf numFmtId="0" fontId="86" fillId="0" borderId="0" xfId="389" applyNumberFormat="1" applyFont="1" applyFill="1" applyBorder="1" applyAlignment="1" applyProtection="1">
      <alignment horizontal="center"/>
    </xf>
    <xf numFmtId="0" fontId="85" fillId="0" borderId="0" xfId="389" applyNumberFormat="1" applyFont="1" applyFill="1" applyBorder="1" applyAlignment="1" applyProtection="1">
      <alignment horizontal="center"/>
    </xf>
    <xf numFmtId="0" fontId="89" fillId="0" borderId="0" xfId="389" applyNumberFormat="1" applyFont="1" applyFill="1" applyBorder="1" applyProtection="1"/>
    <xf numFmtId="49" fontId="85" fillId="0" borderId="0" xfId="389" applyNumberFormat="1" applyFont="1" applyFill="1" applyBorder="1" applyProtection="1"/>
    <xf numFmtId="0" fontId="90" fillId="0" borderId="0" xfId="389" applyNumberFormat="1" applyFont="1" applyFill="1" applyBorder="1" applyAlignment="1" applyProtection="1">
      <alignment horizontal="center"/>
    </xf>
    <xf numFmtId="175" fontId="90" fillId="0" borderId="0" xfId="389" applyFont="1" applyFill="1" applyBorder="1" applyAlignment="1" applyProtection="1"/>
    <xf numFmtId="0" fontId="90" fillId="0" borderId="0" xfId="389" applyNumberFormat="1" applyFont="1" applyFill="1" applyBorder="1" applyProtection="1"/>
    <xf numFmtId="49" fontId="90" fillId="0" borderId="0" xfId="389" applyNumberFormat="1" applyFont="1" applyFill="1" applyBorder="1" applyProtection="1"/>
    <xf numFmtId="0" fontId="28" fillId="0" borderId="0" xfId="389" applyNumberFormat="1" applyFont="1" applyFill="1" applyBorder="1" applyAlignment="1" applyProtection="1">
      <alignment horizontal="center"/>
    </xf>
    <xf numFmtId="0" fontId="28" fillId="0" borderId="0" xfId="389" applyNumberFormat="1" applyFont="1" applyFill="1" applyBorder="1" applyProtection="1"/>
    <xf numFmtId="49" fontId="28" fillId="0" borderId="0" xfId="389" applyNumberFormat="1" applyFont="1" applyFill="1" applyBorder="1" applyProtection="1"/>
    <xf numFmtId="0" fontId="35" fillId="0" borderId="0" xfId="389" applyNumberFormat="1" applyFont="1" applyFill="1" applyBorder="1" applyProtection="1"/>
    <xf numFmtId="175" fontId="35" fillId="0" borderId="0" xfId="389" applyFont="1" applyFill="1" applyBorder="1" applyAlignment="1" applyProtection="1"/>
    <xf numFmtId="3" fontId="28" fillId="0" borderId="0" xfId="389" applyNumberFormat="1" applyFont="1" applyFill="1" applyBorder="1" applyProtection="1"/>
    <xf numFmtId="3" fontId="30" fillId="0" borderId="0" xfId="389" applyNumberFormat="1" applyFont="1" applyFill="1" applyBorder="1" applyAlignment="1" applyProtection="1">
      <alignment horizontal="center"/>
    </xf>
    <xf numFmtId="3" fontId="28" fillId="0" borderId="0" xfId="389" applyNumberFormat="1" applyFont="1" applyFill="1" applyBorder="1" applyAlignment="1" applyProtection="1"/>
    <xf numFmtId="3" fontId="35" fillId="0" borderId="0" xfId="389" applyNumberFormat="1" applyFont="1" applyFill="1" applyBorder="1" applyAlignment="1" applyProtection="1"/>
    <xf numFmtId="0" fontId="35" fillId="0" borderId="0" xfId="389" applyNumberFormat="1" applyFont="1" applyFill="1" applyBorder="1" applyAlignment="1" applyProtection="1">
      <alignment horizontal="center"/>
    </xf>
    <xf numFmtId="0" fontId="35" fillId="0" borderId="0" xfId="389" applyNumberFormat="1" applyFont="1" applyFill="1" applyBorder="1" applyAlignment="1" applyProtection="1"/>
    <xf numFmtId="175" fontId="98" fillId="0" borderId="0" xfId="389" applyFont="1" applyFill="1" applyBorder="1" applyAlignment="1" applyProtection="1">
      <alignment horizontal="center"/>
    </xf>
    <xf numFmtId="175" fontId="104" fillId="0" borderId="0" xfId="389" applyFont="1" applyFill="1" applyBorder="1" applyAlignment="1" applyProtection="1"/>
    <xf numFmtId="0" fontId="104" fillId="0" borderId="0" xfId="389" applyNumberFormat="1" applyFont="1" applyFill="1" applyBorder="1" applyAlignment="1" applyProtection="1"/>
    <xf numFmtId="0" fontId="98" fillId="0" borderId="0" xfId="389" applyNumberFormat="1" applyFont="1" applyFill="1" applyBorder="1" applyAlignment="1" applyProtection="1">
      <alignment horizontal="center"/>
    </xf>
    <xf numFmtId="0" fontId="30" fillId="0" borderId="0" xfId="389" applyNumberFormat="1" applyFont="1" applyFill="1" applyBorder="1" applyAlignment="1" applyProtection="1">
      <alignment horizontal="center"/>
    </xf>
    <xf numFmtId="0" fontId="31" fillId="0" borderId="0" xfId="389" applyNumberFormat="1" applyFont="1" applyFill="1" applyBorder="1" applyAlignment="1" applyProtection="1">
      <alignment horizontal="center"/>
    </xf>
    <xf numFmtId="49" fontId="28" fillId="0" borderId="0" xfId="389" applyNumberFormat="1" applyFont="1" applyFill="1" applyBorder="1" applyAlignment="1" applyProtection="1">
      <alignment horizontal="center"/>
    </xf>
    <xf numFmtId="49" fontId="35" fillId="0" borderId="0" xfId="389" applyNumberFormat="1" applyFont="1" applyFill="1" applyBorder="1" applyAlignment="1" applyProtection="1">
      <alignment horizontal="center"/>
    </xf>
    <xf numFmtId="0" fontId="30" fillId="0" borderId="0" xfId="389" applyNumberFormat="1" applyFont="1" applyFill="1" applyBorder="1" applyAlignment="1" applyProtection="1"/>
    <xf numFmtId="3" fontId="28" fillId="0" borderId="0" xfId="389" applyNumberFormat="1" applyFont="1" applyFill="1" applyBorder="1" applyAlignment="1" applyProtection="1">
      <alignment horizontal="center"/>
    </xf>
    <xf numFmtId="3" fontId="28" fillId="0" borderId="0" xfId="389" applyNumberFormat="1" applyFont="1" applyFill="1" applyBorder="1" applyAlignment="1" applyProtection="1">
      <alignment horizontal="left"/>
    </xf>
    <xf numFmtId="168" fontId="28" fillId="0" borderId="0" xfId="391" applyNumberFormat="1" applyFont="1" applyFill="1" applyBorder="1" applyAlignment="1" applyProtection="1"/>
    <xf numFmtId="168" fontId="28" fillId="0" borderId="0" xfId="9" applyNumberFormat="1" applyFont="1" applyFill="1" applyBorder="1" applyAlignment="1" applyProtection="1"/>
    <xf numFmtId="168" fontId="28" fillId="0" borderId="22" xfId="9" applyNumberFormat="1" applyFont="1" applyFill="1" applyBorder="1" applyAlignment="1" applyProtection="1"/>
    <xf numFmtId="179" fontId="28" fillId="0" borderId="0" xfId="161" applyNumberFormat="1" applyFont="1" applyFill="1" applyBorder="1" applyAlignment="1" applyProtection="1"/>
    <xf numFmtId="10" fontId="21" fillId="0" borderId="0" xfId="392" applyNumberFormat="1" applyFont="1" applyFill="1" applyBorder="1" applyAlignment="1" applyProtection="1"/>
    <xf numFmtId="10" fontId="31" fillId="0" borderId="0" xfId="389" applyNumberFormat="1" applyFont="1" applyFill="1" applyBorder="1" applyAlignment="1" applyProtection="1"/>
    <xf numFmtId="3" fontId="31" fillId="0" borderId="0" xfId="389" applyNumberFormat="1" applyFont="1" applyFill="1" applyBorder="1" applyAlignment="1" applyProtection="1"/>
    <xf numFmtId="176" fontId="31" fillId="0" borderId="0" xfId="389" applyNumberFormat="1" applyFont="1" applyFill="1" applyBorder="1" applyAlignment="1" applyProtection="1"/>
    <xf numFmtId="43" fontId="28" fillId="0" borderId="0" xfId="9" applyFont="1" applyFill="1" applyBorder="1" applyAlignment="1" applyProtection="1"/>
    <xf numFmtId="3" fontId="35" fillId="0" borderId="0" xfId="389" applyNumberFormat="1" applyFont="1" applyFill="1" applyBorder="1" applyAlignment="1" applyProtection="1">
      <alignment horizontal="center"/>
    </xf>
    <xf numFmtId="175" fontId="28" fillId="0" borderId="0" xfId="389" applyFont="1" applyFill="1" applyBorder="1" applyAlignment="1" applyProtection="1">
      <alignment horizontal="left"/>
    </xf>
    <xf numFmtId="175" fontId="28" fillId="0" borderId="0" xfId="389" applyFont="1" applyFill="1" applyBorder="1" applyAlignment="1" applyProtection="1">
      <alignment horizontal="center"/>
    </xf>
    <xf numFmtId="10" fontId="30" fillId="0" borderId="0" xfId="392" applyNumberFormat="1" applyFont="1" applyFill="1" applyBorder="1" applyAlignment="1" applyProtection="1"/>
    <xf numFmtId="0" fontId="35" fillId="0" borderId="0" xfId="389" applyNumberFormat="1" applyFont="1" applyFill="1" applyBorder="1" applyAlignment="1" applyProtection="1">
      <alignment horizontal="fill"/>
    </xf>
    <xf numFmtId="3" fontId="28" fillId="0" borderId="0" xfId="389" applyNumberFormat="1" applyFont="1" applyFill="1" applyBorder="1" applyAlignment="1" applyProtection="1">
      <alignment horizontal="right"/>
    </xf>
    <xf numFmtId="177" fontId="30" fillId="0" borderId="0" xfId="9" applyNumberFormat="1" applyFont="1" applyFill="1" applyBorder="1" applyAlignment="1" applyProtection="1"/>
    <xf numFmtId="43" fontId="30" fillId="0" borderId="0" xfId="9" applyFont="1" applyFill="1" applyBorder="1" applyAlignment="1" applyProtection="1"/>
    <xf numFmtId="179" fontId="96" fillId="0" borderId="0" xfId="161" applyNumberFormat="1" applyFont="1" applyFill="1" applyBorder="1" applyAlignment="1" applyProtection="1"/>
    <xf numFmtId="3" fontId="132" fillId="0" borderId="0" xfId="389" applyNumberFormat="1" applyFont="1" applyFill="1" applyBorder="1" applyAlignment="1" applyProtection="1"/>
    <xf numFmtId="175" fontId="40" fillId="0" borderId="0" xfId="389" applyFont="1" applyFill="1" applyBorder="1" applyAlignment="1" applyProtection="1"/>
    <xf numFmtId="166" fontId="35" fillId="0" borderId="0" xfId="389" applyNumberFormat="1" applyFont="1" applyFill="1" applyBorder="1" applyAlignment="1" applyProtection="1">
      <alignment horizontal="center"/>
    </xf>
    <xf numFmtId="166" fontId="28" fillId="0" borderId="0" xfId="389" applyNumberFormat="1" applyFont="1" applyFill="1" applyBorder="1" applyAlignment="1" applyProtection="1">
      <alignment horizontal="left"/>
    </xf>
    <xf numFmtId="166" fontId="28" fillId="0" borderId="0" xfId="389" applyNumberFormat="1" applyFont="1" applyFill="1" applyBorder="1" applyAlignment="1" applyProtection="1">
      <alignment horizontal="center"/>
    </xf>
    <xf numFmtId="0" fontId="132" fillId="0" borderId="0" xfId="389" applyNumberFormat="1" applyFont="1" applyFill="1" applyBorder="1" applyProtection="1"/>
    <xf numFmtId="0" fontId="40" fillId="0" borderId="0" xfId="389" applyNumberFormat="1" applyFont="1" applyFill="1" applyBorder="1" applyProtection="1"/>
    <xf numFmtId="175" fontId="132" fillId="0" borderId="0" xfId="389" applyFont="1" applyFill="1" applyBorder="1" applyAlignment="1" applyProtection="1"/>
    <xf numFmtId="3" fontId="30" fillId="0" borderId="0" xfId="389" applyNumberFormat="1" applyFont="1" applyFill="1" applyBorder="1" applyAlignment="1" applyProtection="1"/>
    <xf numFmtId="179" fontId="30" fillId="0" borderId="0" xfId="9" applyNumberFormat="1" applyFont="1" applyFill="1" applyBorder="1" applyAlignment="1" applyProtection="1"/>
    <xf numFmtId="175" fontId="28" fillId="0" borderId="0" xfId="389" applyFont="1" applyFill="1" applyBorder="1" applyAlignment="1" applyProtection="1">
      <alignment horizontal="right"/>
    </xf>
    <xf numFmtId="175" fontId="53" fillId="0" borderId="0" xfId="389" applyFont="1" applyFill="1" applyBorder="1" applyAlignment="1" applyProtection="1"/>
    <xf numFmtId="175" fontId="54" fillId="0" borderId="0" xfId="389" applyFont="1" applyFill="1" applyBorder="1" applyAlignment="1" applyProtection="1"/>
    <xf numFmtId="175" fontId="54" fillId="0" borderId="0" xfId="389" applyFont="1" applyFill="1" applyBorder="1" applyAlignment="1" applyProtection="1">
      <alignment horizontal="right"/>
    </xf>
    <xf numFmtId="0" fontId="31" fillId="0" borderId="0" xfId="389" applyNumberFormat="1" applyFont="1" applyFill="1" applyBorder="1" applyAlignment="1" applyProtection="1"/>
    <xf numFmtId="173" fontId="31" fillId="0" borderId="0" xfId="389" applyNumberFormat="1" applyFont="1" applyFill="1" applyBorder="1" applyAlignment="1" applyProtection="1">
      <alignment horizontal="center"/>
    </xf>
    <xf numFmtId="173" fontId="31" fillId="0" borderId="0" xfId="389" quotePrefix="1" applyNumberFormat="1" applyFont="1" applyFill="1" applyBorder="1" applyAlignment="1" applyProtection="1">
      <alignment horizontal="center"/>
    </xf>
    <xf numFmtId="175" fontId="31" fillId="0" borderId="24" xfId="389" applyFont="1" applyFill="1" applyBorder="1" applyAlignment="1" applyProtection="1">
      <alignment horizontal="center" wrapText="1"/>
    </xf>
    <xf numFmtId="175" fontId="31" fillId="0" borderId="23" xfId="389" applyFont="1" applyFill="1" applyBorder="1" applyAlignment="1" applyProtection="1"/>
    <xf numFmtId="175" fontId="31" fillId="0" borderId="23" xfId="389" applyFont="1" applyFill="1" applyBorder="1" applyAlignment="1" applyProtection="1">
      <alignment horizontal="center" wrapText="1"/>
    </xf>
    <xf numFmtId="0" fontId="31" fillId="0" borderId="23" xfId="389" applyNumberFormat="1" applyFont="1" applyFill="1" applyBorder="1" applyAlignment="1" applyProtection="1">
      <alignment horizontal="center" wrapText="1"/>
    </xf>
    <xf numFmtId="0" fontId="31" fillId="0" borderId="26" xfId="389" applyNumberFormat="1" applyFont="1" applyFill="1" applyBorder="1" applyAlignment="1" applyProtection="1">
      <alignment horizontal="center" wrapText="1"/>
    </xf>
    <xf numFmtId="175" fontId="31" fillId="0" borderId="15" xfId="389" applyFont="1" applyFill="1" applyBorder="1" applyAlignment="1" applyProtection="1">
      <alignment horizontal="center" wrapText="1"/>
    </xf>
    <xf numFmtId="3" fontId="31" fillId="0" borderId="15" xfId="389" applyNumberFormat="1" applyFont="1" applyFill="1" applyBorder="1" applyAlignment="1" applyProtection="1">
      <alignment horizontal="center" wrapText="1"/>
    </xf>
    <xf numFmtId="3" fontId="31" fillId="0" borderId="54" xfId="389" applyNumberFormat="1" applyFont="1" applyFill="1" applyBorder="1" applyAlignment="1" applyProtection="1">
      <alignment horizontal="center" wrapText="1"/>
    </xf>
    <xf numFmtId="175" fontId="31" fillId="0" borderId="60" xfId="389" applyFont="1" applyFill="1" applyBorder="1" applyAlignment="1" applyProtection="1">
      <alignment horizontal="center" wrapText="1"/>
    </xf>
    <xf numFmtId="0" fontId="35" fillId="0" borderId="25" xfId="389" applyNumberFormat="1" applyFont="1" applyFill="1" applyBorder="1" applyProtection="1"/>
    <xf numFmtId="0" fontId="35" fillId="0" borderId="26" xfId="389" applyNumberFormat="1" applyFont="1" applyFill="1" applyBorder="1" applyProtection="1"/>
    <xf numFmtId="0" fontId="35" fillId="0" borderId="26" xfId="389" applyNumberFormat="1" applyFont="1" applyFill="1" applyBorder="1" applyAlignment="1" applyProtection="1">
      <alignment wrapText="1"/>
    </xf>
    <xf numFmtId="0" fontId="35" fillId="0" borderId="26" xfId="389" applyNumberFormat="1" applyFont="1" applyFill="1" applyBorder="1" applyAlignment="1" applyProtection="1">
      <alignment horizontal="center" wrapText="1"/>
    </xf>
    <xf numFmtId="175" fontId="35" fillId="0" borderId="26" xfId="389" applyFont="1" applyFill="1" applyBorder="1" applyAlignment="1" applyProtection="1">
      <alignment wrapText="1"/>
    </xf>
    <xf numFmtId="0" fontId="35" fillId="0" borderId="15" xfId="389" applyNumberFormat="1" applyFont="1" applyFill="1" applyBorder="1" applyAlignment="1" applyProtection="1">
      <alignment horizontal="center" wrapText="1"/>
    </xf>
    <xf numFmtId="0" fontId="35" fillId="0" borderId="54" xfId="389" applyNumberFormat="1" applyFont="1" applyFill="1" applyBorder="1" applyAlignment="1" applyProtection="1">
      <alignment horizontal="center" wrapText="1"/>
    </xf>
    <xf numFmtId="175" fontId="35" fillId="0" borderId="56" xfId="389" applyFont="1" applyFill="1" applyBorder="1" applyAlignment="1" applyProtection="1">
      <alignment horizontal="center"/>
    </xf>
    <xf numFmtId="3" fontId="35" fillId="0" borderId="15" xfId="389" applyNumberFormat="1" applyFont="1" applyFill="1" applyBorder="1" applyAlignment="1" applyProtection="1">
      <alignment horizontal="center" wrapText="1"/>
    </xf>
    <xf numFmtId="3" fontId="35" fillId="0" borderId="26" xfId="389" applyNumberFormat="1" applyFont="1" applyFill="1" applyBorder="1" applyAlignment="1" applyProtection="1">
      <alignment horizontal="center" wrapText="1"/>
    </xf>
    <xf numFmtId="0" fontId="35" fillId="0" borderId="24" xfId="389" applyNumberFormat="1" applyFont="1" applyFill="1" applyBorder="1" applyProtection="1"/>
    <xf numFmtId="0" fontId="35" fillId="0" borderId="23" xfId="389" applyNumberFormat="1" applyFont="1" applyFill="1" applyBorder="1" applyProtection="1"/>
    <xf numFmtId="175" fontId="35" fillId="0" borderId="23" xfId="389" applyFont="1" applyFill="1" applyBorder="1" applyAlignment="1" applyProtection="1"/>
    <xf numFmtId="0" fontId="35" fillId="0" borderId="28" xfId="389" applyNumberFormat="1" applyFont="1" applyFill="1" applyBorder="1" applyProtection="1"/>
    <xf numFmtId="0" fontId="35" fillId="0" borderId="51" xfId="389" applyNumberFormat="1" applyFont="1" applyFill="1" applyBorder="1" applyProtection="1"/>
    <xf numFmtId="175" fontId="35" fillId="0" borderId="29" xfId="389" applyFont="1" applyFill="1" applyBorder="1" applyAlignment="1" applyProtection="1"/>
    <xf numFmtId="3" fontId="35" fillId="0" borderId="23" xfId="389" applyNumberFormat="1" applyFont="1" applyFill="1" applyBorder="1" applyAlignment="1" applyProtection="1"/>
    <xf numFmtId="3" fontId="35" fillId="0" borderId="28" xfId="389" applyNumberFormat="1" applyFont="1" applyFill="1" applyBorder="1" applyAlignment="1" applyProtection="1"/>
    <xf numFmtId="175" fontId="35" fillId="0" borderId="12" xfId="393" applyFont="1" applyFill="1" applyBorder="1" applyAlignment="1" applyProtection="1"/>
    <xf numFmtId="175" fontId="35" fillId="0" borderId="0" xfId="393" applyFont="1" applyFill="1" applyBorder="1" applyAlignment="1" applyProtection="1"/>
    <xf numFmtId="43" fontId="35" fillId="0" borderId="0" xfId="9" applyFont="1" applyFill="1" applyBorder="1" applyAlignment="1" applyProtection="1"/>
    <xf numFmtId="43" fontId="35" fillId="5" borderId="0" xfId="9" applyFont="1" applyFill="1" applyBorder="1" applyAlignment="1" applyProtection="1"/>
    <xf numFmtId="168" fontId="35" fillId="39" borderId="0" xfId="9" applyNumberFormat="1" applyFont="1" applyFill="1" applyBorder="1" applyAlignment="1" applyProtection="1"/>
    <xf numFmtId="179" fontId="35" fillId="0" borderId="0" xfId="9" applyNumberFormat="1" applyFont="1" applyFill="1" applyBorder="1" applyAlignment="1" applyProtection="1"/>
    <xf numFmtId="168" fontId="35" fillId="0" borderId="0" xfId="9" applyNumberFormat="1" applyFont="1" applyFill="1" applyBorder="1" applyAlignment="1" applyProtection="1"/>
    <xf numFmtId="168" fontId="35" fillId="0" borderId="29" xfId="9" applyNumberFormat="1" applyFont="1" applyFill="1" applyBorder="1" applyAlignment="1" applyProtection="1"/>
    <xf numFmtId="43" fontId="35" fillId="0" borderId="0" xfId="9" applyNumberFormat="1" applyFont="1" applyFill="1" applyBorder="1" applyAlignment="1" applyProtection="1"/>
    <xf numFmtId="175" fontId="35" fillId="39" borderId="29" xfId="389" applyFont="1" applyFill="1" applyBorder="1" applyAlignment="1" applyProtection="1"/>
    <xf numFmtId="43" fontId="35" fillId="0" borderId="29" xfId="9" applyFont="1" applyFill="1" applyBorder="1" applyAlignment="1" applyProtection="1"/>
    <xf numFmtId="175" fontId="35" fillId="0" borderId="12" xfId="389" applyFont="1" applyFill="1" applyBorder="1" applyAlignment="1" applyProtection="1"/>
    <xf numFmtId="175" fontId="35" fillId="0" borderId="10" xfId="389" applyFont="1" applyFill="1" applyBorder="1" applyAlignment="1" applyProtection="1"/>
    <xf numFmtId="175" fontId="35" fillId="0" borderId="22" xfId="389" applyFont="1" applyFill="1" applyBorder="1" applyAlignment="1" applyProtection="1"/>
    <xf numFmtId="10" fontId="35" fillId="0" borderId="22" xfId="9" applyNumberFormat="1" applyFont="1" applyFill="1" applyBorder="1" applyAlignment="1" applyProtection="1"/>
    <xf numFmtId="168" fontId="35" fillId="0" borderId="22" xfId="9" applyNumberFormat="1" applyFont="1" applyFill="1" applyBorder="1" applyAlignment="1" applyProtection="1"/>
    <xf numFmtId="175" fontId="35" fillId="0" borderId="30" xfId="389" applyFont="1" applyFill="1" applyBorder="1" applyAlignment="1" applyProtection="1"/>
    <xf numFmtId="43" fontId="35" fillId="0" borderId="30" xfId="9" applyFont="1" applyFill="1" applyBorder="1" applyAlignment="1" applyProtection="1"/>
    <xf numFmtId="175" fontId="133" fillId="0" borderId="30" xfId="389" applyFont="1" applyFill="1" applyBorder="1" applyAlignment="1" applyProtection="1"/>
    <xf numFmtId="175" fontId="133" fillId="0" borderId="22" xfId="389" applyFont="1" applyFill="1" applyBorder="1" applyAlignment="1" applyProtection="1"/>
    <xf numFmtId="168" fontId="35" fillId="0" borderId="30" xfId="9" applyNumberFormat="1" applyFont="1" applyFill="1" applyBorder="1" applyAlignment="1" applyProtection="1"/>
    <xf numFmtId="168" fontId="35" fillId="0" borderId="0" xfId="9" applyNumberFormat="1" applyFont="1" applyFill="1" applyBorder="1" applyAlignment="1" applyProtection="1">
      <alignment horizontal="center"/>
    </xf>
    <xf numFmtId="167" fontId="35" fillId="0" borderId="0" xfId="389" applyNumberFormat="1" applyFont="1" applyFill="1" applyBorder="1" applyAlignment="1" applyProtection="1"/>
    <xf numFmtId="168" fontId="35" fillId="0" borderId="0" xfId="161" applyNumberFormat="1" applyFont="1" applyFill="1" applyBorder="1" applyAlignment="1" applyProtection="1"/>
    <xf numFmtId="1" fontId="35" fillId="0" borderId="0" xfId="9" applyNumberFormat="1" applyFont="1" applyFill="1" applyBorder="1" applyAlignment="1" applyProtection="1">
      <alignment horizontal="center"/>
    </xf>
    <xf numFmtId="175" fontId="45" fillId="0" borderId="0" xfId="389" applyFont="1" applyFill="1" applyBorder="1" applyAlignment="1" applyProtection="1"/>
    <xf numFmtId="175" fontId="35" fillId="0" borderId="4" xfId="389" applyFont="1" applyFill="1" applyBorder="1" applyAlignment="1" applyProtection="1"/>
    <xf numFmtId="175" fontId="35" fillId="0" borderId="0" xfId="389" applyFont="1" applyFill="1" applyBorder="1" applyAlignment="1" applyProtection="1">
      <alignment horizontal="center" vertical="top"/>
    </xf>
    <xf numFmtId="175" fontId="35" fillId="0" borderId="0" xfId="389" applyFont="1" applyFill="1" applyBorder="1" applyAlignment="1" applyProtection="1">
      <alignment horizontal="left" vertical="center" wrapText="1"/>
    </xf>
    <xf numFmtId="175" fontId="35" fillId="0" borderId="0" xfId="389" applyFont="1" applyFill="1" applyBorder="1" applyAlignment="1" applyProtection="1">
      <alignment horizontal="center"/>
    </xf>
    <xf numFmtId="175" fontId="35" fillId="0" borderId="0" xfId="389" applyFont="1" applyFill="1" applyBorder="1" applyAlignment="1" applyProtection="1">
      <alignment horizontal="left"/>
    </xf>
    <xf numFmtId="175" fontId="35" fillId="0" borderId="0" xfId="393" applyFont="1" applyFill="1" applyBorder="1" applyAlignment="1" applyProtection="1">
      <alignment vertical="top" wrapText="1"/>
    </xf>
    <xf numFmtId="175" fontId="53" fillId="0" borderId="0" xfId="389" applyFont="1" applyFill="1" applyBorder="1" applyAlignment="1" applyProtection="1">
      <alignment horizontal="center"/>
    </xf>
    <xf numFmtId="49" fontId="35" fillId="0" borderId="0" xfId="389" applyNumberFormat="1" applyFont="1" applyFill="1" applyBorder="1" applyAlignment="1" applyProtection="1">
      <alignment horizontal="left"/>
    </xf>
    <xf numFmtId="49" fontId="88" fillId="0" borderId="0" xfId="389" applyNumberFormat="1" applyFont="1" applyFill="1" applyBorder="1" applyAlignment="1" applyProtection="1">
      <alignment horizontal="center"/>
    </xf>
    <xf numFmtId="175" fontId="88" fillId="0" borderId="0" xfId="389" applyFont="1" applyFill="1" applyBorder="1" applyAlignment="1" applyProtection="1"/>
    <xf numFmtId="175" fontId="88" fillId="0" borderId="0" xfId="389" applyFont="1" applyFill="1" applyBorder="1" applyAlignment="1" applyProtection="1">
      <alignment horizontal="center"/>
    </xf>
    <xf numFmtId="3" fontId="88" fillId="0" borderId="0" xfId="389" applyNumberFormat="1" applyFont="1" applyFill="1" applyBorder="1" applyAlignment="1" applyProtection="1"/>
    <xf numFmtId="10" fontId="88" fillId="0" borderId="0" xfId="389" applyNumberFormat="1" applyFont="1" applyFill="1" applyBorder="1" applyAlignment="1" applyProtection="1"/>
    <xf numFmtId="0" fontId="88" fillId="0" borderId="0" xfId="389" applyNumberFormat="1" applyFont="1" applyFill="1" applyBorder="1" applyAlignment="1" applyProtection="1">
      <alignment horizontal="right"/>
    </xf>
    <xf numFmtId="49" fontId="88" fillId="0" borderId="0" xfId="389" applyNumberFormat="1" applyFont="1" applyFill="1" applyBorder="1" applyAlignment="1" applyProtection="1">
      <alignment horizontal="left"/>
    </xf>
    <xf numFmtId="175" fontId="88" fillId="0" borderId="0" xfId="389" applyFont="1" applyFill="1" applyBorder="1" applyAlignment="1" applyProtection="1">
      <alignment horizontal="left"/>
    </xf>
    <xf numFmtId="175" fontId="85" fillId="0" borderId="0" xfId="393" applyFont="1" applyFill="1" applyBorder="1" applyAlignment="1" applyProtection="1"/>
    <xf numFmtId="43" fontId="35" fillId="5" borderId="0" xfId="9" applyFont="1" applyFill="1" applyBorder="1" applyAlignment="1" applyProtection="1">
      <protection locked="0"/>
    </xf>
    <xf numFmtId="168" fontId="35" fillId="5" borderId="0" xfId="9" applyNumberFormat="1" applyFont="1" applyFill="1" applyBorder="1" applyAlignment="1" applyProtection="1">
      <protection locked="0"/>
    </xf>
    <xf numFmtId="168" fontId="35" fillId="39" borderId="0" xfId="9" applyNumberFormat="1" applyFont="1" applyFill="1" applyBorder="1" applyAlignment="1" applyProtection="1">
      <protection locked="0"/>
    </xf>
    <xf numFmtId="168" fontId="35" fillId="5" borderId="0" xfId="161" applyNumberFormat="1" applyFont="1" applyFill="1" applyBorder="1" applyAlignment="1" applyProtection="1">
      <protection locked="0"/>
    </xf>
    <xf numFmtId="180" fontId="35" fillId="5" borderId="0" xfId="9" applyNumberFormat="1" applyFont="1" applyFill="1" applyBorder="1" applyAlignment="1" applyProtection="1">
      <protection locked="0"/>
    </xf>
    <xf numFmtId="168" fontId="35" fillId="5" borderId="29" xfId="9" applyNumberFormat="1" applyFont="1" applyFill="1" applyBorder="1" applyAlignment="1" applyProtection="1">
      <protection locked="0"/>
    </xf>
    <xf numFmtId="175" fontId="35" fillId="39" borderId="29" xfId="389" applyFont="1" applyFill="1" applyBorder="1" applyAlignment="1" applyProtection="1">
      <protection locked="0"/>
    </xf>
    <xf numFmtId="167" fontId="35" fillId="39" borderId="29" xfId="389" applyNumberFormat="1" applyFont="1" applyFill="1" applyBorder="1" applyAlignment="1" applyProtection="1">
      <protection locked="0"/>
    </xf>
    <xf numFmtId="175" fontId="84" fillId="0" borderId="0" xfId="389" applyAlignment="1" applyProtection="1"/>
    <xf numFmtId="168" fontId="89" fillId="0" borderId="0" xfId="9" applyNumberFormat="1" applyFont="1" applyAlignment="1" applyProtection="1"/>
    <xf numFmtId="175" fontId="89" fillId="0" borderId="0" xfId="389" applyFont="1" applyAlignment="1" applyProtection="1"/>
    <xf numFmtId="0" fontId="89" fillId="0" borderId="0" xfId="389" applyNumberFormat="1" applyFont="1" applyFill="1" applyBorder="1" applyAlignment="1" applyProtection="1"/>
    <xf numFmtId="0" fontId="89" fillId="0" borderId="0" xfId="389" applyNumberFormat="1" applyFont="1" applyFill="1" applyBorder="1" applyAlignment="1" applyProtection="1">
      <alignment horizontal="center"/>
    </xf>
    <xf numFmtId="0" fontId="89" fillId="0" borderId="0" xfId="389" applyNumberFormat="1" applyFont="1" applyFill="1" applyAlignment="1" applyProtection="1">
      <alignment horizontal="right"/>
    </xf>
    <xf numFmtId="175" fontId="84" fillId="0" borderId="0" xfId="389" applyFill="1" applyBorder="1" applyAlignment="1" applyProtection="1"/>
    <xf numFmtId="175" fontId="28" fillId="0" borderId="0" xfId="389" applyFont="1" applyFill="1" applyAlignment="1" applyProtection="1"/>
    <xf numFmtId="175" fontId="28" fillId="0" borderId="0" xfId="389" applyFont="1" applyAlignment="1" applyProtection="1"/>
    <xf numFmtId="167" fontId="28" fillId="0" borderId="0" xfId="389" applyNumberFormat="1" applyFont="1" applyAlignment="1" applyProtection="1"/>
    <xf numFmtId="3" fontId="28" fillId="0" borderId="4" xfId="394" applyNumberFormat="1" applyFont="1" applyBorder="1" applyAlignment="1" applyProtection="1">
      <alignment horizontal="center"/>
    </xf>
    <xf numFmtId="168" fontId="28" fillId="0" borderId="0" xfId="9" applyNumberFormat="1" applyFont="1" applyAlignment="1" applyProtection="1">
      <alignment horizontal="center"/>
    </xf>
    <xf numFmtId="0" fontId="28" fillId="0" borderId="0" xfId="394" applyNumberFormat="1" applyFont="1" applyFill="1" applyAlignment="1" applyProtection="1"/>
    <xf numFmtId="3" fontId="28" fillId="0" borderId="0" xfId="394" applyNumberFormat="1" applyFont="1" applyFill="1" applyAlignment="1" applyProtection="1"/>
    <xf numFmtId="3" fontId="28" fillId="0" borderId="0" xfId="394" applyNumberFormat="1" applyFont="1" applyAlignment="1" applyProtection="1"/>
    <xf numFmtId="3" fontId="28" fillId="0" borderId="0" xfId="394" applyNumberFormat="1" applyFont="1" applyAlignment="1" applyProtection="1">
      <alignment horizontal="center"/>
    </xf>
    <xf numFmtId="3" fontId="30" fillId="0" borderId="0" xfId="394" applyNumberFormat="1" applyFont="1" applyAlignment="1" applyProtection="1">
      <alignment horizontal="center"/>
    </xf>
    <xf numFmtId="0" fontId="30" fillId="0" borderId="4" xfId="394" applyNumberFormat="1" applyFont="1" applyBorder="1" applyAlignment="1" applyProtection="1">
      <alignment horizontal="center"/>
    </xf>
    <xf numFmtId="175" fontId="28" fillId="0" borderId="0" xfId="394" applyFont="1" applyFill="1" applyAlignment="1" applyProtection="1"/>
    <xf numFmtId="10" fontId="28" fillId="0" borderId="0" xfId="148" applyNumberFormat="1" applyFont="1" applyFill="1" applyAlignment="1" applyProtection="1">
      <alignment horizontal="center"/>
    </xf>
    <xf numFmtId="10" fontId="28" fillId="0" borderId="0" xfId="148" applyNumberFormat="1" applyFont="1" applyFill="1" applyAlignment="1" applyProtection="1"/>
    <xf numFmtId="10" fontId="28" fillId="0" borderId="0" xfId="148" applyNumberFormat="1" applyFont="1" applyAlignment="1" applyProtection="1"/>
    <xf numFmtId="175" fontId="28" fillId="0" borderId="0" xfId="394" applyFont="1" applyFill="1" applyAlignment="1" applyProtection="1">
      <alignment wrapText="1"/>
    </xf>
    <xf numFmtId="10" fontId="95" fillId="0" borderId="0" xfId="148" applyNumberFormat="1" applyFont="1" applyFill="1" applyProtection="1"/>
    <xf numFmtId="10" fontId="28" fillId="0" borderId="4" xfId="148" applyNumberFormat="1" applyFont="1" applyBorder="1" applyAlignment="1" applyProtection="1"/>
    <xf numFmtId="175" fontId="28" fillId="0" borderId="0" xfId="394" applyFont="1" applyAlignment="1" applyProtection="1"/>
    <xf numFmtId="178" fontId="28" fillId="0" borderId="0" xfId="394" applyNumberFormat="1" applyFont="1" applyAlignment="1" applyProtection="1"/>
    <xf numFmtId="168" fontId="28" fillId="0" borderId="0" xfId="391" applyNumberFormat="1" applyFont="1" applyAlignment="1" applyProtection="1"/>
    <xf numFmtId="168" fontId="28" fillId="0" borderId="0" xfId="391" applyNumberFormat="1" applyFont="1" applyAlignment="1" applyProtection="1">
      <alignment horizontal="left" indent="2"/>
    </xf>
    <xf numFmtId="168" fontId="89" fillId="0" borderId="0" xfId="9" applyNumberFormat="1" applyFont="1" applyAlignment="1" applyProtection="1">
      <alignment horizontal="center"/>
    </xf>
    <xf numFmtId="175" fontId="89" fillId="0" borderId="0" xfId="389" applyFont="1" applyFill="1" applyAlignment="1" applyProtection="1"/>
    <xf numFmtId="167" fontId="89" fillId="0" borderId="0" xfId="389" applyNumberFormat="1" applyFont="1" applyAlignment="1" applyProtection="1"/>
    <xf numFmtId="175" fontId="85" fillId="0" borderId="0" xfId="389" applyFont="1" applyFill="1" applyBorder="1" applyAlignment="1" applyProtection="1">
      <alignment horizontal="center"/>
    </xf>
    <xf numFmtId="0" fontId="85" fillId="0" borderId="0" xfId="389" applyNumberFormat="1" applyFont="1" applyFill="1" applyBorder="1" applyAlignment="1" applyProtection="1"/>
    <xf numFmtId="3" fontId="85" fillId="0" borderId="0" xfId="389" applyNumberFormat="1" applyFont="1" applyFill="1" applyBorder="1" applyAlignment="1" applyProtection="1"/>
    <xf numFmtId="0" fontId="87" fillId="0" borderId="0" xfId="389" applyNumberFormat="1" applyFont="1" applyFill="1" applyBorder="1" applyAlignment="1" applyProtection="1"/>
    <xf numFmtId="175" fontId="35" fillId="0" borderId="49" xfId="389" quotePrefix="1" applyFont="1" applyBorder="1" applyAlignment="1" applyProtection="1">
      <alignment horizontal="center"/>
    </xf>
    <xf numFmtId="175" fontId="28" fillId="0" borderId="0" xfId="389" applyFont="1" applyBorder="1" applyAlignment="1" applyProtection="1">
      <alignment horizontal="center"/>
    </xf>
    <xf numFmtId="175" fontId="35" fillId="0" borderId="12" xfId="389" applyFont="1" applyBorder="1" applyProtection="1"/>
    <xf numFmtId="175" fontId="35" fillId="0" borderId="0" xfId="389" applyFont="1" applyBorder="1" applyProtection="1"/>
    <xf numFmtId="175" fontId="35" fillId="0" borderId="0" xfId="389" applyFont="1" applyBorder="1" applyAlignment="1" applyProtection="1">
      <alignment horizontal="center"/>
    </xf>
    <xf numFmtId="175" fontId="35" fillId="0" borderId="13" xfId="389" applyFont="1" applyBorder="1" applyProtection="1"/>
    <xf numFmtId="175" fontId="35" fillId="0" borderId="13" xfId="389" applyFont="1" applyBorder="1" applyAlignment="1" applyProtection="1">
      <alignment horizontal="center"/>
    </xf>
    <xf numFmtId="175" fontId="35" fillId="0" borderId="12" xfId="389" applyFont="1" applyBorder="1" applyAlignment="1" applyProtection="1">
      <alignment horizontal="center"/>
    </xf>
    <xf numFmtId="175" fontId="35" fillId="0" borderId="0" xfId="389" applyFont="1" applyBorder="1" applyAlignment="1" applyProtection="1">
      <alignment horizontal="center" wrapText="1"/>
    </xf>
    <xf numFmtId="175" fontId="35" fillId="0" borderId="10" xfId="389" applyFont="1" applyBorder="1" applyAlignment="1" applyProtection="1">
      <alignment horizontal="center"/>
    </xf>
    <xf numFmtId="175" fontId="35" fillId="0" borderId="22" xfId="389" applyFont="1" applyBorder="1" applyAlignment="1" applyProtection="1">
      <alignment horizontal="center"/>
    </xf>
    <xf numFmtId="175" fontId="35" fillId="0" borderId="11" xfId="389" applyFont="1" applyBorder="1" applyAlignment="1" applyProtection="1">
      <alignment horizontal="center"/>
    </xf>
    <xf numFmtId="175" fontId="35" fillId="0" borderId="10" xfId="389" applyFont="1" applyBorder="1" applyProtection="1"/>
    <xf numFmtId="175" fontId="35" fillId="0" borderId="22" xfId="389" applyFont="1" applyBorder="1" applyProtection="1"/>
    <xf numFmtId="175" fontId="35" fillId="0" borderId="22" xfId="389" applyFont="1" applyFill="1" applyBorder="1" applyAlignment="1" applyProtection="1">
      <alignment wrapText="1"/>
    </xf>
    <xf numFmtId="175" fontId="35" fillId="0" borderId="22" xfId="389" applyFont="1" applyFill="1" applyBorder="1" applyAlignment="1" applyProtection="1">
      <alignment horizontal="center" wrapText="1"/>
    </xf>
    <xf numFmtId="175" fontId="35" fillId="0" borderId="22" xfId="389" applyFont="1" applyFill="1" applyBorder="1" applyAlignment="1" applyProtection="1">
      <alignment horizontal="center"/>
    </xf>
    <xf numFmtId="175" fontId="35" fillId="0" borderId="11" xfId="389" applyFont="1" applyFill="1" applyBorder="1" applyAlignment="1" applyProtection="1">
      <alignment horizontal="center"/>
    </xf>
    <xf numFmtId="175" fontId="35" fillId="0" borderId="50" xfId="389" applyFont="1" applyBorder="1" applyProtection="1"/>
    <xf numFmtId="175" fontId="35" fillId="0" borderId="51" xfId="389" applyFont="1" applyBorder="1" applyProtection="1"/>
    <xf numFmtId="175" fontId="35" fillId="0" borderId="52" xfId="389" applyFont="1" applyBorder="1" applyProtection="1"/>
    <xf numFmtId="168" fontId="35" fillId="0" borderId="12" xfId="9" applyNumberFormat="1" applyFont="1" applyBorder="1" applyAlignment="1" applyProtection="1">
      <alignment horizontal="right"/>
    </xf>
    <xf numFmtId="168" fontId="35" fillId="39" borderId="0" xfId="9" applyNumberFormat="1" applyFont="1" applyFill="1" applyBorder="1" applyProtection="1"/>
    <xf numFmtId="168" fontId="35" fillId="0" borderId="0" xfId="9" applyNumberFormat="1" applyFont="1" applyFill="1" applyBorder="1" applyProtection="1"/>
    <xf numFmtId="10" fontId="35" fillId="39" borderId="0" xfId="148" applyNumberFormat="1" applyFont="1" applyFill="1" applyBorder="1" applyProtection="1"/>
    <xf numFmtId="168" fontId="35" fillId="0" borderId="13" xfId="9" applyNumberFormat="1" applyFont="1" applyFill="1" applyBorder="1" applyProtection="1"/>
    <xf numFmtId="175" fontId="35" fillId="0" borderId="12" xfId="389" applyFont="1" applyBorder="1" applyAlignment="1" applyProtection="1">
      <alignment horizontal="right"/>
    </xf>
    <xf numFmtId="43" fontId="35" fillId="39" borderId="0" xfId="9" applyFont="1" applyFill="1" applyBorder="1" applyProtection="1"/>
    <xf numFmtId="168" fontId="14" fillId="39" borderId="0" xfId="9" applyNumberFormat="1" applyFont="1" applyFill="1" applyBorder="1" applyProtection="1"/>
    <xf numFmtId="168" fontId="124" fillId="39" borderId="0" xfId="9" applyNumberFormat="1" applyFont="1" applyFill="1" applyBorder="1" applyProtection="1"/>
    <xf numFmtId="175" fontId="35" fillId="39" borderId="0" xfId="389" applyFont="1" applyFill="1" applyBorder="1" applyProtection="1"/>
    <xf numFmtId="175" fontId="35" fillId="0" borderId="11" xfId="389" applyFont="1" applyBorder="1" applyProtection="1"/>
    <xf numFmtId="168" fontId="35" fillId="0" borderId="0" xfId="9" applyNumberFormat="1" applyFont="1" applyAlignment="1" applyProtection="1">
      <alignment horizontal="center"/>
    </xf>
    <xf numFmtId="175" fontId="35" fillId="0" borderId="0" xfId="389" applyFont="1" applyProtection="1"/>
    <xf numFmtId="170" fontId="35" fillId="0" borderId="0" xfId="397" applyNumberFormat="1" applyFont="1" applyProtection="1"/>
    <xf numFmtId="168" fontId="35" fillId="0" borderId="0" xfId="9" applyNumberFormat="1" applyFont="1" applyProtection="1"/>
    <xf numFmtId="43" fontId="35" fillId="0" borderId="0" xfId="391" applyFont="1" applyProtection="1"/>
    <xf numFmtId="175" fontId="28" fillId="0" borderId="0" xfId="389" applyFont="1" applyProtection="1"/>
    <xf numFmtId="43" fontId="35" fillId="0" borderId="0" xfId="9" applyFont="1" applyProtection="1"/>
    <xf numFmtId="175" fontId="35" fillId="0" borderId="0" xfId="389" applyFont="1" applyFill="1" applyBorder="1" applyAlignment="1" applyProtection="1">
      <alignment horizontal="left" indent="1"/>
    </xf>
    <xf numFmtId="168" fontId="85" fillId="0" borderId="0" xfId="9" applyNumberFormat="1" applyFont="1" applyAlignment="1" applyProtection="1">
      <alignment horizontal="center"/>
    </xf>
    <xf numFmtId="175" fontId="85" fillId="0" borderId="0" xfId="389" applyFont="1" applyProtection="1"/>
    <xf numFmtId="175" fontId="84" fillId="0" borderId="0" xfId="389" applyProtection="1"/>
    <xf numFmtId="0" fontId="30" fillId="0" borderId="0" xfId="396" applyNumberFormat="1" applyFont="1" applyFill="1" applyBorder="1" applyAlignment="1" applyProtection="1">
      <alignment horizontal="center"/>
    </xf>
    <xf numFmtId="0" fontId="96" fillId="0" borderId="0" xfId="363" applyNumberFormat="1" applyFont="1" applyFill="1" applyAlignment="1" applyProtection="1">
      <alignment horizontal="center"/>
    </xf>
    <xf numFmtId="175" fontId="31" fillId="0" borderId="0" xfId="389" applyFont="1" applyFill="1" applyBorder="1" applyAlignment="1" applyProtection="1"/>
    <xf numFmtId="1" fontId="35" fillId="0" borderId="0" xfId="389" applyNumberFormat="1" applyFont="1" applyAlignment="1" applyProtection="1">
      <alignment horizontal="left"/>
    </xf>
    <xf numFmtId="175" fontId="35" fillId="0" borderId="0" xfId="389" quotePrefix="1" applyFont="1" applyAlignment="1" applyProtection="1">
      <alignment horizontal="left"/>
    </xf>
    <xf numFmtId="175" fontId="35" fillId="0" borderId="0" xfId="389" applyFont="1" applyAlignment="1" applyProtection="1">
      <alignment horizontal="center"/>
    </xf>
    <xf numFmtId="175" fontId="35" fillId="0" borderId="0" xfId="389" applyFont="1" applyAlignment="1" applyProtection="1">
      <alignment horizontal="center" wrapText="1"/>
    </xf>
    <xf numFmtId="175" fontId="35" fillId="0" borderId="0" xfId="389" applyFont="1" applyAlignment="1" applyProtection="1"/>
    <xf numFmtId="175" fontId="35" fillId="0" borderId="0" xfId="389" quotePrefix="1" applyFont="1" applyFill="1" applyAlignment="1" applyProtection="1">
      <alignment horizontal="left"/>
    </xf>
    <xf numFmtId="43" fontId="35" fillId="0" borderId="0" xfId="9" applyFont="1" applyAlignment="1" applyProtection="1"/>
    <xf numFmtId="175" fontId="35" fillId="0" borderId="0" xfId="389" quotePrefix="1" applyFont="1" applyBorder="1" applyAlignment="1" applyProtection="1">
      <alignment horizontal="left"/>
    </xf>
    <xf numFmtId="175" fontId="35" fillId="0" borderId="0" xfId="389" applyFont="1" applyFill="1" applyAlignment="1" applyProtection="1">
      <alignment horizontal="left"/>
    </xf>
    <xf numFmtId="175" fontId="35" fillId="0" borderId="0" xfId="389" applyFont="1" applyBorder="1" applyAlignment="1" applyProtection="1"/>
    <xf numFmtId="43" fontId="35" fillId="0" borderId="0" xfId="9" applyFont="1" applyBorder="1" applyAlignment="1" applyProtection="1"/>
    <xf numFmtId="10" fontId="35" fillId="0" borderId="0" xfId="148" applyNumberFormat="1" applyFont="1" applyAlignment="1" applyProtection="1"/>
    <xf numFmtId="10" fontId="35" fillId="39" borderId="22" xfId="148" applyNumberFormat="1" applyFont="1" applyFill="1" applyBorder="1" applyProtection="1"/>
    <xf numFmtId="175" fontId="31" fillId="0" borderId="0" xfId="389" applyFont="1" applyAlignment="1" applyProtection="1"/>
    <xf numFmtId="168" fontId="35" fillId="0" borderId="45" xfId="9" applyNumberFormat="1" applyFont="1" applyBorder="1" applyAlignment="1" applyProtection="1">
      <alignment horizontal="center"/>
    </xf>
    <xf numFmtId="175" fontId="35" fillId="0" borderId="45" xfId="389" applyFont="1" applyBorder="1" applyAlignment="1" applyProtection="1">
      <alignment horizontal="center"/>
    </xf>
    <xf numFmtId="168" fontId="35" fillId="0" borderId="29" xfId="9" applyNumberFormat="1" applyFont="1" applyFill="1" applyBorder="1" applyAlignment="1" applyProtection="1">
      <alignment horizontal="center"/>
    </xf>
    <xf numFmtId="175" fontId="35" fillId="0" borderId="29" xfId="389" applyFont="1" applyBorder="1" applyAlignment="1" applyProtection="1">
      <alignment horizontal="center"/>
    </xf>
    <xf numFmtId="175" fontId="35" fillId="0" borderId="29" xfId="389" applyFont="1" applyFill="1" applyBorder="1" applyAlignment="1" applyProtection="1">
      <alignment horizontal="center"/>
    </xf>
    <xf numFmtId="43" fontId="35" fillId="39" borderId="29" xfId="9" applyFont="1" applyFill="1" applyBorder="1" applyAlignment="1" applyProtection="1"/>
    <xf numFmtId="168" fontId="35" fillId="39" borderId="29" xfId="9" applyNumberFormat="1" applyFont="1" applyFill="1" applyBorder="1" applyAlignment="1" applyProtection="1"/>
    <xf numFmtId="168" fontId="35" fillId="0" borderId="29" xfId="9" applyNumberFormat="1" applyFont="1" applyBorder="1" applyAlignment="1" applyProtection="1"/>
    <xf numFmtId="175" fontId="113" fillId="0" borderId="0" xfId="389" applyFont="1" applyAlignment="1" applyProtection="1"/>
    <xf numFmtId="175" fontId="35" fillId="39" borderId="29" xfId="389" applyFont="1" applyFill="1" applyBorder="1" applyAlignment="1" applyProtection="1">
      <alignment horizontal="right"/>
    </xf>
    <xf numFmtId="175" fontId="35" fillId="39" borderId="30" xfId="389" applyFont="1" applyFill="1" applyBorder="1" applyAlignment="1" applyProtection="1">
      <alignment horizontal="right"/>
    </xf>
    <xf numFmtId="175" fontId="35" fillId="39" borderId="30" xfId="389" applyFont="1" applyFill="1" applyBorder="1" applyAlignment="1" applyProtection="1"/>
    <xf numFmtId="168" fontId="35" fillId="0" borderId="30" xfId="9" applyNumberFormat="1" applyFont="1" applyBorder="1" applyAlignment="1" applyProtection="1"/>
    <xf numFmtId="1" fontId="35" fillId="0" borderId="0" xfId="389" quotePrefix="1" applyNumberFormat="1" applyFont="1" applyFill="1" applyAlignment="1" applyProtection="1">
      <alignment horizontal="left"/>
    </xf>
    <xf numFmtId="168" fontId="35" fillId="0" borderId="0" xfId="9" applyNumberFormat="1" applyFont="1" applyAlignment="1" applyProtection="1"/>
    <xf numFmtId="0" fontId="35" fillId="0" borderId="0" xfId="398" applyFont="1" applyProtection="1"/>
    <xf numFmtId="0" fontId="28" fillId="0" borderId="0" xfId="398" applyFont="1" applyProtection="1"/>
    <xf numFmtId="0" fontId="35" fillId="0" borderId="0" xfId="389" applyNumberFormat="1" applyFont="1" applyFill="1" applyAlignment="1" applyProtection="1">
      <alignment horizontal="center" vertical="top"/>
    </xf>
    <xf numFmtId="175" fontId="35" fillId="0" borderId="0" xfId="389" applyFont="1" applyFill="1" applyAlignment="1" applyProtection="1">
      <alignment vertical="top" wrapText="1"/>
    </xf>
    <xf numFmtId="0" fontId="85" fillId="0" borderId="0" xfId="9" applyNumberFormat="1" applyFont="1" applyFill="1" applyAlignment="1" applyProtection="1">
      <alignment horizontal="center" vertical="top"/>
    </xf>
    <xf numFmtId="175" fontId="85" fillId="0" borderId="0" xfId="389" applyFont="1" applyFill="1" applyBorder="1" applyAlignment="1" applyProtection="1">
      <alignment horizontal="center" vertical="top"/>
    </xf>
    <xf numFmtId="0" fontId="85" fillId="0" borderId="0" xfId="9" applyNumberFormat="1" applyFont="1" applyFill="1" applyAlignment="1" applyProtection="1">
      <alignment horizontal="center"/>
    </xf>
    <xf numFmtId="0" fontId="85" fillId="0" borderId="0" xfId="0" applyNumberFormat="1" applyFont="1" applyAlignment="1" applyProtection="1">
      <alignment horizontal="center" vertical="top"/>
    </xf>
    <xf numFmtId="175" fontId="85" fillId="0" borderId="0" xfId="389" applyFont="1" applyAlignment="1" applyProtection="1"/>
    <xf numFmtId="164" fontId="30" fillId="21" borderId="0" xfId="0" applyFont="1" applyFill="1" applyProtection="1"/>
    <xf numFmtId="164" fontId="0" fillId="21" borderId="0" xfId="0" applyFill="1" applyProtection="1"/>
    <xf numFmtId="164" fontId="53" fillId="21" borderId="0" xfId="0" applyFont="1" applyFill="1" applyProtection="1"/>
    <xf numFmtId="0" fontId="33" fillId="0" borderId="45" xfId="386" applyFont="1" applyFill="1" applyBorder="1" applyAlignment="1" applyProtection="1">
      <alignment horizontal="center"/>
    </xf>
    <xf numFmtId="0" fontId="33" fillId="0" borderId="35" xfId="386" applyFont="1" applyFill="1" applyBorder="1" applyAlignment="1" applyProtection="1">
      <alignment horizontal="center"/>
    </xf>
    <xf numFmtId="0" fontId="33" fillId="21" borderId="29" xfId="386" applyFont="1" applyFill="1" applyBorder="1" applyAlignment="1" applyProtection="1">
      <alignment horizontal="center"/>
    </xf>
    <xf numFmtId="0" fontId="33" fillId="21" borderId="30" xfId="386" applyFont="1" applyFill="1" applyBorder="1" applyAlignment="1" applyProtection="1">
      <alignment horizontal="center"/>
    </xf>
    <xf numFmtId="168" fontId="33" fillId="21" borderId="35" xfId="386" applyNumberFormat="1" applyFont="1" applyFill="1" applyBorder="1" applyProtection="1"/>
    <xf numFmtId="168" fontId="142" fillId="21" borderId="29" xfId="386" applyNumberFormat="1" applyFont="1" applyFill="1" applyBorder="1" applyAlignment="1" applyProtection="1">
      <alignment horizontal="center"/>
    </xf>
    <xf numFmtId="168" fontId="33" fillId="21" borderId="41" xfId="386" quotePrefix="1" applyNumberFormat="1" applyFont="1" applyFill="1" applyBorder="1" applyAlignment="1" applyProtection="1">
      <alignment horizontal="center"/>
    </xf>
    <xf numFmtId="168" fontId="142" fillId="21" borderId="35" xfId="386" applyNumberFormat="1" applyFont="1" applyFill="1" applyBorder="1" applyAlignment="1" applyProtection="1">
      <alignment horizontal="center"/>
    </xf>
    <xf numFmtId="168" fontId="33" fillId="0" borderId="35" xfId="386" applyNumberFormat="1" applyFont="1" applyFill="1" applyBorder="1" applyProtection="1"/>
    <xf numFmtId="168" fontId="0" fillId="21" borderId="0" xfId="161" applyNumberFormat="1" applyFont="1" applyFill="1" applyBorder="1" applyProtection="1"/>
    <xf numFmtId="168" fontId="33" fillId="21" borderId="0" xfId="386" applyNumberFormat="1" applyFont="1" applyFill="1" applyBorder="1" applyProtection="1"/>
    <xf numFmtId="168" fontId="100" fillId="0" borderId="0" xfId="161" applyNumberFormat="1" applyFont="1" applyFill="1" applyProtection="1"/>
    <xf numFmtId="0" fontId="99" fillId="21" borderId="0" xfId="142" quotePrefix="1" applyFont="1" applyFill="1" applyProtection="1"/>
    <xf numFmtId="164" fontId="55" fillId="21" borderId="0" xfId="0" applyFont="1" applyFill="1" applyProtection="1"/>
    <xf numFmtId="164" fontId="25" fillId="21" borderId="0" xfId="0" applyFont="1" applyFill="1" applyProtection="1"/>
    <xf numFmtId="164" fontId="43" fillId="21" borderId="0" xfId="0" applyFont="1" applyFill="1" applyProtection="1"/>
    <xf numFmtId="164" fontId="28" fillId="21" borderId="0" xfId="0" applyFont="1" applyFill="1" applyProtection="1"/>
    <xf numFmtId="164" fontId="30" fillId="21" borderId="20" xfId="0" applyFont="1" applyFill="1" applyBorder="1" applyAlignment="1" applyProtection="1">
      <alignment horizontal="center"/>
    </xf>
    <xf numFmtId="164" fontId="98" fillId="21" borderId="0" xfId="0" applyFont="1" applyFill="1" applyAlignment="1" applyProtection="1">
      <alignment horizontal="center"/>
    </xf>
    <xf numFmtId="164" fontId="98" fillId="21" borderId="0" xfId="0" applyFont="1" applyFill="1" applyProtection="1"/>
    <xf numFmtId="164" fontId="104" fillId="21" borderId="0" xfId="0" applyFont="1" applyFill="1" applyProtection="1"/>
    <xf numFmtId="164" fontId="28" fillId="21" borderId="0" xfId="0" quotePrefix="1" applyFont="1" applyFill="1" applyAlignment="1" applyProtection="1">
      <alignment horizontal="center"/>
    </xf>
    <xf numFmtId="164" fontId="28" fillId="21" borderId="0" xfId="0" applyFont="1" applyFill="1" applyAlignment="1" applyProtection="1">
      <alignment horizontal="center"/>
    </xf>
    <xf numFmtId="164" fontId="30" fillId="21" borderId="0" xfId="0" applyFont="1" applyFill="1" applyAlignment="1" applyProtection="1">
      <alignment horizontal="center"/>
    </xf>
    <xf numFmtId="0" fontId="95" fillId="21" borderId="0" xfId="233" applyFont="1" applyFill="1" applyAlignment="1" applyProtection="1">
      <alignment horizontal="left" wrapText="1"/>
    </xf>
    <xf numFmtId="10" fontId="30" fillId="21" borderId="14" xfId="148" applyNumberFormat="1" applyFont="1" applyFill="1" applyBorder="1" applyAlignment="1" applyProtection="1">
      <alignment horizontal="center"/>
    </xf>
    <xf numFmtId="168" fontId="30" fillId="21" borderId="0" xfId="161" applyNumberFormat="1" applyFont="1" applyFill="1" applyProtection="1"/>
    <xf numFmtId="169" fontId="30" fillId="21" borderId="0" xfId="0" applyNumberFormat="1" applyFont="1" applyFill="1" applyProtection="1"/>
    <xf numFmtId="5" fontId="30" fillId="21" borderId="0" xfId="147" applyNumberFormat="1" applyFont="1" applyFill="1" applyProtection="1"/>
    <xf numFmtId="164" fontId="41" fillId="21" borderId="0" xfId="0" applyFont="1" applyFill="1" applyProtection="1"/>
    <xf numFmtId="14" fontId="28" fillId="39" borderId="0" xfId="0" applyNumberFormat="1" applyFont="1" applyFill="1" applyAlignment="1" applyProtection="1">
      <alignment horizontal="center" wrapText="1"/>
      <protection locked="0"/>
    </xf>
    <xf numFmtId="164" fontId="28" fillId="39" borderId="0" xfId="0" applyFont="1" applyFill="1" applyAlignment="1" applyProtection="1">
      <alignment horizontal="center" wrapText="1"/>
      <protection locked="0"/>
    </xf>
    <xf numFmtId="168" fontId="28" fillId="39" borderId="0" xfId="410" applyNumberFormat="1" applyFont="1" applyFill="1" applyBorder="1" applyProtection="1">
      <protection locked="0"/>
    </xf>
    <xf numFmtId="168" fontId="28" fillId="39" borderId="0" xfId="410" applyNumberFormat="1" applyFont="1" applyFill="1" applyBorder="1" applyAlignment="1" applyProtection="1">
      <alignment wrapText="1"/>
      <protection locked="0"/>
    </xf>
    <xf numFmtId="14" fontId="28" fillId="39" borderId="0" xfId="0" applyNumberFormat="1" applyFont="1" applyFill="1" applyBorder="1" applyAlignment="1" applyProtection="1">
      <alignment horizontal="center" wrapText="1"/>
      <protection locked="0"/>
    </xf>
    <xf numFmtId="164" fontId="28" fillId="39" borderId="0" xfId="0" applyFont="1" applyFill="1" applyBorder="1" applyAlignment="1" applyProtection="1">
      <alignment horizontal="center" wrapText="1"/>
      <protection locked="0"/>
    </xf>
    <xf numFmtId="14" fontId="28" fillId="39" borderId="0" xfId="0" quotePrefix="1" applyNumberFormat="1" applyFont="1" applyFill="1" applyBorder="1" applyAlignment="1" applyProtection="1">
      <alignment horizontal="center" wrapText="1"/>
      <protection locked="0"/>
    </xf>
    <xf numFmtId="164" fontId="28" fillId="39" borderId="0" xfId="0" quotePrefix="1" applyFont="1" applyFill="1" applyBorder="1" applyAlignment="1" applyProtection="1">
      <alignment horizontal="center" wrapText="1"/>
      <protection locked="0"/>
    </xf>
    <xf numFmtId="168" fontId="28" fillId="39" borderId="3" xfId="161" quotePrefix="1" applyNumberFormat="1" applyFont="1" applyFill="1" applyBorder="1" applyAlignment="1" applyProtection="1">
      <alignment horizontal="center" wrapText="1"/>
      <protection locked="0"/>
    </xf>
    <xf numFmtId="164" fontId="35" fillId="21" borderId="0" xfId="193" applyFont="1" applyFill="1" applyProtection="1"/>
    <xf numFmtId="164" fontId="103" fillId="21" borderId="0" xfId="0" applyFont="1" applyFill="1" applyProtection="1"/>
    <xf numFmtId="0" fontId="28" fillId="0" borderId="0" xfId="387" quotePrefix="1" applyFont="1" applyFill="1" applyBorder="1" applyAlignment="1" applyProtection="1">
      <alignment horizontal="center"/>
    </xf>
    <xf numFmtId="164" fontId="28" fillId="21" borderId="0" xfId="193" applyFont="1" applyFill="1" applyProtection="1"/>
    <xf numFmtId="164" fontId="30" fillId="21" borderId="22" xfId="193" applyFont="1" applyFill="1" applyBorder="1" applyProtection="1"/>
    <xf numFmtId="164" fontId="30" fillId="21" borderId="3" xfId="0" applyFont="1" applyFill="1" applyBorder="1" applyAlignment="1" applyProtection="1">
      <alignment horizontal="center" wrapText="1"/>
    </xf>
    <xf numFmtId="164" fontId="30" fillId="21" borderId="0" xfId="0" applyFont="1" applyFill="1" applyBorder="1" applyAlignment="1" applyProtection="1">
      <alignment horizontal="center" wrapText="1"/>
    </xf>
    <xf numFmtId="164" fontId="30" fillId="21" borderId="0" xfId="193" applyFont="1" applyFill="1" applyBorder="1" applyProtection="1"/>
    <xf numFmtId="14" fontId="28" fillId="39" borderId="0" xfId="0" applyNumberFormat="1" applyFont="1" applyFill="1" applyAlignment="1" applyProtection="1">
      <alignment horizontal="center" wrapText="1"/>
    </xf>
    <xf numFmtId="164" fontId="28" fillId="39" borderId="0" xfId="0" applyFont="1" applyFill="1" applyAlignment="1" applyProtection="1">
      <alignment horizontal="center" wrapText="1"/>
    </xf>
    <xf numFmtId="164" fontId="28" fillId="21" borderId="0" xfId="0" applyFont="1" applyFill="1" applyAlignment="1" applyProtection="1">
      <alignment wrapText="1"/>
    </xf>
    <xf numFmtId="168" fontId="28" fillId="39" borderId="0" xfId="410" applyNumberFormat="1" applyFont="1" applyFill="1" applyBorder="1" applyProtection="1"/>
    <xf numFmtId="168" fontId="28" fillId="21" borderId="0" xfId="161" applyNumberFormat="1" applyFont="1" applyFill="1" applyBorder="1" applyAlignment="1" applyProtection="1">
      <alignment wrapText="1"/>
    </xf>
    <xf numFmtId="164" fontId="104" fillId="21" borderId="0" xfId="0" applyFont="1" applyFill="1" applyAlignment="1" applyProtection="1">
      <alignment horizontal="center"/>
    </xf>
    <xf numFmtId="168" fontId="28" fillId="39" borderId="0" xfId="410" applyNumberFormat="1" applyFont="1" applyFill="1" applyBorder="1" applyAlignment="1" applyProtection="1">
      <alignment wrapText="1"/>
    </xf>
    <xf numFmtId="164" fontId="28" fillId="21" borderId="0" xfId="0" applyFont="1" applyFill="1" applyBorder="1" applyAlignment="1" applyProtection="1">
      <alignment wrapText="1"/>
    </xf>
    <xf numFmtId="164" fontId="28" fillId="21" borderId="0" xfId="0" applyFont="1" applyFill="1" applyBorder="1" applyAlignment="1" applyProtection="1">
      <alignment horizontal="center"/>
    </xf>
    <xf numFmtId="164" fontId="28" fillId="21" borderId="0" xfId="193" applyFont="1" applyFill="1" applyBorder="1" applyAlignment="1" applyProtection="1">
      <alignment horizontal="center"/>
    </xf>
    <xf numFmtId="164" fontId="28" fillId="21" borderId="0" xfId="193" applyFont="1" applyFill="1" applyAlignment="1" applyProtection="1">
      <alignment horizontal="center"/>
    </xf>
    <xf numFmtId="168" fontId="30" fillId="21" borderId="0" xfId="161" applyNumberFormat="1" applyFont="1" applyFill="1" applyBorder="1" applyProtection="1"/>
    <xf numFmtId="5" fontId="28" fillId="21" borderId="0" xfId="147" applyNumberFormat="1" applyFont="1" applyFill="1" applyBorder="1" applyProtection="1"/>
    <xf numFmtId="37" fontId="30" fillId="39" borderId="0" xfId="147" applyNumberFormat="1" applyFont="1" applyFill="1" applyProtection="1">
      <protection locked="0"/>
    </xf>
    <xf numFmtId="168" fontId="30" fillId="39" borderId="0" xfId="410" applyNumberFormat="1" applyFont="1" applyFill="1" applyProtection="1">
      <protection locked="0"/>
    </xf>
    <xf numFmtId="164" fontId="98" fillId="21" borderId="0" xfId="193" applyFont="1" applyFill="1" applyProtection="1"/>
    <xf numFmtId="164" fontId="103" fillId="21" borderId="0" xfId="193" applyFont="1" applyFill="1" applyProtection="1"/>
    <xf numFmtId="164" fontId="30" fillId="21" borderId="22" xfId="193" applyFont="1" applyFill="1" applyBorder="1" applyAlignment="1" applyProtection="1">
      <alignment horizontal="center"/>
    </xf>
    <xf numFmtId="37" fontId="30" fillId="21" borderId="0" xfId="161" applyNumberFormat="1" applyFont="1" applyFill="1" applyProtection="1"/>
    <xf numFmtId="164" fontId="28" fillId="21" borderId="0" xfId="0" applyFont="1" applyFill="1" applyAlignment="1" applyProtection="1">
      <alignment horizontal="left"/>
    </xf>
    <xf numFmtId="168" fontId="30" fillId="21" borderId="22" xfId="161" applyNumberFormat="1" applyFont="1" applyFill="1" applyBorder="1" applyProtection="1"/>
    <xf numFmtId="164" fontId="30" fillId="21" borderId="0" xfId="193" applyFont="1" applyFill="1" applyProtection="1"/>
    <xf numFmtId="164" fontId="28" fillId="21" borderId="0" xfId="193" applyFont="1" applyFill="1" applyAlignment="1" applyProtection="1">
      <alignment horizontal="left"/>
    </xf>
    <xf numFmtId="164" fontId="28" fillId="39" borderId="0" xfId="193" applyFont="1" applyFill="1" applyProtection="1">
      <protection locked="0"/>
    </xf>
    <xf numFmtId="164" fontId="28" fillId="39" borderId="0" xfId="193" quotePrefix="1" applyFont="1" applyFill="1" applyAlignment="1" applyProtection="1">
      <alignment horizontal="center"/>
      <protection locked="0"/>
    </xf>
    <xf numFmtId="168" fontId="28" fillId="39" borderId="0" xfId="410" applyNumberFormat="1" applyFont="1" applyFill="1" applyProtection="1">
      <protection locked="0"/>
    </xf>
    <xf numFmtId="168" fontId="28" fillId="39" borderId="0" xfId="194" applyNumberFormat="1" applyFont="1" applyFill="1" applyBorder="1" applyProtection="1">
      <protection locked="0"/>
    </xf>
    <xf numFmtId="168" fontId="28" fillId="39" borderId="20" xfId="194" quotePrefix="1" applyNumberFormat="1" applyFont="1" applyFill="1" applyBorder="1" applyAlignment="1" applyProtection="1">
      <alignment horizontal="center"/>
      <protection locked="0"/>
    </xf>
    <xf numFmtId="164" fontId="28" fillId="39" borderId="0" xfId="0" applyFont="1" applyFill="1" applyAlignment="1" applyProtection="1">
      <alignment wrapText="1"/>
      <protection locked="0"/>
    </xf>
    <xf numFmtId="164" fontId="28" fillId="39" borderId="0" xfId="193" applyFont="1" applyFill="1" applyAlignment="1" applyProtection="1">
      <alignment wrapText="1"/>
      <protection locked="0"/>
    </xf>
    <xf numFmtId="164" fontId="21" fillId="39" borderId="0" xfId="193" applyNumberFormat="1" applyFont="1" applyFill="1" applyAlignment="1" applyProtection="1">
      <alignment horizontal="left" indent="1"/>
      <protection locked="0"/>
    </xf>
    <xf numFmtId="168" fontId="28" fillId="39" borderId="0" xfId="161" applyNumberFormat="1" applyFont="1" applyFill="1" applyProtection="1">
      <protection locked="0"/>
    </xf>
    <xf numFmtId="168" fontId="28" fillId="39" borderId="0" xfId="194" quotePrefix="1" applyNumberFormat="1" applyFont="1" applyFill="1" applyBorder="1" applyAlignment="1" applyProtection="1">
      <alignment horizontal="center"/>
      <protection locked="0"/>
    </xf>
    <xf numFmtId="168" fontId="28" fillId="39" borderId="0" xfId="194" applyNumberFormat="1" applyFont="1" applyFill="1" applyProtection="1">
      <protection locked="0"/>
    </xf>
    <xf numFmtId="164" fontId="112" fillId="39" borderId="0" xfId="0" applyNumberFormat="1" applyFont="1" applyFill="1" applyAlignment="1" applyProtection="1">
      <alignment horizontal="center"/>
      <protection locked="0"/>
    </xf>
    <xf numFmtId="0" fontId="35" fillId="39" borderId="0" xfId="8" applyFont="1" applyFill="1" applyProtection="1">
      <protection locked="0"/>
    </xf>
    <xf numFmtId="0" fontId="121" fillId="39" borderId="0" xfId="8" applyFont="1" applyFill="1" applyBorder="1" applyAlignment="1" applyProtection="1">
      <alignment horizontal="left"/>
      <protection locked="0"/>
    </xf>
    <xf numFmtId="0" fontId="35" fillId="39" borderId="0" xfId="72" applyFont="1" applyFill="1" applyAlignment="1" applyProtection="1">
      <alignment horizontal="center"/>
      <protection locked="0"/>
    </xf>
    <xf numFmtId="0" fontId="35" fillId="39" borderId="0" xfId="72" applyFont="1" applyFill="1" applyProtection="1">
      <protection locked="0"/>
    </xf>
    <xf numFmtId="43" fontId="35" fillId="39" borderId="0" xfId="161" applyFont="1" applyFill="1" applyProtection="1">
      <protection locked="0"/>
    </xf>
    <xf numFmtId="168" fontId="121" fillId="39" borderId="0" xfId="161" applyNumberFormat="1" applyFont="1" applyFill="1" applyBorder="1" applyAlignment="1" applyProtection="1">
      <alignment horizontal="left"/>
      <protection locked="0"/>
    </xf>
    <xf numFmtId="168" fontId="35" fillId="39" borderId="0" xfId="161" applyNumberFormat="1" applyFont="1" applyFill="1" applyProtection="1">
      <protection locked="0"/>
    </xf>
    <xf numFmtId="0" fontId="35" fillId="39" borderId="0" xfId="72" applyFont="1" applyFill="1" applyBorder="1" applyProtection="1">
      <protection locked="0"/>
    </xf>
    <xf numFmtId="164" fontId="135" fillId="21" borderId="0" xfId="0" applyFont="1" applyFill="1" applyProtection="1"/>
    <xf numFmtId="4" fontId="25" fillId="21" borderId="0" xfId="0" applyNumberFormat="1" applyFont="1" applyFill="1" applyProtection="1"/>
    <xf numFmtId="164" fontId="136" fillId="21" borderId="0" xfId="0" applyFont="1" applyFill="1" applyProtection="1"/>
    <xf numFmtId="164" fontId="80" fillId="0" borderId="0" xfId="0" applyFont="1" applyProtection="1"/>
    <xf numFmtId="164" fontId="0" fillId="21" borderId="0" xfId="0" applyFont="1" applyFill="1" applyBorder="1" applyProtection="1"/>
    <xf numFmtId="0" fontId="137" fillId="0" borderId="0" xfId="8" applyFont="1" applyProtection="1"/>
    <xf numFmtId="0" fontId="53" fillId="0" borderId="0" xfId="8" applyFont="1" applyProtection="1"/>
    <xf numFmtId="0" fontId="138" fillId="0" borderId="0" xfId="8" applyFont="1" applyProtection="1"/>
    <xf numFmtId="0" fontId="52" fillId="0" borderId="0" xfId="8" applyFont="1" applyProtection="1"/>
    <xf numFmtId="0" fontId="28" fillId="0" borderId="0" xfId="387" quotePrefix="1" applyFont="1" applyFill="1" applyAlignment="1" applyProtection="1">
      <alignment horizontal="center"/>
    </xf>
    <xf numFmtId="0" fontId="52" fillId="0" borderId="0" xfId="72" applyFont="1" applyProtection="1"/>
    <xf numFmtId="0" fontId="74" fillId="0" borderId="0" xfId="8" applyFont="1" applyProtection="1"/>
    <xf numFmtId="0" fontId="52" fillId="0" borderId="0" xfId="72" applyFont="1" applyAlignment="1" applyProtection="1">
      <alignment horizontal="center"/>
    </xf>
    <xf numFmtId="4" fontId="52" fillId="0" borderId="0" xfId="72" applyNumberFormat="1" applyFont="1" applyAlignment="1" applyProtection="1">
      <alignment horizontal="center"/>
    </xf>
    <xf numFmtId="0" fontId="52" fillId="0" borderId="0" xfId="8" applyFont="1" applyAlignment="1" applyProtection="1">
      <alignment horizontal="center"/>
    </xf>
    <xf numFmtId="0" fontId="74" fillId="0" borderId="16" xfId="8" applyFont="1" applyBorder="1" applyProtection="1"/>
    <xf numFmtId="0" fontId="52" fillId="0" borderId="0" xfId="8" applyFont="1" applyBorder="1" applyProtection="1"/>
    <xf numFmtId="0" fontId="52" fillId="0" borderId="16" xfId="72" applyFont="1" applyBorder="1" applyAlignment="1" applyProtection="1">
      <alignment horizontal="center"/>
    </xf>
    <xf numFmtId="0" fontId="52" fillId="0" borderId="0" xfId="72" applyFont="1" applyBorder="1" applyProtection="1"/>
    <xf numFmtId="0" fontId="52" fillId="0" borderId="16" xfId="72" applyFont="1" applyBorder="1" applyProtection="1"/>
    <xf numFmtId="4" fontId="52" fillId="0" borderId="16" xfId="72" applyNumberFormat="1" applyFont="1" applyBorder="1" applyAlignment="1" applyProtection="1">
      <alignment horizontal="center"/>
    </xf>
    <xf numFmtId="0" fontId="52" fillId="0" borderId="16" xfId="8" applyFont="1" applyBorder="1" applyAlignment="1" applyProtection="1">
      <alignment horizontal="center"/>
    </xf>
    <xf numFmtId="0" fontId="59" fillId="0" borderId="0" xfId="8" applyFont="1" applyProtection="1"/>
    <xf numFmtId="0" fontId="53" fillId="0" borderId="0" xfId="8" applyFont="1" applyAlignment="1" applyProtection="1">
      <alignment horizontal="center"/>
    </xf>
    <xf numFmtId="4" fontId="53" fillId="0" borderId="0" xfId="8" applyNumberFormat="1" applyFont="1" applyProtection="1"/>
    <xf numFmtId="0" fontId="27" fillId="0" borderId="0" xfId="8" applyFont="1" applyProtection="1"/>
    <xf numFmtId="0" fontId="30" fillId="0" borderId="0" xfId="8" applyFont="1" applyProtection="1"/>
    <xf numFmtId="0" fontId="35" fillId="0" borderId="0" xfId="8" applyFont="1" applyProtection="1"/>
    <xf numFmtId="0" fontId="35" fillId="0" borderId="0" xfId="8" applyFont="1" applyAlignment="1" applyProtection="1">
      <alignment horizontal="center"/>
    </xf>
    <xf numFmtId="4" fontId="35" fillId="0" borderId="0" xfId="8" applyNumberFormat="1" applyFont="1" applyProtection="1"/>
    <xf numFmtId="0" fontId="27" fillId="21" borderId="0" xfId="420" applyFont="1" applyFill="1" applyBorder="1" applyProtection="1"/>
    <xf numFmtId="0" fontId="35" fillId="0" borderId="0" xfId="8" applyFont="1" applyAlignment="1" applyProtection="1">
      <alignment horizontal="left"/>
    </xf>
    <xf numFmtId="0" fontId="35" fillId="0" borderId="0" xfId="72" applyFont="1" applyFill="1" applyAlignment="1" applyProtection="1">
      <alignment horizontal="center"/>
    </xf>
    <xf numFmtId="0" fontId="35" fillId="0" borderId="0" xfId="72" applyFont="1" applyProtection="1"/>
    <xf numFmtId="168" fontId="35" fillId="0" borderId="0" xfId="410" applyNumberFormat="1" applyFont="1" applyFill="1" applyBorder="1" applyProtection="1"/>
    <xf numFmtId="0" fontId="35" fillId="0" borderId="0" xfId="72" applyFont="1" applyBorder="1" applyProtection="1"/>
    <xf numFmtId="0" fontId="35" fillId="0" borderId="0" xfId="8" applyFont="1" applyFill="1" applyAlignment="1" applyProtection="1">
      <alignment horizontal="left"/>
    </xf>
    <xf numFmtId="168" fontId="131" fillId="0" borderId="0" xfId="410" applyNumberFormat="1" applyFont="1" applyFill="1" applyBorder="1" applyProtection="1"/>
    <xf numFmtId="0" fontId="35" fillId="0" borderId="0" xfId="8" applyFont="1" applyFill="1" applyProtection="1"/>
    <xf numFmtId="0" fontId="123" fillId="0" borderId="0" xfId="8" applyFont="1" applyFill="1" applyBorder="1" applyAlignment="1" applyProtection="1">
      <alignment horizontal="left"/>
    </xf>
    <xf numFmtId="0" fontId="121" fillId="0" borderId="0" xfId="8" applyFont="1" applyFill="1" applyBorder="1" applyAlignment="1" applyProtection="1">
      <alignment horizontal="left"/>
    </xf>
    <xf numFmtId="0" fontId="35" fillId="0" borderId="0" xfId="61" applyFont="1" applyFill="1" applyProtection="1"/>
    <xf numFmtId="0" fontId="31" fillId="0" borderId="0" xfId="72" applyFont="1" applyProtection="1"/>
    <xf numFmtId="168" fontId="31" fillId="0" borderId="0" xfId="410" applyNumberFormat="1" applyFont="1" applyBorder="1" applyProtection="1"/>
    <xf numFmtId="168" fontId="35" fillId="0" borderId="0" xfId="410" applyNumberFormat="1" applyFont="1" applyBorder="1" applyProtection="1"/>
    <xf numFmtId="168" fontId="14" fillId="0" borderId="0" xfId="410" applyNumberFormat="1" applyFont="1" applyFill="1" applyBorder="1" applyProtection="1"/>
    <xf numFmtId="0" fontId="121" fillId="0" borderId="0" xfId="8" applyFont="1" applyBorder="1" applyAlignment="1" applyProtection="1">
      <alignment horizontal="left"/>
    </xf>
    <xf numFmtId="0" fontId="35" fillId="0" borderId="0" xfId="61" applyFont="1" applyProtection="1"/>
    <xf numFmtId="168" fontId="31" fillId="0" borderId="0" xfId="410" applyNumberFormat="1" applyFont="1" applyFill="1" applyBorder="1" applyProtection="1"/>
    <xf numFmtId="168" fontId="31" fillId="0" borderId="0" xfId="410" applyNumberFormat="1" applyFont="1" applyFill="1" applyProtection="1"/>
    <xf numFmtId="164" fontId="0" fillId="0" borderId="0" xfId="0" applyFont="1" applyFill="1" applyProtection="1"/>
    <xf numFmtId="0" fontId="123" fillId="0" borderId="0" xfId="8" applyFont="1" applyBorder="1" applyAlignment="1" applyProtection="1">
      <alignment horizontal="left"/>
    </xf>
    <xf numFmtId="0" fontId="35" fillId="0" borderId="0" xfId="72" applyFont="1" applyFill="1" applyBorder="1" applyProtection="1"/>
    <xf numFmtId="0" fontId="120" fillId="0" borderId="0" xfId="8" applyFont="1" applyProtection="1"/>
    <xf numFmtId="0" fontId="35" fillId="0" borderId="0" xfId="8" applyFont="1" applyFill="1" applyAlignment="1" applyProtection="1">
      <alignment horizontal="center"/>
    </xf>
    <xf numFmtId="0" fontId="35" fillId="0" borderId="0" xfId="72" applyFont="1" applyAlignment="1" applyProtection="1">
      <alignment horizontal="center"/>
    </xf>
    <xf numFmtId="168" fontId="56" fillId="0" borderId="0" xfId="410" applyNumberFormat="1" applyFont="1" applyFill="1" applyProtection="1"/>
    <xf numFmtId="4" fontId="53" fillId="0" borderId="0" xfId="8" applyNumberFormat="1" applyFont="1" applyFill="1" applyProtection="1"/>
    <xf numFmtId="164" fontId="137" fillId="21" borderId="0" xfId="0" applyFont="1" applyFill="1" applyProtection="1"/>
    <xf numFmtId="164" fontId="0" fillId="21" borderId="0" xfId="0" applyFont="1" applyFill="1" applyProtection="1"/>
    <xf numFmtId="164" fontId="65" fillId="21" borderId="0" xfId="0" applyFont="1" applyFill="1" applyProtection="1"/>
    <xf numFmtId="4" fontId="0" fillId="21" borderId="0" xfId="0" applyNumberFormat="1" applyFill="1" applyProtection="1"/>
    <xf numFmtId="164" fontId="35" fillId="39" borderId="0" xfId="0" applyFont="1" applyFill="1" applyProtection="1">
      <protection locked="0"/>
    </xf>
    <xf numFmtId="3" fontId="28" fillId="39" borderId="0" xfId="8" applyNumberFormat="1" applyFont="1" applyFill="1" applyAlignment="1" applyProtection="1">
      <alignment horizontal="left"/>
      <protection locked="0"/>
    </xf>
    <xf numFmtId="0" fontId="30" fillId="39" borderId="0" xfId="420" applyFont="1" applyFill="1" applyBorder="1" applyAlignment="1" applyProtection="1">
      <protection locked="0"/>
    </xf>
    <xf numFmtId="3" fontId="28" fillId="39" borderId="0" xfId="8" applyNumberFormat="1" applyFont="1" applyFill="1" applyProtection="1">
      <protection locked="0"/>
    </xf>
    <xf numFmtId="0" fontId="30" fillId="39" borderId="0" xfId="420" quotePrefix="1" applyFont="1" applyFill="1" applyBorder="1" applyAlignment="1" applyProtection="1">
      <protection locked="0"/>
    </xf>
    <xf numFmtId="0" fontId="30" fillId="39" borderId="0" xfId="519" applyFont="1" applyFill="1" applyBorder="1" applyAlignment="1" applyProtection="1">
      <protection locked="0"/>
    </xf>
    <xf numFmtId="3" fontId="30" fillId="39" borderId="0" xfId="8" applyNumberFormat="1" applyFont="1" applyFill="1" applyProtection="1">
      <protection locked="0"/>
    </xf>
    <xf numFmtId="187" fontId="28" fillId="39" borderId="0" xfId="519" applyNumberFormat="1" applyFont="1" applyFill="1" applyBorder="1" applyAlignment="1" applyProtection="1">
      <alignment horizontal="left"/>
      <protection locked="0"/>
    </xf>
    <xf numFmtId="0" fontId="28" fillId="39" borderId="0" xfId="519" applyFont="1" applyFill="1" applyBorder="1" applyProtection="1">
      <protection locked="0"/>
    </xf>
    <xf numFmtId="0" fontId="30" fillId="39" borderId="0" xfId="519" applyFont="1" applyFill="1" applyBorder="1" applyAlignment="1" applyProtection="1">
      <alignment horizontal="left"/>
      <protection locked="0"/>
    </xf>
    <xf numFmtId="168" fontId="95" fillId="39" borderId="0" xfId="410" applyNumberFormat="1" applyFont="1" applyFill="1" applyBorder="1" applyProtection="1">
      <protection locked="0"/>
    </xf>
    <xf numFmtId="43" fontId="30" fillId="39" borderId="22" xfId="161" applyFont="1" applyFill="1" applyBorder="1" applyAlignment="1" applyProtection="1">
      <alignment horizontal="right"/>
      <protection locked="0"/>
    </xf>
    <xf numFmtId="43" fontId="28" fillId="39" borderId="0" xfId="161" applyFont="1" applyFill="1" applyAlignment="1" applyProtection="1">
      <alignment horizontal="right"/>
      <protection locked="0"/>
    </xf>
    <xf numFmtId="3" fontId="110" fillId="39" borderId="0" xfId="17" applyNumberFormat="1" applyFont="1" applyFill="1" applyAlignment="1" applyProtection="1">
      <alignment horizontal="right"/>
      <protection locked="0"/>
    </xf>
    <xf numFmtId="14" fontId="28" fillId="39" borderId="0" xfId="380" applyNumberFormat="1" applyFont="1" applyFill="1" applyProtection="1">
      <protection locked="0"/>
    </xf>
    <xf numFmtId="0" fontId="28" fillId="39" borderId="0" xfId="380" applyFont="1" applyFill="1" applyProtection="1">
      <protection locked="0"/>
    </xf>
    <xf numFmtId="14" fontId="28" fillId="39" borderId="0" xfId="192" quotePrefix="1" applyNumberFormat="1" applyFont="1" applyFill="1" applyAlignment="1" applyProtection="1">
      <alignment horizontal="center"/>
      <protection locked="0"/>
    </xf>
    <xf numFmtId="14" fontId="28" fillId="39" borderId="0" xfId="192" applyNumberFormat="1" applyFont="1" applyFill="1" applyProtection="1">
      <protection locked="0"/>
    </xf>
    <xf numFmtId="164" fontId="19" fillId="39" borderId="0" xfId="0" applyNumberFormat="1" applyFont="1" applyFill="1" applyAlignment="1" applyProtection="1">
      <alignment horizontal="centerContinuous"/>
      <protection locked="0"/>
    </xf>
    <xf numFmtId="0" fontId="30" fillId="39" borderId="0" xfId="61" applyFont="1" applyFill="1" applyProtection="1">
      <protection locked="0"/>
    </xf>
    <xf numFmtId="0" fontId="28" fillId="39" borderId="0" xfId="61" applyFont="1" applyFill="1" applyProtection="1">
      <protection locked="0"/>
    </xf>
    <xf numFmtId="0" fontId="30" fillId="39" borderId="0" xfId="61" applyFont="1" applyFill="1" applyBorder="1" applyAlignment="1" applyProtection="1">
      <alignment horizontal="center"/>
      <protection locked="0"/>
    </xf>
    <xf numFmtId="173" fontId="28" fillId="39" borderId="0" xfId="61" applyNumberFormat="1" applyFont="1" applyFill="1" applyProtection="1">
      <protection locked="0"/>
    </xf>
    <xf numFmtId="0" fontId="28" fillId="39" borderId="0" xfId="61" applyFont="1" applyFill="1" applyAlignment="1" applyProtection="1">
      <alignment horizontal="center"/>
      <protection locked="0"/>
    </xf>
    <xf numFmtId="0" fontId="28" fillId="39" borderId="0" xfId="61" quotePrefix="1" applyFont="1" applyFill="1" applyAlignment="1" applyProtection="1">
      <alignment horizontal="left"/>
      <protection locked="0"/>
    </xf>
    <xf numFmtId="0" fontId="28" fillId="39" borderId="0" xfId="61" quotePrefix="1" applyFont="1" applyFill="1" applyAlignment="1" applyProtection="1">
      <alignment horizontal="center"/>
      <protection locked="0"/>
    </xf>
    <xf numFmtId="43" fontId="28" fillId="39" borderId="0" xfId="61" applyNumberFormat="1" applyFont="1" applyFill="1" applyProtection="1">
      <protection locked="0"/>
    </xf>
    <xf numFmtId="173" fontId="30" fillId="39" borderId="0" xfId="61" applyNumberFormat="1" applyFont="1" applyFill="1" applyProtection="1">
      <protection locked="0"/>
    </xf>
    <xf numFmtId="3" fontId="28" fillId="39" borderId="0" xfId="61" applyNumberFormat="1" applyFont="1" applyFill="1" applyProtection="1">
      <protection locked="0"/>
    </xf>
    <xf numFmtId="168" fontId="28" fillId="39" borderId="0" xfId="9" applyNumberFormat="1" applyFont="1" applyFill="1" applyProtection="1">
      <protection locked="0"/>
    </xf>
    <xf numFmtId="0" fontId="28" fillId="39" borderId="0" xfId="8" applyFont="1" applyFill="1" applyProtection="1">
      <protection locked="0"/>
    </xf>
    <xf numFmtId="3" fontId="28" fillId="39" borderId="20" xfId="61" quotePrefix="1" applyNumberFormat="1" applyFont="1" applyFill="1" applyBorder="1" applyAlignment="1" applyProtection="1">
      <alignment horizontal="center"/>
      <protection locked="0"/>
    </xf>
    <xf numFmtId="43" fontId="28" fillId="39" borderId="0" xfId="410" applyFont="1" applyFill="1" applyProtection="1">
      <protection locked="0"/>
    </xf>
    <xf numFmtId="164" fontId="28" fillId="39" borderId="0" xfId="0" applyFont="1" applyFill="1" applyBorder="1" applyAlignment="1" applyProtection="1">
      <alignment wrapText="1"/>
      <protection locked="0"/>
    </xf>
    <xf numFmtId="164" fontId="30" fillId="39" borderId="0" xfId="0" applyFont="1" applyFill="1" applyAlignment="1" applyProtection="1">
      <alignment horizontal="center"/>
      <protection locked="0"/>
    </xf>
    <xf numFmtId="168" fontId="28" fillId="39" borderId="0" xfId="161" applyNumberFormat="1" applyFont="1" applyFill="1" applyBorder="1" applyAlignment="1" applyProtection="1">
      <alignment wrapText="1"/>
      <protection locked="0"/>
    </xf>
    <xf numFmtId="0" fontId="35" fillId="39" borderId="0" xfId="8" quotePrefix="1" applyFont="1" applyFill="1" applyAlignment="1" applyProtection="1">
      <alignment horizontal="center"/>
      <protection locked="0"/>
    </xf>
    <xf numFmtId="168" fontId="35" fillId="39" borderId="0" xfId="9" applyNumberFormat="1" applyFont="1" applyFill="1" applyProtection="1">
      <protection locked="0"/>
    </xf>
    <xf numFmtId="3" fontId="35" fillId="39" borderId="0" xfId="8" applyNumberFormat="1" applyFill="1" applyProtection="1">
      <protection locked="0"/>
    </xf>
    <xf numFmtId="3" fontId="35" fillId="39" borderId="0" xfId="8" applyNumberFormat="1" applyFont="1" applyFill="1" applyProtection="1">
      <protection locked="0"/>
    </xf>
    <xf numFmtId="168" fontId="35" fillId="39" borderId="0" xfId="9" quotePrefix="1" applyNumberFormat="1" applyFont="1" applyFill="1" applyAlignment="1" applyProtection="1">
      <alignment horizontal="center"/>
      <protection locked="0"/>
    </xf>
    <xf numFmtId="0" fontId="35" fillId="39" borderId="0" xfId="8" applyFill="1" applyProtection="1">
      <protection locked="0"/>
    </xf>
    <xf numFmtId="3" fontId="35" fillId="39" borderId="0" xfId="9" applyNumberFormat="1" applyFont="1" applyFill="1" applyProtection="1">
      <protection locked="0"/>
    </xf>
    <xf numFmtId="164" fontId="31" fillId="39" borderId="0" xfId="0" applyFont="1" applyFill="1" applyProtection="1">
      <protection locked="0"/>
    </xf>
    <xf numFmtId="168" fontId="108" fillId="39" borderId="0" xfId="410" applyNumberFormat="1" applyFont="1" applyFill="1" applyAlignment="1" applyProtection="1">
      <alignment horizontal="right" vertical="center"/>
      <protection locked="0"/>
    </xf>
    <xf numFmtId="168" fontId="108" fillId="39" borderId="22" xfId="410" applyNumberFormat="1" applyFont="1" applyFill="1" applyBorder="1" applyAlignment="1" applyProtection="1">
      <alignment horizontal="right" vertical="center"/>
      <protection locked="0"/>
    </xf>
    <xf numFmtId="0" fontId="107" fillId="39" borderId="0" xfId="0" applyNumberFormat="1" applyFont="1" applyFill="1" applyBorder="1" applyProtection="1">
      <protection locked="0"/>
    </xf>
    <xf numFmtId="0" fontId="107" fillId="39" borderId="0" xfId="0" quotePrefix="1" applyNumberFormat="1" applyFont="1" applyFill="1" applyBorder="1" applyAlignment="1" applyProtection="1">
      <alignment horizontal="center"/>
      <protection locked="0"/>
    </xf>
    <xf numFmtId="0" fontId="107" fillId="39" borderId="0" xfId="0" quotePrefix="1" applyNumberFormat="1" applyFont="1" applyFill="1" applyBorder="1" applyProtection="1">
      <protection locked="0"/>
    </xf>
    <xf numFmtId="14" fontId="105" fillId="39" borderId="20" xfId="0" applyNumberFormat="1" applyFont="1" applyFill="1" applyBorder="1" applyAlignment="1" applyProtection="1">
      <alignment horizontal="center"/>
      <protection locked="0"/>
    </xf>
    <xf numFmtId="168" fontId="107" fillId="39" borderId="0" xfId="410" applyNumberFormat="1" applyFont="1" applyFill="1" applyBorder="1" applyProtection="1">
      <protection locked="0"/>
    </xf>
    <xf numFmtId="168" fontId="134" fillId="39" borderId="0" xfId="410" applyNumberFormat="1" applyFont="1" applyFill="1" applyBorder="1" applyAlignment="1" applyProtection="1">
      <alignment horizontal="center"/>
      <protection locked="0"/>
    </xf>
    <xf numFmtId="14" fontId="35" fillId="39" borderId="0" xfId="8" applyNumberFormat="1" applyFont="1" applyFill="1" applyProtection="1">
      <protection locked="0"/>
    </xf>
    <xf numFmtId="168" fontId="111" fillId="39" borderId="0" xfId="9" applyNumberFormat="1" applyFont="1" applyFill="1" applyBorder="1" applyProtection="1">
      <protection locked="0"/>
    </xf>
    <xf numFmtId="168" fontId="111" fillId="39" borderId="0" xfId="9" applyNumberFormat="1" applyFont="1" applyFill="1" applyProtection="1">
      <protection locked="0"/>
    </xf>
    <xf numFmtId="168" fontId="111" fillId="39" borderId="3" xfId="9" applyNumberFormat="1" applyFont="1" applyFill="1" applyBorder="1" applyProtection="1">
      <protection locked="0"/>
    </xf>
    <xf numFmtId="168" fontId="111" fillId="39" borderId="22" xfId="9" applyNumberFormat="1" applyFont="1" applyFill="1" applyBorder="1" applyProtection="1">
      <protection locked="0"/>
    </xf>
    <xf numFmtId="41" fontId="28" fillId="39" borderId="0" xfId="364" applyNumberFormat="1" applyFont="1" applyFill="1" applyProtection="1">
      <protection locked="0"/>
    </xf>
    <xf numFmtId="168" fontId="30" fillId="39" borderId="0" xfId="410" applyNumberFormat="1" applyFont="1" applyFill="1" applyBorder="1" applyProtection="1">
      <protection locked="0"/>
    </xf>
    <xf numFmtId="0" fontId="28" fillId="39" borderId="0" xfId="0" applyNumberFormat="1" applyFont="1" applyFill="1" applyProtection="1">
      <protection locked="0"/>
    </xf>
    <xf numFmtId="1" fontId="30" fillId="39" borderId="4" xfId="0" quotePrefix="1" applyNumberFormat="1" applyFont="1" applyFill="1" applyBorder="1" applyAlignment="1" applyProtection="1">
      <alignment horizontal="center"/>
      <protection locked="0"/>
    </xf>
    <xf numFmtId="0" fontId="30" fillId="39" borderId="4" xfId="0" quotePrefix="1" applyNumberFormat="1" applyFont="1" applyFill="1" applyBorder="1" applyAlignment="1" applyProtection="1">
      <alignment horizontal="center"/>
      <protection locked="0"/>
    </xf>
    <xf numFmtId="164" fontId="30" fillId="21" borderId="0" xfId="0" applyFont="1" applyFill="1" applyAlignment="1" applyProtection="1"/>
    <xf numFmtId="0" fontId="111" fillId="21" borderId="0" xfId="151" applyFont="1" applyFill="1" applyBorder="1" applyProtection="1"/>
    <xf numFmtId="0" fontId="111" fillId="21" borderId="0" xfId="151" applyFont="1" applyFill="1" applyProtection="1"/>
    <xf numFmtId="0" fontId="35" fillId="21" borderId="0" xfId="8" applyFont="1" applyFill="1" applyProtection="1"/>
    <xf numFmtId="0" fontId="35" fillId="21" borderId="0" xfId="8" applyFont="1" applyFill="1" applyBorder="1" applyProtection="1"/>
    <xf numFmtId="0" fontId="37" fillId="21" borderId="0" xfId="125" applyNumberFormat="1" applyFont="1" applyFill="1" applyBorder="1" applyProtection="1">
      <alignment horizontal="left" vertical="center" indent="1"/>
    </xf>
    <xf numFmtId="0" fontId="45" fillId="21" borderId="0" xfId="8" applyFont="1" applyFill="1" applyProtection="1"/>
    <xf numFmtId="0" fontId="31" fillId="21" borderId="0" xfId="196" applyFont="1" applyFill="1" applyAlignment="1" applyProtection="1">
      <alignment horizontal="center"/>
    </xf>
    <xf numFmtId="0" fontId="35" fillId="21" borderId="0" xfId="8" quotePrefix="1" applyFont="1" applyFill="1" applyBorder="1" applyAlignment="1" applyProtection="1">
      <alignment horizontal="center"/>
    </xf>
    <xf numFmtId="0" fontId="31" fillId="21" borderId="0" xfId="165" applyNumberFormat="1" applyFont="1" applyFill="1" applyBorder="1" applyAlignment="1" applyProtection="1">
      <alignment horizontal="center" vertical="center"/>
    </xf>
    <xf numFmtId="3" fontId="31" fillId="21" borderId="0" xfId="189" quotePrefix="1" applyNumberFormat="1" applyFont="1" applyFill="1" applyBorder="1" applyAlignment="1" applyProtection="1">
      <alignment horizontal="center" vertical="center"/>
    </xf>
    <xf numFmtId="0" fontId="35" fillId="21" borderId="0" xfId="196" applyFont="1" applyFill="1" applyProtection="1"/>
    <xf numFmtId="3" fontId="35" fillId="21" borderId="0" xfId="196" applyNumberFormat="1" applyFont="1" applyFill="1" applyProtection="1"/>
    <xf numFmtId="0" fontId="28" fillId="21" borderId="0" xfId="8" applyFont="1" applyFill="1" applyProtection="1"/>
    <xf numFmtId="0" fontId="28" fillId="21" borderId="0" xfId="8" applyFont="1" applyFill="1" applyBorder="1" applyProtection="1"/>
    <xf numFmtId="0" fontId="95" fillId="21" borderId="0" xfId="151" applyFont="1" applyFill="1" applyBorder="1" applyProtection="1"/>
    <xf numFmtId="0" fontId="95" fillId="21" borderId="0" xfId="151" applyFont="1" applyFill="1" applyProtection="1"/>
    <xf numFmtId="0" fontId="96" fillId="21" borderId="0" xfId="151" applyFont="1" applyFill="1" applyAlignment="1" applyProtection="1">
      <alignment horizontal="center"/>
    </xf>
    <xf numFmtId="0" fontId="30" fillId="21" borderId="0" xfId="0" applyNumberFormat="1" applyFont="1" applyFill="1" applyBorder="1" applyAlignment="1" applyProtection="1">
      <alignment horizontal="center" wrapText="1"/>
    </xf>
    <xf numFmtId="10" fontId="30" fillId="21" borderId="0" xfId="0" applyNumberFormat="1" applyFont="1" applyFill="1" applyBorder="1" applyAlignment="1" applyProtection="1">
      <alignment horizontal="center"/>
    </xf>
    <xf numFmtId="3" fontId="95" fillId="21" borderId="0" xfId="195" applyNumberFormat="1" applyFont="1" applyFill="1" applyProtection="1"/>
    <xf numFmtId="0" fontId="30" fillId="21" borderId="4" xfId="0" applyNumberFormat="1" applyFont="1" applyFill="1" applyBorder="1" applyAlignment="1" applyProtection="1">
      <alignment horizontal="center" wrapText="1"/>
    </xf>
    <xf numFmtId="10" fontId="30" fillId="21" borderId="4" xfId="0" applyNumberFormat="1" applyFont="1" applyFill="1" applyBorder="1" applyAlignment="1" applyProtection="1">
      <alignment horizontal="center"/>
    </xf>
    <xf numFmtId="1" fontId="30" fillId="21" borderId="0" xfId="0" applyNumberFormat="1" applyFont="1" applyFill="1" applyAlignment="1" applyProtection="1">
      <alignment horizontal="center"/>
    </xf>
    <xf numFmtId="0" fontId="30" fillId="21" borderId="0" xfId="0" applyNumberFormat="1" applyFont="1" applyFill="1" applyAlignment="1" applyProtection="1">
      <alignment horizontal="left"/>
    </xf>
    <xf numFmtId="10" fontId="28" fillId="21" borderId="0" xfId="148" applyNumberFormat="1" applyFont="1" applyFill="1" applyProtection="1"/>
    <xf numFmtId="3" fontId="30" fillId="21" borderId="0" xfId="0" applyNumberFormat="1" applyFont="1" applyFill="1" applyProtection="1"/>
    <xf numFmtId="0" fontId="30" fillId="21" borderId="0" xfId="0" applyNumberFormat="1" applyFont="1" applyFill="1" applyProtection="1"/>
    <xf numFmtId="1" fontId="30" fillId="21" borderId="0" xfId="0" applyNumberFormat="1" applyFont="1" applyFill="1" applyAlignment="1" applyProtection="1">
      <alignment horizontal="left"/>
    </xf>
    <xf numFmtId="0" fontId="30" fillId="21" borderId="0" xfId="0" applyNumberFormat="1" applyFont="1" applyFill="1" applyAlignment="1" applyProtection="1">
      <alignment horizontal="right"/>
    </xf>
    <xf numFmtId="0" fontId="30" fillId="21" borderId="0" xfId="0" applyNumberFormat="1" applyFont="1" applyFill="1" applyAlignment="1" applyProtection="1">
      <alignment horizontal="center"/>
    </xf>
    <xf numFmtId="3" fontId="28" fillId="21" borderId="0" xfId="0" applyNumberFormat="1" applyFont="1" applyFill="1" applyProtection="1"/>
    <xf numFmtId="10" fontId="28" fillId="21" borderId="14" xfId="148" applyNumberFormat="1" applyFont="1" applyFill="1" applyBorder="1" applyProtection="1"/>
    <xf numFmtId="10" fontId="30" fillId="21" borderId="0" xfId="148" applyNumberFormat="1" applyFont="1" applyFill="1" applyBorder="1" applyProtection="1"/>
    <xf numFmtId="1" fontId="30" fillId="21" borderId="0" xfId="0" applyNumberFormat="1" applyFont="1" applyFill="1" applyBorder="1" applyAlignment="1" applyProtection="1">
      <alignment horizontal="center"/>
    </xf>
    <xf numFmtId="0" fontId="30" fillId="21" borderId="0" xfId="0" applyNumberFormat="1" applyFont="1" applyFill="1" applyBorder="1" applyAlignment="1" applyProtection="1">
      <alignment horizontal="left"/>
    </xf>
    <xf numFmtId="10" fontId="104" fillId="21" borderId="0" xfId="0" applyNumberFormat="1" applyFont="1" applyFill="1" applyBorder="1" applyProtection="1"/>
    <xf numFmtId="0" fontId="30" fillId="21" borderId="4" xfId="0" quotePrefix="1" applyNumberFormat="1" applyFont="1" applyFill="1" applyBorder="1" applyAlignment="1" applyProtection="1">
      <alignment horizontal="center"/>
    </xf>
    <xf numFmtId="10" fontId="30" fillId="21" borderId="0" xfId="0" applyNumberFormat="1" applyFont="1" applyFill="1" applyBorder="1" applyProtection="1"/>
    <xf numFmtId="10" fontId="30" fillId="21" borderId="0" xfId="148" applyNumberFormat="1" applyFont="1" applyFill="1" applyProtection="1"/>
    <xf numFmtId="0" fontId="35" fillId="21" borderId="0" xfId="0" applyNumberFormat="1" applyFont="1" applyFill="1" applyProtection="1"/>
    <xf numFmtId="168" fontId="35" fillId="21" borderId="0" xfId="161" applyNumberFormat="1" applyFont="1" applyFill="1" applyProtection="1"/>
    <xf numFmtId="3" fontId="45" fillId="21" borderId="0" xfId="196" applyNumberFormat="1" applyFont="1" applyFill="1" applyProtection="1"/>
    <xf numFmtId="49" fontId="30" fillId="39" borderId="22" xfId="5" applyNumberFormat="1" applyFont="1" applyFill="1" applyBorder="1" applyAlignment="1" applyProtection="1">
      <alignment horizontal="center"/>
      <protection locked="0"/>
    </xf>
    <xf numFmtId="41" fontId="35" fillId="39" borderId="0" xfId="410" applyNumberFormat="1" applyFont="1" applyFill="1" applyProtection="1">
      <protection locked="0"/>
    </xf>
    <xf numFmtId="41" fontId="35" fillId="39" borderId="22" xfId="410" quotePrefix="1" applyNumberFormat="1" applyFont="1" applyFill="1" applyBorder="1" applyAlignment="1" applyProtection="1">
      <alignment horizontal="center"/>
      <protection locked="0"/>
    </xf>
    <xf numFmtId="41" fontId="35" fillId="39" borderId="0" xfId="410" applyNumberFormat="1" applyFont="1" applyFill="1" applyBorder="1" applyProtection="1">
      <protection locked="0"/>
    </xf>
    <xf numFmtId="164" fontId="35" fillId="39" borderId="0" xfId="0" quotePrefix="1" applyFont="1" applyFill="1" applyProtection="1">
      <protection locked="0"/>
    </xf>
    <xf numFmtId="41" fontId="35" fillId="39" borderId="0" xfId="147" applyNumberFormat="1" applyFont="1" applyFill="1" applyProtection="1">
      <protection locked="0"/>
    </xf>
    <xf numFmtId="41" fontId="35" fillId="39" borderId="22" xfId="147" applyNumberFormat="1" applyFont="1" applyFill="1" applyBorder="1" applyProtection="1">
      <protection locked="0"/>
    </xf>
    <xf numFmtId="41" fontId="35" fillId="39" borderId="0" xfId="147" applyNumberFormat="1" applyFont="1" applyFill="1" applyBorder="1" applyProtection="1">
      <protection locked="0"/>
    </xf>
    <xf numFmtId="14" fontId="96" fillId="39" borderId="0" xfId="410" applyNumberFormat="1" applyFont="1" applyFill="1" applyAlignment="1" applyProtection="1">
      <alignment horizontal="center"/>
      <protection locked="0"/>
    </xf>
    <xf numFmtId="182" fontId="21" fillId="39" borderId="0" xfId="513" applyNumberFormat="1" applyFont="1" applyFill="1" applyProtection="1">
      <protection locked="0"/>
    </xf>
    <xf numFmtId="168" fontId="21" fillId="39" borderId="0" xfId="161" applyNumberFormat="1" applyFont="1" applyFill="1" applyProtection="1">
      <protection locked="0"/>
    </xf>
    <xf numFmtId="168" fontId="95" fillId="39" borderId="0" xfId="410" quotePrefix="1" applyNumberFormat="1" applyFont="1" applyFill="1" applyProtection="1">
      <protection locked="0"/>
    </xf>
    <xf numFmtId="168" fontId="28" fillId="39" borderId="0" xfId="410" quotePrefix="1" applyNumberFormat="1" applyFont="1" applyFill="1" applyProtection="1">
      <protection locked="0"/>
    </xf>
    <xf numFmtId="168" fontId="95" fillId="39" borderId="0" xfId="410" applyNumberFormat="1" applyFont="1" applyFill="1" applyProtection="1">
      <protection locked="0"/>
    </xf>
    <xf numFmtId="168" fontId="95" fillId="39" borderId="22" xfId="410" applyNumberFormat="1" applyFont="1" applyFill="1" applyBorder="1" applyProtection="1">
      <protection locked="0"/>
    </xf>
    <xf numFmtId="169" fontId="35" fillId="39" borderId="0" xfId="0" applyNumberFormat="1" applyFont="1" applyFill="1" applyAlignment="1" applyProtection="1">
      <alignment horizontal="left" indent="1"/>
      <protection locked="0"/>
    </xf>
    <xf numFmtId="169" fontId="35" fillId="39" borderId="0" xfId="0" applyNumberFormat="1" applyFont="1" applyFill="1" applyProtection="1">
      <protection locked="0"/>
    </xf>
    <xf numFmtId="43" fontId="30" fillId="0" borderId="0" xfId="161" applyFont="1" applyFill="1" applyBorder="1" applyAlignment="1" applyProtection="1">
      <alignment horizontal="right"/>
      <protection locked="0"/>
    </xf>
    <xf numFmtId="0" fontId="28" fillId="39" borderId="0" xfId="61" applyFont="1" applyFill="1" applyBorder="1" applyProtection="1">
      <protection locked="0"/>
    </xf>
    <xf numFmtId="41" fontId="28" fillId="21" borderId="0" xfId="61" applyNumberFormat="1" applyFont="1" applyFill="1" applyBorder="1"/>
    <xf numFmtId="0" fontId="28" fillId="21" borderId="0" xfId="61" applyFont="1" applyFill="1" applyBorder="1"/>
    <xf numFmtId="3" fontId="28" fillId="21" borderId="0" xfId="61" applyNumberFormat="1" applyFont="1" applyFill="1" applyBorder="1"/>
    <xf numFmtId="3" fontId="28" fillId="39" borderId="0" xfId="61" applyNumberFormat="1" applyFont="1" applyFill="1" applyBorder="1" applyProtection="1">
      <protection locked="0"/>
    </xf>
    <xf numFmtId="3" fontId="28" fillId="21" borderId="0" xfId="61" applyNumberFormat="1" applyFont="1" applyFill="1" applyBorder="1" applyProtection="1">
      <protection locked="0"/>
    </xf>
    <xf numFmtId="0" fontId="35" fillId="39" borderId="0" xfId="9" applyNumberFormat="1" applyFont="1" applyFill="1" applyAlignment="1" applyProtection="1"/>
    <xf numFmtId="10" fontId="35" fillId="39" borderId="0" xfId="148" applyNumberFormat="1" applyFont="1" applyFill="1" applyAlignment="1" applyProtection="1"/>
    <xf numFmtId="43" fontId="35" fillId="39" borderId="0" xfId="9" applyFont="1" applyFill="1" applyAlignment="1" applyProtection="1"/>
    <xf numFmtId="10" fontId="35" fillId="39" borderId="37" xfId="148" applyNumberFormat="1" applyFont="1" applyFill="1" applyBorder="1" applyAlignment="1" applyProtection="1"/>
    <xf numFmtId="41" fontId="30" fillId="21" borderId="67" xfId="147" applyNumberFormat="1" applyFont="1" applyFill="1" applyBorder="1"/>
    <xf numFmtId="182" fontId="113" fillId="21" borderId="0" xfId="513" applyNumberFormat="1" applyFont="1" applyFill="1" applyAlignment="1">
      <alignment horizontal="center"/>
    </xf>
    <xf numFmtId="168" fontId="53" fillId="21" borderId="0" xfId="410" applyNumberFormat="1" applyFont="1" applyFill="1"/>
    <xf numFmtId="168" fontId="54" fillId="21" borderId="0" xfId="410" applyNumberFormat="1" applyFont="1" applyFill="1"/>
    <xf numFmtId="168" fontId="21" fillId="21" borderId="0" xfId="410" applyNumberFormat="1" applyFont="1" applyFill="1" applyProtection="1"/>
    <xf numFmtId="169" fontId="31" fillId="21" borderId="0" xfId="0" applyNumberFormat="1" applyFont="1" applyFill="1"/>
    <xf numFmtId="169" fontId="128" fillId="21" borderId="0" xfId="0" applyNumberFormat="1" applyFont="1" applyFill="1" applyAlignment="1">
      <alignment horizontal="center"/>
    </xf>
    <xf numFmtId="169" fontId="128" fillId="21" borderId="0" xfId="0" applyNumberFormat="1" applyFont="1" applyFill="1"/>
    <xf numFmtId="164" fontId="127" fillId="21" borderId="0" xfId="0" applyFont="1" applyFill="1"/>
    <xf numFmtId="169" fontId="68" fillId="21" borderId="0" xfId="0" applyNumberFormat="1" applyFont="1" applyFill="1"/>
    <xf numFmtId="168" fontId="61" fillId="21" borderId="0" xfId="410" applyNumberFormat="1" applyFont="1" applyFill="1" applyProtection="1"/>
    <xf numFmtId="169" fontId="61" fillId="21" borderId="0" xfId="0" applyNumberFormat="1" applyFont="1" applyFill="1"/>
    <xf numFmtId="169" fontId="118" fillId="21" borderId="0" xfId="0" applyNumberFormat="1" applyFont="1" applyFill="1" applyAlignment="1">
      <alignment horizontal="center"/>
    </xf>
    <xf numFmtId="169" fontId="61" fillId="21" borderId="0" xfId="0" applyNumberFormat="1" applyFont="1" applyFill="1" applyAlignment="1">
      <alignment horizontal="center"/>
    </xf>
    <xf numFmtId="168" fontId="69" fillId="21" borderId="0" xfId="410" applyNumberFormat="1" applyFont="1" applyFill="1" applyAlignment="1" applyProtection="1">
      <alignment horizontal="right"/>
    </xf>
    <xf numFmtId="169" fontId="70" fillId="21" borderId="0" xfId="0" applyNumberFormat="1" applyFont="1" applyFill="1" applyAlignment="1">
      <alignment horizontal="center"/>
    </xf>
    <xf numFmtId="169" fontId="22" fillId="21" borderId="0" xfId="0" applyNumberFormat="1" applyFont="1" applyFill="1" applyAlignment="1">
      <alignment horizontal="left"/>
    </xf>
    <xf numFmtId="0" fontId="96" fillId="21" borderId="0" xfId="387" applyFont="1" applyFill="1" applyBorder="1"/>
    <xf numFmtId="0" fontId="96" fillId="22" borderId="0" xfId="387" applyFont="1" applyFill="1" applyBorder="1"/>
    <xf numFmtId="164" fontId="28" fillId="0" borderId="0" xfId="193" applyFont="1" applyFill="1" applyProtection="1">
      <protection locked="0"/>
    </xf>
    <xf numFmtId="168" fontId="28" fillId="0" borderId="0" xfId="194" applyNumberFormat="1" applyFont="1" applyFill="1" applyProtection="1">
      <protection locked="0"/>
    </xf>
    <xf numFmtId="164" fontId="28" fillId="21" borderId="0" xfId="193" applyFont="1" applyFill="1" applyBorder="1"/>
    <xf numFmtId="175" fontId="45" fillId="0" borderId="0" xfId="389" applyFont="1" applyFill="1" applyAlignment="1" applyProtection="1"/>
    <xf numFmtId="0" fontId="150" fillId="0" borderId="0" xfId="389" applyNumberFormat="1" applyFont="1" applyFill="1" applyBorder="1" applyProtection="1"/>
    <xf numFmtId="175" fontId="150" fillId="0" borderId="0" xfId="389" applyFont="1" applyFill="1" applyBorder="1" applyAlignment="1" applyProtection="1"/>
    <xf numFmtId="0" fontId="113" fillId="21" borderId="0" xfId="8" applyFont="1" applyFill="1"/>
    <xf numFmtId="164" fontId="151" fillId="21" borderId="0" xfId="0" applyFont="1" applyFill="1" applyProtection="1"/>
    <xf numFmtId="164" fontId="100" fillId="21" borderId="0" xfId="0" applyNumberFormat="1" applyFont="1" applyFill="1" applyAlignment="1" applyProtection="1"/>
    <xf numFmtId="164" fontId="152" fillId="21" borderId="0" xfId="0" applyNumberFormat="1" applyFont="1" applyFill="1" applyProtection="1"/>
    <xf numFmtId="164" fontId="100" fillId="21" borderId="0" xfId="0" applyNumberFormat="1" applyFont="1" applyFill="1" applyBorder="1" applyAlignment="1" applyProtection="1"/>
    <xf numFmtId="164" fontId="153" fillId="21" borderId="0" xfId="0" quotePrefix="1" applyFont="1" applyFill="1" applyAlignment="1" applyProtection="1">
      <alignment horizontal="center"/>
    </xf>
    <xf numFmtId="3" fontId="151" fillId="21" borderId="0" xfId="0" applyNumberFormat="1" applyFont="1" applyFill="1" applyProtection="1"/>
    <xf numFmtId="164" fontId="151" fillId="41" borderId="0" xfId="0" applyFont="1" applyFill="1" applyProtection="1"/>
    <xf numFmtId="164" fontId="151" fillId="0" borderId="0" xfId="0" applyFont="1" applyProtection="1"/>
    <xf numFmtId="43" fontId="35" fillId="21" borderId="0" xfId="161" applyNumberFormat="1" applyFont="1" applyFill="1" applyAlignment="1"/>
    <xf numFmtId="168" fontId="45" fillId="21" borderId="0" xfId="161" applyNumberFormat="1" applyFont="1" applyFill="1"/>
    <xf numFmtId="168" fontId="96" fillId="39" borderId="0" xfId="410" applyNumberFormat="1" applyFont="1" applyFill="1" applyProtection="1">
      <protection locked="0"/>
    </xf>
    <xf numFmtId="168" fontId="96" fillId="39" borderId="0" xfId="410" applyNumberFormat="1" applyFont="1" applyFill="1" applyBorder="1" applyProtection="1">
      <protection locked="0"/>
    </xf>
    <xf numFmtId="43" fontId="104" fillId="0" borderId="0" xfId="161" applyFont="1" applyFill="1" applyBorder="1" applyProtection="1"/>
    <xf numFmtId="43" fontId="30" fillId="0" borderId="0" xfId="161" applyFont="1" applyFill="1" applyProtection="1"/>
    <xf numFmtId="164" fontId="35" fillId="0" borderId="0" xfId="0" applyFont="1" applyFill="1"/>
    <xf numFmtId="3" fontId="95" fillId="0" borderId="0" xfId="420" applyNumberFormat="1" applyFont="1" applyFill="1"/>
    <xf numFmtId="168" fontId="35" fillId="39" borderId="0" xfId="161" applyNumberFormat="1" applyFont="1" applyFill="1" applyBorder="1" applyProtection="1"/>
    <xf numFmtId="168" fontId="35" fillId="39" borderId="29" xfId="161" applyNumberFormat="1" applyFont="1" applyFill="1" applyBorder="1" applyAlignment="1" applyProtection="1"/>
    <xf numFmtId="169" fontId="31" fillId="21" borderId="0" xfId="0" applyNumberFormat="1" applyFont="1" applyFill="1" applyAlignment="1">
      <alignment horizontal="center"/>
    </xf>
    <xf numFmtId="168" fontId="35" fillId="21" borderId="0" xfId="410" applyNumberFormat="1" applyFont="1" applyFill="1"/>
    <xf numFmtId="168" fontId="121" fillId="21" borderId="0" xfId="410" applyNumberFormat="1" applyFont="1" applyFill="1"/>
    <xf numFmtId="168" fontId="35" fillId="21" borderId="22" xfId="410" applyNumberFormat="1" applyFont="1" applyFill="1" applyBorder="1"/>
    <xf numFmtId="168" fontId="35" fillId="39" borderId="0" xfId="410" applyNumberFormat="1" applyFont="1" applyFill="1" applyProtection="1">
      <protection locked="0"/>
    </xf>
    <xf numFmtId="0" fontId="31" fillId="39" borderId="63" xfId="410" applyNumberFormat="1" applyFont="1" applyFill="1" applyBorder="1" applyAlignment="1" applyProtection="1">
      <alignment horizontal="center"/>
      <protection locked="0"/>
    </xf>
    <xf numFmtId="168" fontId="31" fillId="21" borderId="0" xfId="410" applyNumberFormat="1" applyFont="1" applyFill="1"/>
    <xf numFmtId="168" fontId="35" fillId="39" borderId="22" xfId="410" applyNumberFormat="1" applyFont="1" applyFill="1" applyBorder="1" applyProtection="1">
      <protection locked="0"/>
    </xf>
    <xf numFmtId="168" fontId="35" fillId="39" borderId="0" xfId="410" applyNumberFormat="1" applyFont="1" applyFill="1" applyBorder="1" applyProtection="1">
      <protection locked="0"/>
    </xf>
    <xf numFmtId="168" fontId="31" fillId="21" borderId="0" xfId="410" applyNumberFormat="1" applyFont="1" applyFill="1" applyBorder="1" applyAlignment="1"/>
    <xf numFmtId="168" fontId="35" fillId="21" borderId="68" xfId="410" applyNumberFormat="1" applyFont="1" applyFill="1" applyBorder="1"/>
    <xf numFmtId="168" fontId="35" fillId="21" borderId="0" xfId="410" applyNumberFormat="1" applyFont="1" applyFill="1" applyBorder="1"/>
    <xf numFmtId="0" fontId="31" fillId="39" borderId="62" xfId="410" applyNumberFormat="1" applyFont="1" applyFill="1" applyBorder="1" applyAlignment="1" applyProtection="1">
      <alignment horizontal="center"/>
      <protection locked="0"/>
    </xf>
    <xf numFmtId="168" fontId="45" fillId="21" borderId="0" xfId="410" applyNumberFormat="1" applyFont="1" applyFill="1"/>
    <xf numFmtId="168" fontId="35" fillId="21" borderId="63" xfId="410" applyNumberFormat="1" applyFont="1" applyFill="1" applyBorder="1" applyAlignment="1">
      <alignment horizontal="center"/>
    </xf>
    <xf numFmtId="168" fontId="121" fillId="21" borderId="0" xfId="410" applyNumberFormat="1" applyFont="1" applyFill="1" applyBorder="1" applyAlignment="1"/>
    <xf numFmtId="168" fontId="35" fillId="21" borderId="0" xfId="410" applyNumberFormat="1" applyFont="1" applyFill="1" applyAlignment="1">
      <alignment horizontal="right"/>
    </xf>
    <xf numFmtId="168" fontId="35" fillId="21" borderId="6" xfId="410" applyNumberFormat="1" applyFont="1" applyFill="1" applyBorder="1" applyAlignment="1"/>
    <xf numFmtId="168" fontId="35" fillId="21" borderId="0" xfId="410" applyNumberFormat="1" applyFont="1" applyFill="1" applyBorder="1" applyAlignment="1"/>
    <xf numFmtId="168" fontId="35" fillId="21" borderId="5" xfId="410" applyNumberFormat="1" applyFont="1" applyFill="1" applyBorder="1" applyAlignment="1"/>
    <xf numFmtId="168" fontId="35" fillId="21" borderId="22" xfId="410" applyNumberFormat="1" applyFont="1" applyFill="1" applyBorder="1" applyAlignment="1"/>
    <xf numFmtId="169" fontId="103" fillId="21" borderId="0" xfId="0" applyNumberFormat="1" applyFont="1" applyFill="1"/>
    <xf numFmtId="168" fontId="103" fillId="21" borderId="0" xfId="410" applyNumberFormat="1" applyFont="1" applyFill="1" applyAlignment="1">
      <alignment horizontal="center"/>
    </xf>
    <xf numFmtId="168" fontId="103" fillId="21" borderId="0" xfId="410" applyNumberFormat="1" applyFont="1" applyFill="1" applyAlignment="1"/>
    <xf numFmtId="169" fontId="126" fillId="21" borderId="0" xfId="0" applyNumberFormat="1" applyFont="1" applyFill="1" applyAlignment="1">
      <alignment horizontal="center"/>
    </xf>
    <xf numFmtId="168" fontId="31" fillId="21" borderId="0" xfId="410" applyNumberFormat="1" applyFont="1" applyFill="1" applyAlignment="1">
      <alignment horizontal="center"/>
    </xf>
    <xf numFmtId="168" fontId="35" fillId="21" borderId="0" xfId="410" applyNumberFormat="1" applyFont="1" applyFill="1" applyAlignment="1"/>
    <xf numFmtId="169" fontId="23" fillId="21" borderId="0" xfId="0" applyNumberFormat="1" applyFont="1" applyFill="1" applyAlignment="1">
      <alignment horizontal="center"/>
    </xf>
    <xf numFmtId="168" fontId="121" fillId="21" borderId="0" xfId="410" applyNumberFormat="1" applyFont="1" applyFill="1" applyAlignment="1"/>
    <xf numFmtId="168" fontId="35" fillId="21" borderId="0" xfId="410" applyNumberFormat="1" applyFont="1" applyFill="1" applyAlignment="1">
      <alignment horizontal="center"/>
    </xf>
    <xf numFmtId="168" fontId="35" fillId="21" borderId="22" xfId="410" applyNumberFormat="1" applyFont="1" applyFill="1" applyBorder="1" applyAlignment="1">
      <alignment horizontal="center"/>
    </xf>
    <xf numFmtId="168" fontId="53" fillId="21" borderId="0" xfId="410" quotePrefix="1" applyNumberFormat="1" applyFont="1" applyFill="1" applyAlignment="1">
      <alignment horizontal="center"/>
    </xf>
    <xf numFmtId="164" fontId="126" fillId="21" borderId="0" xfId="0" applyFont="1" applyFill="1" applyAlignment="1">
      <alignment horizontal="center"/>
    </xf>
    <xf numFmtId="43" fontId="53" fillId="21" borderId="0" xfId="410" quotePrefix="1" applyFont="1" applyFill="1" applyAlignment="1">
      <alignment horizontal="center"/>
    </xf>
    <xf numFmtId="164" fontId="23" fillId="21" borderId="0" xfId="0" applyFont="1" applyFill="1" applyAlignment="1">
      <alignment horizontal="center"/>
    </xf>
    <xf numFmtId="183" fontId="113" fillId="21" borderId="0" xfId="513" applyNumberFormat="1" applyFont="1" applyFill="1"/>
    <xf numFmtId="168" fontId="111" fillId="21" borderId="0" xfId="513" applyNumberFormat="1" applyFont="1" applyFill="1"/>
    <xf numFmtId="168" fontId="111" fillId="21" borderId="0" xfId="161" applyNumberFormat="1" applyFont="1" applyFill="1"/>
    <xf numFmtId="169" fontId="35" fillId="39" borderId="0" xfId="0" applyNumberFormat="1" applyFont="1" applyFill="1" applyAlignment="1">
      <alignment horizontal="left" indent="1"/>
    </xf>
    <xf numFmtId="168" fontId="25" fillId="21" borderId="0" xfId="161" applyNumberFormat="1" applyFont="1" applyFill="1"/>
    <xf numFmtId="168" fontId="0" fillId="21" borderId="0" xfId="161" applyNumberFormat="1" applyFont="1" applyFill="1"/>
    <xf numFmtId="168" fontId="54" fillId="21" borderId="0" xfId="161" applyNumberFormat="1" applyFont="1" applyFill="1"/>
    <xf numFmtId="168" fontId="113" fillId="4" borderId="0" xfId="161" applyNumberFormat="1" applyFont="1" applyFill="1"/>
    <xf numFmtId="164" fontId="155" fillId="21" borderId="0" xfId="0" applyNumberFormat="1" applyFont="1" applyFill="1" applyAlignment="1" applyProtection="1">
      <alignment horizontal="center"/>
    </xf>
    <xf numFmtId="164" fontId="14" fillId="21" borderId="0" xfId="0" applyFont="1" applyFill="1" applyAlignment="1"/>
    <xf numFmtId="164" fontId="14" fillId="21" borderId="12" xfId="0" applyFont="1" applyFill="1" applyBorder="1" applyAlignment="1"/>
    <xf numFmtId="164" fontId="14" fillId="21" borderId="0" xfId="0" applyFont="1" applyFill="1" applyBorder="1" applyAlignment="1"/>
    <xf numFmtId="164" fontId="14" fillId="21" borderId="0" xfId="0" applyFont="1" applyFill="1" applyBorder="1" applyAlignment="1">
      <alignment horizontal="center"/>
    </xf>
    <xf numFmtId="168" fontId="14" fillId="21" borderId="0" xfId="161" applyNumberFormat="1" applyFont="1" applyFill="1" applyBorder="1" applyAlignment="1"/>
    <xf numFmtId="41" fontId="14" fillId="21" borderId="12" xfId="147" applyNumberFormat="1" applyFont="1" applyFill="1" applyBorder="1" applyAlignment="1"/>
    <xf numFmtId="41" fontId="14" fillId="21" borderId="0" xfId="147" applyNumberFormat="1" applyFont="1" applyFill="1" applyBorder="1" applyAlignment="1"/>
    <xf numFmtId="41" fontId="14" fillId="21" borderId="13" xfId="147" applyNumberFormat="1" applyFont="1" applyFill="1" applyBorder="1" applyAlignment="1"/>
    <xf numFmtId="164" fontId="45" fillId="42" borderId="0" xfId="0" applyFont="1" applyFill="1"/>
    <xf numFmtId="43" fontId="95" fillId="21" borderId="0" xfId="162" applyNumberFormat="1" applyFont="1" applyFill="1"/>
    <xf numFmtId="168" fontId="95" fillId="21" borderId="0" xfId="161" applyNumberFormat="1" applyFont="1" applyFill="1"/>
    <xf numFmtId="164" fontId="19" fillId="21" borderId="0" xfId="0" applyNumberFormat="1" applyFont="1" applyFill="1" applyAlignment="1" applyProtection="1">
      <alignment horizontal="center"/>
    </xf>
    <xf numFmtId="164" fontId="19" fillId="21" borderId="0" xfId="0" applyNumberFormat="1" applyFont="1" applyFill="1" applyBorder="1" applyAlignment="1" applyProtection="1">
      <alignment horizontal="center"/>
    </xf>
    <xf numFmtId="164" fontId="30" fillId="39" borderId="0" xfId="0" applyFont="1" applyFill="1" applyAlignment="1" applyProtection="1">
      <alignment horizontal="center"/>
      <protection locked="0"/>
    </xf>
    <xf numFmtId="169" fontId="31" fillId="21" borderId="0" xfId="0" applyNumberFormat="1" applyFont="1" applyFill="1" applyAlignment="1">
      <alignment horizontal="center"/>
    </xf>
    <xf numFmtId="169" fontId="68" fillId="21" borderId="0" xfId="0" applyNumberFormat="1" applyFont="1" applyFill="1" applyAlignment="1">
      <alignment horizontal="center"/>
    </xf>
    <xf numFmtId="168" fontId="22" fillId="0" borderId="0" xfId="161" applyNumberFormat="1" applyFont="1" applyFill="1" applyBorder="1" applyProtection="1"/>
    <xf numFmtId="0" fontId="3" fillId="21" borderId="0" xfId="386" applyFont="1" applyFill="1" applyProtection="1"/>
    <xf numFmtId="164" fontId="96" fillId="21" borderId="0" xfId="0" applyFont="1" applyFill="1" applyProtection="1"/>
    <xf numFmtId="168" fontId="3" fillId="21" borderId="0" xfId="161" applyNumberFormat="1" applyFont="1" applyFill="1" applyProtection="1"/>
    <xf numFmtId="168" fontId="3" fillId="0" borderId="0" xfId="161" applyNumberFormat="1" applyFont="1" applyFill="1" applyProtection="1"/>
    <xf numFmtId="0" fontId="3" fillId="0" borderId="0" xfId="386" applyFont="1" applyFill="1" applyProtection="1"/>
    <xf numFmtId="164" fontId="146" fillId="21" borderId="0" xfId="0" applyFont="1" applyFill="1" applyProtection="1"/>
    <xf numFmtId="164" fontId="156" fillId="21" borderId="0" xfId="0" applyNumberFormat="1" applyFont="1" applyFill="1" applyAlignment="1" applyProtection="1"/>
    <xf numFmtId="164" fontId="156" fillId="0" borderId="0" xfId="0" applyNumberFormat="1" applyFont="1" applyFill="1" applyAlignment="1" applyProtection="1"/>
    <xf numFmtId="164" fontId="146" fillId="0" borderId="0" xfId="0" applyFont="1" applyFill="1" applyProtection="1"/>
    <xf numFmtId="164" fontId="145" fillId="21" borderId="0" xfId="0" applyNumberFormat="1" applyFont="1" applyFill="1" applyProtection="1"/>
    <xf numFmtId="49" fontId="145" fillId="21" borderId="0" xfId="0" applyNumberFormat="1" applyFont="1" applyFill="1" applyAlignment="1" applyProtection="1">
      <alignment horizontal="center"/>
    </xf>
    <xf numFmtId="164" fontId="145" fillId="0" borderId="0" xfId="0" applyNumberFormat="1" applyFont="1" applyFill="1" applyProtection="1"/>
    <xf numFmtId="164" fontId="156" fillId="21" borderId="0" xfId="0" applyNumberFormat="1" applyFont="1" applyFill="1" applyBorder="1" applyAlignment="1" applyProtection="1"/>
    <xf numFmtId="164" fontId="156" fillId="0" borderId="0" xfId="0" applyNumberFormat="1" applyFont="1" applyFill="1" applyBorder="1" applyAlignment="1" applyProtection="1"/>
    <xf numFmtId="164" fontId="156" fillId="21" borderId="0" xfId="0" applyFont="1" applyFill="1" applyAlignment="1" applyProtection="1"/>
    <xf numFmtId="164" fontId="156" fillId="0" borderId="0" xfId="0" applyFont="1" applyFill="1" applyAlignment="1" applyProtection="1"/>
    <xf numFmtId="164" fontId="14" fillId="0" borderId="0" xfId="0" applyFont="1" applyFill="1" applyProtection="1"/>
    <xf numFmtId="0" fontId="99" fillId="21" borderId="0" xfId="142" applyFont="1" applyFill="1" applyProtection="1"/>
    <xf numFmtId="0" fontId="3" fillId="0" borderId="0" xfId="386" applyFont="1" applyFill="1" applyAlignment="1" applyProtection="1">
      <alignment horizontal="center"/>
    </xf>
    <xf numFmtId="168" fontId="3" fillId="0" borderId="0" xfId="161" applyNumberFormat="1" applyFont="1" applyFill="1" applyAlignment="1" applyProtection="1">
      <alignment horizontal="center"/>
    </xf>
    <xf numFmtId="0" fontId="3" fillId="21" borderId="0" xfId="386" applyFont="1" applyFill="1" applyAlignment="1" applyProtection="1">
      <alignment horizontal="center"/>
    </xf>
    <xf numFmtId="0" fontId="3" fillId="21" borderId="0" xfId="400" applyFont="1" applyFill="1" applyProtection="1"/>
    <xf numFmtId="0" fontId="14" fillId="21" borderId="31" xfId="401" quotePrefix="1" applyNumberFormat="1" applyFont="1" applyFill="1" applyProtection="1">
      <alignment horizontal="left" vertical="center" indent="1"/>
    </xf>
    <xf numFmtId="168" fontId="14" fillId="21" borderId="31" xfId="161" quotePrefix="1" applyNumberFormat="1" applyFont="1" applyFill="1" applyBorder="1" applyAlignment="1" applyProtection="1">
      <alignment horizontal="left" vertical="center" indent="1"/>
    </xf>
    <xf numFmtId="168" fontId="14" fillId="21" borderId="31" xfId="161" applyNumberFormat="1" applyFont="1" applyFill="1" applyBorder="1" applyAlignment="1" applyProtection="1">
      <alignment horizontal="left" vertical="center" indent="1"/>
    </xf>
    <xf numFmtId="168" fontId="14" fillId="0" borderId="31" xfId="161" quotePrefix="1" applyNumberFormat="1" applyFont="1" applyFill="1" applyBorder="1" applyAlignment="1" applyProtection="1">
      <alignment horizontal="left" vertical="center" indent="1"/>
    </xf>
    <xf numFmtId="168" fontId="14" fillId="0" borderId="31" xfId="161" applyNumberFormat="1" applyFont="1" applyFill="1" applyBorder="1" applyAlignment="1" applyProtection="1">
      <alignment horizontal="left" vertical="center" indent="1"/>
    </xf>
    <xf numFmtId="168" fontId="14" fillId="0" borderId="61" xfId="161" applyNumberFormat="1" applyFont="1" applyFill="1" applyBorder="1" applyAlignment="1" applyProtection="1">
      <alignment horizontal="left" vertical="center" indent="1"/>
    </xf>
    <xf numFmtId="168" fontId="14" fillId="0" borderId="39" xfId="161" applyNumberFormat="1" applyFont="1" applyFill="1" applyBorder="1" applyAlignment="1" applyProtection="1">
      <alignment horizontal="left" vertical="center" indent="1"/>
    </xf>
    <xf numFmtId="168" fontId="14" fillId="0" borderId="61" xfId="522" quotePrefix="1" applyNumberFormat="1" applyFont="1" applyFill="1" applyBorder="1" applyAlignment="1" applyProtection="1">
      <alignment horizontal="left" vertical="center" indent="1"/>
    </xf>
    <xf numFmtId="168" fontId="14" fillId="0" borderId="39" xfId="161" quotePrefix="1" applyNumberFormat="1" applyFont="1" applyFill="1" applyBorder="1" applyAlignment="1" applyProtection="1">
      <alignment horizontal="center" vertical="center"/>
    </xf>
    <xf numFmtId="168" fontId="155" fillId="0" borderId="31" xfId="161" quotePrefix="1" applyNumberFormat="1" applyFont="1" applyFill="1" applyBorder="1" applyAlignment="1" applyProtection="1">
      <alignment horizontal="left" vertical="center" indent="1"/>
    </xf>
    <xf numFmtId="0" fontId="14" fillId="21" borderId="31" xfId="401" quotePrefix="1" applyNumberFormat="1" applyFont="1" applyFill="1" applyAlignment="1" applyProtection="1">
      <alignment horizontal="center" vertical="center"/>
    </xf>
    <xf numFmtId="168" fontId="14" fillId="0" borderId="31" xfId="161" quotePrefix="1" applyNumberFormat="1" applyFont="1" applyFill="1" applyBorder="1" applyAlignment="1" applyProtection="1">
      <alignment horizontal="center" vertical="center"/>
    </xf>
    <xf numFmtId="168" fontId="14" fillId="0" borderId="61" xfId="522" quotePrefix="1" applyNumberFormat="1" applyFont="1" applyFill="1" applyBorder="1" applyAlignment="1" applyProtection="1">
      <alignment horizontal="center" vertical="center"/>
    </xf>
    <xf numFmtId="168" fontId="14" fillId="0" borderId="31" xfId="161" applyNumberFormat="1" applyFont="1" applyFill="1" applyBorder="1" applyAlignment="1" applyProtection="1">
      <alignment horizontal="center" vertical="center"/>
    </xf>
    <xf numFmtId="168" fontId="14" fillId="21" borderId="39" xfId="161" quotePrefix="1" applyNumberFormat="1" applyFont="1" applyFill="1" applyBorder="1" applyAlignment="1" applyProtection="1">
      <alignment horizontal="center" vertical="center"/>
    </xf>
    <xf numFmtId="168" fontId="14" fillId="0" borderId="61" xfId="161" quotePrefix="1" applyNumberFormat="1" applyFont="1" applyFill="1" applyBorder="1" applyAlignment="1" applyProtection="1">
      <alignment horizontal="center" vertical="center"/>
    </xf>
    <xf numFmtId="168" fontId="14" fillId="0" borderId="39" xfId="161" applyNumberFormat="1" applyFont="1" applyFill="1" applyBorder="1" applyAlignment="1" applyProtection="1">
      <alignment horizontal="center" vertical="center"/>
    </xf>
    <xf numFmtId="0" fontId="14" fillId="39" borderId="61" xfId="520" quotePrefix="1" applyNumberFormat="1" applyFont="1" applyFill="1" applyProtection="1">
      <alignment horizontal="left" vertical="center" indent="1"/>
    </xf>
    <xf numFmtId="0" fontId="14" fillId="21" borderId="40" xfId="407" applyFont="1" applyFill="1" applyBorder="1" applyAlignment="1" applyProtection="1">
      <alignment horizontal="left"/>
    </xf>
    <xf numFmtId="168" fontId="14" fillId="39" borderId="61" xfId="523" quotePrefix="1" applyNumberFormat="1" applyFont="1" applyFill="1" applyProtection="1">
      <alignment horizontal="right" vertical="center"/>
      <protection locked="0"/>
    </xf>
    <xf numFmtId="168" fontId="14" fillId="39" borderId="61" xfId="523" applyNumberFormat="1" applyFont="1" applyFill="1" applyProtection="1">
      <alignment horizontal="right" vertical="center"/>
      <protection locked="0"/>
    </xf>
    <xf numFmtId="168" fontId="14" fillId="0" borderId="7" xfId="106" applyNumberFormat="1" applyFont="1" applyFill="1" applyProtection="1">
      <alignment vertical="center"/>
    </xf>
    <xf numFmtId="0" fontId="14" fillId="39" borderId="61" xfId="521" quotePrefix="1" applyNumberFormat="1" applyFont="1" applyFill="1" applyProtection="1">
      <alignment horizontal="left" vertical="center" indent="1"/>
    </xf>
    <xf numFmtId="0" fontId="14" fillId="21" borderId="34" xfId="408" applyFont="1" applyFill="1" applyBorder="1" applyAlignment="1" applyProtection="1">
      <alignment horizontal="left"/>
    </xf>
    <xf numFmtId="0" fontId="14" fillId="39" borderId="61" xfId="521" quotePrefix="1" applyNumberFormat="1" applyFont="1" applyFill="1" applyProtection="1">
      <alignment horizontal="left" vertical="center" indent="1"/>
      <protection locked="0"/>
    </xf>
    <xf numFmtId="0" fontId="14" fillId="39" borderId="31" xfId="404" quotePrefix="1" applyNumberFormat="1" applyFont="1" applyFill="1" applyAlignment="1" applyProtection="1">
      <alignment horizontal="center" vertical="center"/>
      <protection locked="0"/>
    </xf>
    <xf numFmtId="168" fontId="14" fillId="39" borderId="61" xfId="523" quotePrefix="1" applyNumberFormat="1" applyFont="1" applyFill="1" applyAlignment="1" applyProtection="1">
      <alignment horizontal="center" vertical="center"/>
      <protection locked="0"/>
    </xf>
    <xf numFmtId="168" fontId="155" fillId="0" borderId="7" xfId="106" applyNumberFormat="1" applyFont="1" applyFill="1" applyProtection="1">
      <alignment vertical="center"/>
    </xf>
    <xf numFmtId="0" fontId="14" fillId="21" borderId="31" xfId="404" quotePrefix="1" applyNumberFormat="1" applyFont="1" applyFill="1" applyProtection="1">
      <alignment horizontal="left" vertical="center" indent="1"/>
    </xf>
    <xf numFmtId="0" fontId="155" fillId="21" borderId="43" xfId="408" applyFont="1" applyFill="1" applyBorder="1" applyAlignment="1" applyProtection="1">
      <alignment horizontal="left"/>
    </xf>
    <xf numFmtId="168" fontId="14" fillId="39" borderId="21" xfId="354" quotePrefix="1" applyNumberFormat="1" applyFont="1" applyFill="1" applyAlignment="1" applyProtection="1">
      <alignment horizontal="center" vertical="center"/>
      <protection locked="0"/>
    </xf>
    <xf numFmtId="168" fontId="14" fillId="21" borderId="7" xfId="138" applyNumberFormat="1" applyFont="1" applyFill="1" applyProtection="1">
      <alignment horizontal="right" vertical="center"/>
    </xf>
    <xf numFmtId="168" fontId="14" fillId="0" borderId="7" xfId="138" applyNumberFormat="1" applyFont="1" applyFill="1" applyProtection="1">
      <alignment horizontal="right" vertical="center"/>
    </xf>
    <xf numFmtId="0" fontId="14" fillId="21" borderId="31" xfId="409" quotePrefix="1" applyNumberFormat="1" applyFont="1" applyFill="1" applyProtection="1">
      <alignment horizontal="left" vertical="center" indent="1"/>
    </xf>
    <xf numFmtId="0" fontId="14" fillId="21" borderId="31" xfId="409" applyNumberFormat="1" applyFont="1" applyFill="1" applyProtection="1">
      <alignment horizontal="left" vertical="center" indent="1"/>
    </xf>
    <xf numFmtId="168" fontId="14" fillId="21" borderId="7" xfId="106" applyNumberFormat="1" applyFont="1" applyFill="1" applyProtection="1">
      <alignment vertical="center"/>
    </xf>
    <xf numFmtId="168" fontId="14" fillId="21" borderId="7" xfId="106" applyNumberFormat="1" applyFont="1" applyFill="1" applyAlignment="1" applyProtection="1">
      <alignment horizontal="center" vertical="center"/>
    </xf>
    <xf numFmtId="0" fontId="3" fillId="0" borderId="0" xfId="161" applyNumberFormat="1" applyFont="1" applyFill="1" applyProtection="1"/>
    <xf numFmtId="168" fontId="3" fillId="0" borderId="0" xfId="161" applyNumberFormat="1" applyFont="1" applyFill="1" applyBorder="1" applyProtection="1"/>
    <xf numFmtId="164" fontId="25" fillId="21" borderId="0" xfId="0" applyFont="1" applyFill="1" applyBorder="1" applyProtection="1"/>
    <xf numFmtId="164" fontId="0" fillId="21" borderId="0" xfId="0" applyFill="1" applyBorder="1" applyProtection="1"/>
    <xf numFmtId="43" fontId="140" fillId="0" borderId="0" xfId="410" applyFont="1" applyFill="1" applyBorder="1" applyAlignment="1">
      <alignment horizontal="center" wrapText="1"/>
    </xf>
    <xf numFmtId="0" fontId="53" fillId="0" borderId="0" xfId="8" applyFont="1" applyBorder="1" applyProtection="1"/>
    <xf numFmtId="0" fontId="35" fillId="0" borderId="0" xfId="8" applyFont="1" applyBorder="1" applyProtection="1"/>
    <xf numFmtId="168" fontId="35" fillId="0" borderId="0" xfId="161" applyNumberFormat="1" applyFont="1" applyBorder="1" applyProtection="1"/>
    <xf numFmtId="41" fontId="35" fillId="0" borderId="0" xfId="8" applyNumberFormat="1" applyFont="1" applyBorder="1" applyProtection="1"/>
    <xf numFmtId="168" fontId="35" fillId="0" borderId="0" xfId="8" applyNumberFormat="1" applyFont="1" applyBorder="1" applyProtection="1"/>
    <xf numFmtId="10" fontId="35" fillId="0" borderId="0" xfId="148" applyNumberFormat="1" applyFont="1" applyBorder="1" applyProtection="1"/>
    <xf numFmtId="10" fontId="35" fillId="0" borderId="0" xfId="8" applyNumberFormat="1" applyFont="1" applyBorder="1" applyProtection="1"/>
    <xf numFmtId="9" fontId="35" fillId="0" borderId="0" xfId="8" applyNumberFormat="1" applyFont="1" applyBorder="1" applyProtection="1"/>
    <xf numFmtId="0" fontId="35" fillId="0" borderId="0" xfId="8" applyFont="1" applyBorder="1" applyAlignment="1" applyProtection="1"/>
    <xf numFmtId="44" fontId="31" fillId="0" borderId="0" xfId="147" applyFont="1" applyBorder="1" applyProtection="1"/>
    <xf numFmtId="164" fontId="53" fillId="21" borderId="0" xfId="0" applyFont="1" applyFill="1" applyBorder="1" applyProtection="1"/>
    <xf numFmtId="3" fontId="52" fillId="0" borderId="0" xfId="8" applyNumberFormat="1" applyFont="1" applyFill="1"/>
    <xf numFmtId="3" fontId="149" fillId="0" borderId="0" xfId="8" applyNumberFormat="1" applyFont="1" applyFill="1"/>
    <xf numFmtId="164" fontId="157" fillId="21" borderId="0" xfId="0" applyFont="1" applyFill="1"/>
    <xf numFmtId="164" fontId="144" fillId="0" borderId="0" xfId="0" applyFont="1" applyFill="1" applyAlignment="1">
      <alignment horizontal="center"/>
    </xf>
    <xf numFmtId="164" fontId="96" fillId="0" borderId="0" xfId="0" applyNumberFormat="1" applyFont="1" applyFill="1" applyAlignment="1" applyProtection="1">
      <alignment vertical="top"/>
    </xf>
    <xf numFmtId="164" fontId="95" fillId="0" borderId="0" xfId="0" applyNumberFormat="1" applyFont="1" applyFill="1" applyProtection="1"/>
    <xf numFmtId="164" fontId="144" fillId="0" borderId="0" xfId="0" applyFont="1" applyFill="1"/>
    <xf numFmtId="164" fontId="144" fillId="21" borderId="0" xfId="0" applyFont="1" applyFill="1"/>
    <xf numFmtId="164" fontId="158" fillId="21" borderId="0" xfId="0" applyFont="1" applyFill="1"/>
    <xf numFmtId="164" fontId="146" fillId="0" borderId="0" xfId="0" applyFont="1" applyFill="1" applyAlignment="1">
      <alignment horizontal="center"/>
    </xf>
    <xf numFmtId="164" fontId="146" fillId="0" borderId="0" xfId="0" applyFont="1" applyFill="1"/>
    <xf numFmtId="164" fontId="159" fillId="0" borderId="0" xfId="0" applyFont="1" applyFill="1"/>
    <xf numFmtId="164" fontId="146" fillId="21" borderId="0" xfId="0" applyFont="1" applyFill="1"/>
    <xf numFmtId="164" fontId="156" fillId="0" borderId="0" xfId="0" applyNumberFormat="1" applyFont="1" applyFill="1" applyAlignment="1" applyProtection="1">
      <alignment horizontal="center"/>
    </xf>
    <xf numFmtId="164" fontId="156" fillId="39" borderId="0" xfId="0" applyNumberFormat="1" applyFont="1" applyFill="1" applyAlignment="1" applyProtection="1">
      <alignment horizontal="center"/>
    </xf>
    <xf numFmtId="49" fontId="145" fillId="0" borderId="0" xfId="0" applyNumberFormat="1" applyFont="1" applyFill="1" applyAlignment="1" applyProtection="1">
      <alignment horizontal="center"/>
    </xf>
    <xf numFmtId="164" fontId="156" fillId="0" borderId="0" xfId="0" applyNumberFormat="1" applyFont="1" applyFill="1" applyBorder="1" applyAlignment="1" applyProtection="1">
      <alignment horizontal="center"/>
    </xf>
    <xf numFmtId="0" fontId="95" fillId="0" borderId="0" xfId="387" applyFont="1" applyFill="1"/>
    <xf numFmtId="0" fontId="96" fillId="0" borderId="0" xfId="387" applyFont="1" applyFill="1"/>
    <xf numFmtId="0" fontId="160" fillId="0" borderId="4" xfId="387" applyFont="1" applyFill="1" applyBorder="1" applyAlignment="1">
      <alignment horizontal="left"/>
    </xf>
    <xf numFmtId="0" fontId="96" fillId="0" borderId="4" xfId="387" applyFont="1" applyFill="1" applyBorder="1" applyAlignment="1">
      <alignment horizontal="left"/>
    </xf>
    <xf numFmtId="0" fontId="96" fillId="0" borderId="4" xfId="387" applyFont="1" applyFill="1" applyBorder="1"/>
    <xf numFmtId="0" fontId="160" fillId="0" borderId="0" xfId="387" applyFont="1" applyFill="1" applyAlignment="1">
      <alignment horizontal="left"/>
    </xf>
    <xf numFmtId="0" fontId="96" fillId="0" borderId="0" xfId="387" applyFont="1" applyFill="1" applyAlignment="1">
      <alignment horizontal="left"/>
    </xf>
    <xf numFmtId="0" fontId="139" fillId="21" borderId="0" xfId="420" applyFont="1" applyFill="1" applyBorder="1"/>
    <xf numFmtId="0" fontId="95" fillId="0" borderId="0" xfId="420" applyFont="1" applyFill="1" applyBorder="1" applyAlignment="1">
      <alignment horizontal="center"/>
    </xf>
    <xf numFmtId="0" fontId="95" fillId="39" borderId="0" xfId="519" applyFont="1" applyFill="1" applyBorder="1" applyProtection="1">
      <protection locked="0"/>
    </xf>
    <xf numFmtId="0" fontId="96" fillId="39" borderId="0" xfId="519" applyFont="1" applyFill="1" applyBorder="1" applyAlignment="1" applyProtection="1">
      <alignment horizontal="center"/>
      <protection locked="0"/>
    </xf>
    <xf numFmtId="0" fontId="95" fillId="21" borderId="0" xfId="420" applyFont="1" applyFill="1" applyBorder="1"/>
    <xf numFmtId="0" fontId="95" fillId="39" borderId="0" xfId="420" applyFont="1" applyFill="1" applyBorder="1" applyProtection="1">
      <protection locked="0"/>
    </xf>
    <xf numFmtId="0" fontId="95" fillId="0" borderId="33" xfId="420" applyFont="1" applyFill="1" applyBorder="1" applyAlignment="1">
      <alignment horizontal="center"/>
    </xf>
    <xf numFmtId="0" fontId="95" fillId="0" borderId="33" xfId="420" applyFont="1" applyFill="1" applyBorder="1"/>
    <xf numFmtId="0" fontId="96" fillId="0" borderId="33" xfId="420" applyFont="1" applyFill="1" applyBorder="1"/>
    <xf numFmtId="0" fontId="95" fillId="22" borderId="0" xfId="420" applyFont="1" applyFill="1" applyBorder="1"/>
    <xf numFmtId="0" fontId="95" fillId="0" borderId="0" xfId="420" applyFont="1" applyFill="1" applyBorder="1"/>
    <xf numFmtId="0" fontId="96" fillId="0" borderId="0" xfId="420" applyFont="1" applyFill="1" applyBorder="1" applyAlignment="1">
      <alignment horizontal="center"/>
    </xf>
    <xf numFmtId="0" fontId="96" fillId="0" borderId="0" xfId="420" applyFont="1" applyFill="1" applyBorder="1"/>
    <xf numFmtId="0" fontId="95" fillId="0" borderId="4" xfId="420" applyFont="1" applyFill="1" applyBorder="1" applyAlignment="1">
      <alignment horizontal="center"/>
    </xf>
    <xf numFmtId="0" fontId="95" fillId="0" borderId="4" xfId="420" applyFont="1" applyFill="1" applyBorder="1"/>
    <xf numFmtId="0" fontId="96" fillId="0" borderId="4" xfId="420" applyFont="1" applyFill="1" applyBorder="1" applyAlignment="1">
      <alignment horizontal="center"/>
    </xf>
    <xf numFmtId="0" fontId="96" fillId="0" borderId="4" xfId="420" applyFont="1" applyFill="1" applyBorder="1"/>
    <xf numFmtId="0" fontId="95" fillId="0" borderId="0" xfId="420" applyFont="1" applyFill="1" applyAlignment="1">
      <alignment horizontal="center"/>
    </xf>
    <xf numFmtId="3" fontId="161" fillId="0" borderId="0" xfId="8" applyNumberFormat="1" applyFont="1" applyFill="1" applyAlignment="1">
      <alignment horizontal="center"/>
    </xf>
    <xf numFmtId="3" fontId="161" fillId="0" borderId="33" xfId="8" applyNumberFormat="1" applyFont="1" applyFill="1" applyBorder="1" applyAlignment="1">
      <alignment horizontal="left"/>
    </xf>
    <xf numFmtId="0" fontId="96" fillId="0" borderId="33" xfId="387" applyFont="1" applyFill="1" applyBorder="1"/>
    <xf numFmtId="0" fontId="96" fillId="0" borderId="0" xfId="387" applyFont="1" applyFill="1" applyBorder="1"/>
    <xf numFmtId="0" fontId="96" fillId="0" borderId="33" xfId="420" applyFont="1" applyFill="1" applyBorder="1" applyAlignment="1">
      <alignment horizontal="center"/>
    </xf>
    <xf numFmtId="0" fontId="96" fillId="22" borderId="0" xfId="420" applyFont="1" applyFill="1" applyBorder="1"/>
    <xf numFmtId="3" fontId="161" fillId="0" borderId="0" xfId="8" applyNumberFormat="1" applyFont="1" applyFill="1" applyBorder="1" applyAlignment="1">
      <alignment horizontal="left"/>
    </xf>
    <xf numFmtId="3" fontId="161" fillId="39" borderId="0" xfId="8" applyNumberFormat="1" applyFont="1" applyFill="1" applyAlignment="1" applyProtection="1">
      <alignment horizontal="center"/>
      <protection locked="0"/>
    </xf>
    <xf numFmtId="0" fontId="95" fillId="39" borderId="0" xfId="519" applyFont="1" applyFill="1" applyProtection="1">
      <protection locked="0"/>
    </xf>
    <xf numFmtId="3" fontId="96" fillId="39" borderId="0" xfId="8" applyNumberFormat="1" applyFont="1" applyFill="1" applyProtection="1">
      <protection locked="0"/>
    </xf>
    <xf numFmtId="0" fontId="96" fillId="39" borderId="0" xfId="519" applyFont="1" applyFill="1" applyBorder="1" applyProtection="1">
      <protection locked="0"/>
    </xf>
    <xf numFmtId="0" fontId="96" fillId="0" borderId="33" xfId="387" applyFont="1" applyFill="1" applyBorder="1" applyAlignment="1">
      <alignment wrapText="1"/>
    </xf>
    <xf numFmtId="0" fontId="95" fillId="39" borderId="0" xfId="519" applyFont="1" applyFill="1" applyBorder="1" applyAlignment="1" applyProtection="1">
      <alignment horizontal="center"/>
      <protection locked="0"/>
    </xf>
    <xf numFmtId="3" fontId="96" fillId="39" borderId="0" xfId="8" applyNumberFormat="1" applyFont="1" applyFill="1" applyAlignment="1" applyProtection="1">
      <alignment wrapText="1"/>
      <protection locked="0"/>
    </xf>
    <xf numFmtId="43" fontId="96" fillId="0" borderId="0" xfId="387" applyNumberFormat="1" applyFont="1" applyFill="1" applyBorder="1"/>
    <xf numFmtId="3" fontId="95" fillId="39" borderId="0" xfId="8" applyNumberFormat="1" applyFont="1" applyFill="1" applyProtection="1">
      <protection locked="0"/>
    </xf>
    <xf numFmtId="0" fontId="95" fillId="39" borderId="0" xfId="420" applyFont="1" applyFill="1" applyBorder="1"/>
    <xf numFmtId="168" fontId="95" fillId="39" borderId="0" xfId="410" applyNumberFormat="1" applyFont="1" applyFill="1" applyBorder="1" applyProtection="1"/>
    <xf numFmtId="3" fontId="96" fillId="39" borderId="0" xfId="8" applyNumberFormat="1" applyFont="1" applyFill="1" applyAlignment="1" applyProtection="1">
      <alignment horizontal="center"/>
      <protection locked="0"/>
    </xf>
    <xf numFmtId="0" fontId="139" fillId="22" borderId="33" xfId="420" applyFont="1" applyFill="1" applyBorder="1"/>
    <xf numFmtId="0" fontId="140" fillId="22" borderId="33" xfId="420" applyFont="1" applyFill="1" applyBorder="1"/>
    <xf numFmtId="0" fontId="140" fillId="22" borderId="32" xfId="420" applyFont="1" applyFill="1" applyBorder="1"/>
    <xf numFmtId="0" fontId="96" fillId="0" borderId="32" xfId="420" applyFont="1" applyFill="1" applyBorder="1" applyAlignment="1">
      <alignment horizontal="center"/>
    </xf>
    <xf numFmtId="0" fontId="96" fillId="0" borderId="32" xfId="420" applyFont="1" applyFill="1" applyBorder="1"/>
    <xf numFmtId="0" fontId="96" fillId="0" borderId="32" xfId="387" applyFont="1" applyFill="1" applyBorder="1"/>
    <xf numFmtId="0" fontId="139" fillId="21" borderId="0" xfId="420" applyFont="1" applyFill="1"/>
    <xf numFmtId="0" fontId="96" fillId="0" borderId="0" xfId="8" applyFont="1" applyFill="1"/>
    <xf numFmtId="0" fontId="95" fillId="0" borderId="0" xfId="387" applyFont="1" applyFill="1" applyBorder="1"/>
    <xf numFmtId="0" fontId="139" fillId="0" borderId="0" xfId="420" applyFont="1"/>
    <xf numFmtId="0" fontId="95" fillId="0" borderId="0" xfId="420" applyFont="1" applyBorder="1"/>
    <xf numFmtId="1" fontId="95" fillId="0" borderId="0" xfId="387" applyNumberFormat="1" applyFont="1" applyFill="1" applyBorder="1"/>
    <xf numFmtId="14" fontId="95" fillId="0" borderId="0" xfId="420" applyNumberFormat="1" applyFont="1" applyFill="1"/>
    <xf numFmtId="0" fontId="95" fillId="39" borderId="0" xfId="61" applyFont="1" applyFill="1" applyProtection="1">
      <protection locked="0"/>
    </xf>
    <xf numFmtId="164" fontId="96" fillId="21" borderId="0" xfId="0" applyNumberFormat="1" applyFont="1" applyFill="1" applyAlignment="1" applyProtection="1">
      <alignment horizontal="left"/>
    </xf>
    <xf numFmtId="164" fontId="162" fillId="21" borderId="0" xfId="0" applyFont="1" applyFill="1"/>
    <xf numFmtId="164" fontId="95" fillId="21" borderId="0" xfId="0" applyNumberFormat="1" applyFont="1" applyFill="1" applyProtection="1"/>
    <xf numFmtId="14" fontId="96" fillId="21" borderId="0" xfId="0" applyNumberFormat="1" applyFont="1" applyFill="1" applyAlignment="1" applyProtection="1">
      <alignment horizontal="right"/>
    </xf>
    <xf numFmtId="164" fontId="146" fillId="21" borderId="0" xfId="0" applyFont="1" applyFill="1" applyAlignment="1">
      <alignment horizontal="left"/>
    </xf>
    <xf numFmtId="164" fontId="100" fillId="21" borderId="0" xfId="0" applyNumberFormat="1" applyFont="1" applyFill="1" applyProtection="1"/>
    <xf numFmtId="164" fontId="159" fillId="21" borderId="0" xfId="0" applyFont="1" applyFill="1"/>
    <xf numFmtId="164" fontId="145" fillId="21" borderId="0" xfId="0" applyNumberFormat="1" applyFont="1" applyFill="1" applyAlignment="1" applyProtection="1">
      <alignment horizontal="left"/>
    </xf>
    <xf numFmtId="164" fontId="151" fillId="21" borderId="0" xfId="0" applyFont="1" applyFill="1"/>
    <xf numFmtId="0" fontId="96" fillId="21" borderId="0" xfId="6" applyFont="1" applyFill="1" applyAlignment="1"/>
    <xf numFmtId="0" fontId="95" fillId="21" borderId="0" xfId="5" applyFont="1" applyFill="1" applyAlignment="1">
      <alignment horizontal="left"/>
    </xf>
    <xf numFmtId="0" fontId="58" fillId="21" borderId="0" xfId="5" applyFont="1" applyFill="1" applyAlignment="1">
      <alignment horizontal="center"/>
    </xf>
    <xf numFmtId="0" fontId="95" fillId="21" borderId="0" xfId="5" applyFont="1" applyFill="1" applyAlignment="1">
      <alignment horizontal="center"/>
    </xf>
    <xf numFmtId="0" fontId="95" fillId="21" borderId="0" xfId="5" applyFont="1" applyFill="1" applyAlignment="1">
      <alignment horizontal="right"/>
    </xf>
    <xf numFmtId="0" fontId="95" fillId="21" borderId="0" xfId="5" applyFont="1" applyFill="1"/>
    <xf numFmtId="0" fontId="58" fillId="21" borderId="0" xfId="5" applyFont="1" applyFill="1"/>
    <xf numFmtId="0" fontId="147" fillId="21" borderId="0" xfId="5" applyFont="1" applyFill="1" applyAlignment="1">
      <alignment horizontal="center"/>
    </xf>
    <xf numFmtId="0" fontId="95" fillId="21" borderId="0" xfId="5" applyFont="1" applyFill="1" applyBorder="1" applyAlignment="1">
      <alignment horizontal="left"/>
    </xf>
    <xf numFmtId="0" fontId="147" fillId="21" borderId="22" xfId="5" applyFont="1" applyFill="1" applyBorder="1" applyAlignment="1">
      <alignment horizontal="center"/>
    </xf>
    <xf numFmtId="17" fontId="147" fillId="21" borderId="0" xfId="5" applyNumberFormat="1" applyFont="1" applyFill="1" applyAlignment="1">
      <alignment horizontal="center"/>
    </xf>
    <xf numFmtId="49" fontId="147" fillId="39" borderId="22" xfId="5" applyNumberFormat="1" applyFont="1" applyFill="1" applyBorder="1" applyAlignment="1" applyProtection="1">
      <alignment horizontal="center"/>
      <protection locked="0"/>
    </xf>
    <xf numFmtId="49" fontId="96" fillId="21" borderId="0" xfId="5" applyNumberFormat="1" applyFont="1" applyFill="1" applyBorder="1" applyAlignment="1">
      <alignment horizontal="center"/>
    </xf>
    <xf numFmtId="0" fontId="151" fillId="21" borderId="0" xfId="5" quotePrefix="1" applyFont="1" applyFill="1" applyAlignment="1">
      <alignment horizontal="center"/>
    </xf>
    <xf numFmtId="0" fontId="14" fillId="21" borderId="0" xfId="5" applyFont="1" applyFill="1" applyAlignment="1">
      <alignment horizontal="center"/>
    </xf>
    <xf numFmtId="0" fontId="14" fillId="21" borderId="0" xfId="5" quotePrefix="1" applyFont="1" applyFill="1" applyAlignment="1">
      <alignment horizontal="center"/>
    </xf>
    <xf numFmtId="0" fontId="96" fillId="21" borderId="0" xfId="5" applyFont="1" applyFill="1" applyAlignment="1">
      <alignment horizontal="left"/>
    </xf>
    <xf numFmtId="164" fontId="155" fillId="21" borderId="0" xfId="0" applyFont="1" applyFill="1" applyAlignment="1">
      <alignment horizontal="left"/>
    </xf>
    <xf numFmtId="169" fontId="58" fillId="21" borderId="0" xfId="5" applyNumberFormat="1" applyFont="1" applyFill="1"/>
    <xf numFmtId="164" fontId="14" fillId="21" borderId="0" xfId="0" applyFont="1" applyFill="1"/>
    <xf numFmtId="41" fontId="58" fillId="21" borderId="0" xfId="5" applyNumberFormat="1" applyFont="1" applyFill="1"/>
    <xf numFmtId="170" fontId="14" fillId="21" borderId="0" xfId="0" applyNumberFormat="1" applyFont="1" applyFill="1" applyAlignment="1">
      <alignment horizontal="left" indent="2"/>
    </xf>
    <xf numFmtId="41" fontId="163" fillId="39" borderId="0" xfId="9" applyNumberFormat="1" applyFont="1" applyFill="1" applyProtection="1">
      <protection locked="0"/>
    </xf>
    <xf numFmtId="0" fontId="147" fillId="21" borderId="0" xfId="5" applyFont="1" applyFill="1"/>
    <xf numFmtId="5" fontId="58" fillId="21" borderId="0" xfId="5" applyNumberFormat="1" applyFont="1" applyFill="1"/>
    <xf numFmtId="170" fontId="14" fillId="21" borderId="0" xfId="0" applyNumberFormat="1" applyFont="1" applyFill="1" applyAlignment="1">
      <alignment horizontal="left" indent="3"/>
    </xf>
    <xf numFmtId="170" fontId="14" fillId="21" borderId="0" xfId="0" quotePrefix="1" applyNumberFormat="1" applyFont="1" applyFill="1" applyAlignment="1">
      <alignment horizontal="left" indent="2"/>
    </xf>
    <xf numFmtId="41" fontId="163" fillId="39" borderId="22" xfId="9" quotePrefix="1" applyNumberFormat="1" applyFont="1" applyFill="1" applyBorder="1" applyAlignment="1" applyProtection="1">
      <alignment horizontal="center"/>
      <protection locked="0"/>
    </xf>
    <xf numFmtId="170" fontId="146" fillId="21" borderId="0" xfId="0" applyNumberFormat="1" applyFont="1" applyFill="1"/>
    <xf numFmtId="41" fontId="163" fillId="21" borderId="0" xfId="9" applyNumberFormat="1" applyFont="1" applyFill="1"/>
    <xf numFmtId="170" fontId="14" fillId="21" borderId="0" xfId="0" applyNumberFormat="1" applyFont="1" applyFill="1" applyAlignment="1">
      <alignment horizontal="left" indent="8"/>
    </xf>
    <xf numFmtId="41" fontId="163" fillId="21" borderId="22" xfId="9" applyNumberFormat="1" applyFont="1" applyFill="1" applyBorder="1"/>
    <xf numFmtId="170" fontId="14" fillId="21" borderId="0" xfId="0" applyNumberFormat="1" applyFont="1" applyFill="1"/>
    <xf numFmtId="5" fontId="58" fillId="21" borderId="0" xfId="5" applyNumberFormat="1" applyFont="1" applyFill="1" applyBorder="1"/>
    <xf numFmtId="170" fontId="14" fillId="39" borderId="0" xfId="0" quotePrefix="1" applyNumberFormat="1" applyFont="1" applyFill="1" applyAlignment="1" applyProtection="1">
      <alignment horizontal="left" indent="2"/>
      <protection locked="0"/>
    </xf>
    <xf numFmtId="170" fontId="146" fillId="21" borderId="0" xfId="0" applyNumberFormat="1" applyFont="1" applyFill="1" applyProtection="1"/>
    <xf numFmtId="170" fontId="14" fillId="21" borderId="0" xfId="0" applyNumberFormat="1" applyFont="1" applyFill="1" applyAlignment="1">
      <alignment horizontal="left" indent="6"/>
    </xf>
    <xf numFmtId="170" fontId="146" fillId="21" borderId="0" xfId="0" applyNumberFormat="1" applyFont="1" applyFill="1" applyAlignment="1">
      <alignment horizontal="left" indent="8"/>
    </xf>
    <xf numFmtId="41" fontId="95" fillId="21" borderId="0" xfId="5" applyNumberFormat="1" applyFont="1" applyFill="1"/>
    <xf numFmtId="41" fontId="163" fillId="39" borderId="22" xfId="9" applyNumberFormat="1" applyFont="1" applyFill="1" applyBorder="1" applyProtection="1">
      <protection locked="0"/>
    </xf>
    <xf numFmtId="170" fontId="155" fillId="21" borderId="0" xfId="0" applyNumberFormat="1" applyFont="1" applyFill="1" applyAlignment="1">
      <alignment horizontal="left"/>
    </xf>
    <xf numFmtId="0" fontId="96" fillId="21" borderId="0" xfId="5" applyFont="1" applyFill="1"/>
    <xf numFmtId="41" fontId="164" fillId="21" borderId="6" xfId="397" applyNumberFormat="1" applyFont="1" applyFill="1" applyBorder="1"/>
    <xf numFmtId="5" fontId="147" fillId="21" borderId="0" xfId="5" applyNumberFormat="1" applyFont="1" applyFill="1" applyBorder="1"/>
    <xf numFmtId="167" fontId="164" fillId="21" borderId="0" xfId="397" applyNumberFormat="1" applyFont="1" applyFill="1" applyBorder="1"/>
    <xf numFmtId="0" fontId="151" fillId="21" borderId="0" xfId="5" applyFont="1" applyFill="1" applyAlignment="1">
      <alignment horizontal="left"/>
    </xf>
    <xf numFmtId="0" fontId="151" fillId="21" borderId="0" xfId="5" applyFont="1" applyFill="1"/>
    <xf numFmtId="0" fontId="14" fillId="21" borderId="0" xfId="5" applyFont="1" applyFill="1" applyAlignment="1">
      <alignment horizontal="left"/>
    </xf>
    <xf numFmtId="167" fontId="58" fillId="21" borderId="0" xfId="5" applyNumberFormat="1" applyFont="1" applyFill="1"/>
    <xf numFmtId="0" fontId="96" fillId="21" borderId="0" xfId="5" applyFont="1" applyFill="1" applyAlignment="1">
      <alignment horizontal="center"/>
    </xf>
    <xf numFmtId="49" fontId="147" fillId="21" borderId="22" xfId="5" applyNumberFormat="1" applyFont="1" applyFill="1" applyBorder="1" applyAlignment="1" applyProtection="1">
      <alignment horizontal="center"/>
    </xf>
    <xf numFmtId="49" fontId="147" fillId="21" borderId="0" xfId="5" applyNumberFormat="1" applyFont="1" applyFill="1" applyBorder="1" applyAlignment="1" applyProtection="1">
      <alignment horizontal="center"/>
    </xf>
    <xf numFmtId="170" fontId="14" fillId="21" borderId="0" xfId="0" applyNumberFormat="1" applyFont="1" applyFill="1" applyAlignment="1">
      <alignment horizontal="left" indent="4"/>
    </xf>
    <xf numFmtId="170" fontId="14" fillId="0" borderId="0" xfId="0" applyNumberFormat="1" applyFont="1" applyFill="1" applyAlignment="1">
      <alignment horizontal="left" indent="2"/>
    </xf>
    <xf numFmtId="44" fontId="14" fillId="21" borderId="0" xfId="0" applyNumberFormat="1" applyFont="1" applyFill="1" applyAlignment="1">
      <alignment horizontal="left"/>
    </xf>
    <xf numFmtId="167" fontId="164" fillId="21" borderId="0" xfId="5" applyNumberFormat="1" applyFont="1" applyFill="1" applyBorder="1"/>
    <xf numFmtId="43" fontId="144" fillId="21" borderId="0" xfId="410" applyFont="1" applyFill="1"/>
    <xf numFmtId="43" fontId="146" fillId="21" borderId="0" xfId="410" applyFont="1" applyFill="1"/>
    <xf numFmtId="43" fontId="96" fillId="21" borderId="0" xfId="410" applyFont="1" applyFill="1" applyBorder="1" applyAlignment="1">
      <alignment horizontal="center"/>
    </xf>
    <xf numFmtId="43" fontId="96" fillId="21" borderId="22" xfId="410" applyFont="1" applyFill="1" applyBorder="1" applyAlignment="1">
      <alignment horizontal="center"/>
    </xf>
    <xf numFmtId="168" fontId="95" fillId="21" borderId="0" xfId="410" applyNumberFormat="1" applyFont="1" applyFill="1"/>
    <xf numFmtId="168" fontId="95" fillId="21" borderId="22" xfId="410" applyNumberFormat="1" applyFont="1" applyFill="1" applyBorder="1"/>
    <xf numFmtId="168" fontId="95" fillId="21" borderId="0" xfId="410" applyNumberFormat="1" applyFont="1" applyFill="1" applyBorder="1"/>
    <xf numFmtId="168" fontId="95" fillId="21" borderId="5" xfId="410" applyNumberFormat="1" applyFont="1" applyFill="1" applyBorder="1"/>
    <xf numFmtId="43" fontId="3" fillId="21" borderId="0" xfId="410" applyFont="1" applyFill="1"/>
    <xf numFmtId="0" fontId="5" fillId="21" borderId="0" xfId="513" applyFill="1" applyBorder="1"/>
    <xf numFmtId="43" fontId="4" fillId="21" borderId="0" xfId="410" applyFont="1" applyFill="1" applyBorder="1"/>
    <xf numFmtId="43" fontId="3" fillId="21" borderId="0" xfId="410" applyFont="1" applyFill="1" applyBorder="1"/>
    <xf numFmtId="183" fontId="5" fillId="21" borderId="0" xfId="513" applyNumberFormat="1" applyFill="1" applyBorder="1"/>
    <xf numFmtId="168" fontId="35" fillId="39" borderId="0" xfId="410" applyNumberFormat="1" applyFont="1" applyFill="1"/>
    <xf numFmtId="168" fontId="154" fillId="21" borderId="0" xfId="410" applyNumberFormat="1" applyFont="1" applyFill="1"/>
    <xf numFmtId="164" fontId="156" fillId="21" borderId="0" xfId="0" applyNumberFormat="1" applyFont="1" applyFill="1" applyAlignment="1" applyProtection="1">
      <alignment horizontal="center"/>
    </xf>
    <xf numFmtId="164" fontId="96" fillId="21" borderId="0" xfId="0" applyNumberFormat="1" applyFont="1" applyFill="1" applyAlignment="1" applyProtection="1">
      <alignment horizontal="center"/>
    </xf>
    <xf numFmtId="164" fontId="160" fillId="21" borderId="0" xfId="0" applyNumberFormat="1" applyFont="1" applyFill="1" applyAlignment="1" applyProtection="1">
      <alignment horizontal="center"/>
    </xf>
    <xf numFmtId="164" fontId="95" fillId="21" borderId="0" xfId="0" applyNumberFormat="1" applyFont="1" applyFill="1" applyAlignment="1" applyProtection="1">
      <alignment horizontal="center"/>
    </xf>
    <xf numFmtId="43" fontId="95" fillId="21" borderId="0" xfId="161" applyFont="1" applyFill="1" applyProtection="1"/>
    <xf numFmtId="43" fontId="95" fillId="21" borderId="16" xfId="161" applyFont="1" applyFill="1" applyBorder="1" applyProtection="1"/>
    <xf numFmtId="43" fontId="96" fillId="21" borderId="0" xfId="161" applyFont="1" applyFill="1" applyProtection="1"/>
    <xf numFmtId="43" fontId="95" fillId="21" borderId="0" xfId="161" applyFont="1" applyFill="1" applyBorder="1" applyProtection="1"/>
    <xf numFmtId="43" fontId="95" fillId="0" borderId="0" xfId="161" applyFont="1" applyFill="1" applyBorder="1" applyProtection="1"/>
    <xf numFmtId="169" fontId="95" fillId="21" borderId="0" xfId="0" applyNumberFormat="1" applyFont="1" applyFill="1" applyProtection="1"/>
    <xf numFmtId="43" fontId="146" fillId="21" borderId="0" xfId="161" applyFont="1" applyFill="1"/>
    <xf numFmtId="10" fontId="96" fillId="21" borderId="0" xfId="148" applyNumberFormat="1" applyFont="1" applyFill="1" applyProtection="1"/>
    <xf numFmtId="168" fontId="14" fillId="0" borderId="29" xfId="9" applyNumberFormat="1" applyFont="1" applyBorder="1" applyAlignment="1" applyProtection="1"/>
    <xf numFmtId="164" fontId="152" fillId="0" borderId="0" xfId="0" applyFont="1"/>
    <xf numFmtId="171" fontId="95" fillId="21" borderId="0" xfId="148" applyNumberFormat="1" applyFont="1" applyFill="1"/>
    <xf numFmtId="164" fontId="149" fillId="21" borderId="0" xfId="0" applyFont="1" applyFill="1" applyBorder="1"/>
    <xf numFmtId="164" fontId="149" fillId="21" borderId="0" xfId="0" applyNumberFormat="1" applyFont="1" applyFill="1" applyBorder="1" applyProtection="1"/>
    <xf numFmtId="164" fontId="71" fillId="21" borderId="0" xfId="0" applyNumberFormat="1" applyFont="1" applyFill="1" applyBorder="1" applyAlignment="1" applyProtection="1"/>
    <xf numFmtId="164" fontId="71" fillId="21" borderId="0" xfId="0" applyNumberFormat="1" applyFont="1" applyFill="1" applyBorder="1" applyAlignment="1" applyProtection="1">
      <alignment horizontal="center"/>
    </xf>
    <xf numFmtId="0" fontId="149" fillId="21" borderId="0" xfId="162" applyFont="1" applyFill="1" applyBorder="1"/>
    <xf numFmtId="0" fontId="58" fillId="21" borderId="0" xfId="363" applyFont="1" applyFill="1"/>
    <xf numFmtId="168" fontId="58" fillId="21" borderId="0" xfId="161" applyNumberFormat="1" applyFont="1" applyFill="1"/>
    <xf numFmtId="0" fontId="58" fillId="21" borderId="0" xfId="162" applyFont="1" applyFill="1"/>
    <xf numFmtId="168" fontId="149" fillId="21" borderId="0" xfId="161" applyNumberFormat="1" applyFont="1" applyFill="1"/>
    <xf numFmtId="41" fontId="113" fillId="21" borderId="0" xfId="162" applyNumberFormat="1" applyFont="1" applyFill="1"/>
    <xf numFmtId="10" fontId="28" fillId="21" borderId="0" xfId="144" applyNumberFormat="1" applyFont="1" applyFill="1"/>
    <xf numFmtId="41" fontId="95" fillId="21" borderId="0" xfId="513" applyNumberFormat="1" applyFont="1" applyFill="1"/>
    <xf numFmtId="43" fontId="111" fillId="21" borderId="0" xfId="513" applyNumberFormat="1" applyFont="1" applyFill="1"/>
    <xf numFmtId="0" fontId="169" fillId="21" borderId="0" xfId="513" applyFont="1" applyFill="1"/>
    <xf numFmtId="41" fontId="125" fillId="21" borderId="0" xfId="513" applyNumberFormat="1" applyFont="1" applyFill="1"/>
    <xf numFmtId="0" fontId="170" fillId="21" borderId="0" xfId="513" applyFont="1" applyFill="1"/>
    <xf numFmtId="0" fontId="171" fillId="21" borderId="0" xfId="513" applyFont="1" applyFill="1"/>
    <xf numFmtId="41" fontId="172" fillId="21" borderId="0" xfId="513" applyNumberFormat="1" applyFont="1" applyFill="1"/>
    <xf numFmtId="43" fontId="25" fillId="0" borderId="0" xfId="161" applyFont="1"/>
    <xf numFmtId="168" fontId="25" fillId="0" borderId="0" xfId="161" applyNumberFormat="1" applyFont="1"/>
    <xf numFmtId="168" fontId="173" fillId="0" borderId="0" xfId="161" applyNumberFormat="1" applyFont="1" applyProtection="1"/>
    <xf numFmtId="168" fontId="113" fillId="0" borderId="0" xfId="161" applyNumberFormat="1" applyFont="1" applyProtection="1"/>
    <xf numFmtId="168" fontId="149" fillId="0" borderId="0" xfId="161" applyNumberFormat="1" applyFont="1" applyProtection="1"/>
    <xf numFmtId="168" fontId="45" fillId="0" borderId="0" xfId="161" applyNumberFormat="1" applyFont="1" applyProtection="1"/>
    <xf numFmtId="168" fontId="113" fillId="0" borderId="0" xfId="161" applyNumberFormat="1" applyFont="1" applyAlignment="1" applyProtection="1">
      <alignment wrapText="1"/>
    </xf>
    <xf numFmtId="168" fontId="28" fillId="0" borderId="0" xfId="399" applyNumberFormat="1" applyFont="1" applyFill="1" applyAlignment="1" applyProtection="1">
      <alignment horizontal="left"/>
    </xf>
    <xf numFmtId="0" fontId="14" fillId="21" borderId="0" xfId="5" applyFont="1" applyFill="1"/>
    <xf numFmtId="0" fontId="124" fillId="21" borderId="0" xfId="5" applyFont="1" applyFill="1"/>
    <xf numFmtId="164" fontId="120" fillId="21" borderId="0" xfId="0" applyFont="1" applyFill="1"/>
    <xf numFmtId="170" fontId="147" fillId="0" borderId="0" xfId="147" applyNumberFormat="1" applyFont="1" applyFill="1" applyBorder="1"/>
    <xf numFmtId="164" fontId="25" fillId="21" borderId="0" xfId="0" applyFont="1" applyFill="1" applyBorder="1"/>
    <xf numFmtId="170" fontId="147" fillId="0" borderId="0" xfId="0" applyNumberFormat="1" applyFont="1" applyBorder="1"/>
    <xf numFmtId="170" fontId="58" fillId="0" borderId="0" xfId="147" applyNumberFormat="1" applyFont="1" applyFill="1" applyBorder="1" applyAlignment="1">
      <alignment horizontal="left" indent="1"/>
    </xf>
    <xf numFmtId="170" fontId="58" fillId="43" borderId="0" xfId="147" applyNumberFormat="1" applyFont="1" applyFill="1" applyBorder="1"/>
    <xf numFmtId="164" fontId="0" fillId="21" borderId="0" xfId="0" applyFill="1" applyBorder="1"/>
    <xf numFmtId="171" fontId="149" fillId="43" borderId="0" xfId="148" applyNumberFormat="1" applyFont="1" applyFill="1" applyBorder="1"/>
    <xf numFmtId="168" fontId="58" fillId="0" borderId="0" xfId="0" applyNumberFormat="1" applyFont="1" applyBorder="1"/>
    <xf numFmtId="170" fontId="166" fillId="0" borderId="0" xfId="147" applyNumberFormat="1" applyFont="1" applyFill="1" applyBorder="1" applyAlignment="1">
      <alignment horizontal="left" indent="3"/>
    </xf>
    <xf numFmtId="170" fontId="166" fillId="22" borderId="0" xfId="147" applyNumberFormat="1" applyFont="1" applyFill="1" applyBorder="1"/>
    <xf numFmtId="170" fontId="167" fillId="0" borderId="0" xfId="147" applyNumberFormat="1" applyFont="1" applyFill="1" applyBorder="1" applyAlignment="1">
      <alignment horizontal="left" indent="3"/>
    </xf>
    <xf numFmtId="170" fontId="167" fillId="0" borderId="0" xfId="147" applyNumberFormat="1" applyFont="1" applyFill="1" applyBorder="1"/>
    <xf numFmtId="164" fontId="28" fillId="21" borderId="0" xfId="0" applyFont="1" applyFill="1" applyBorder="1"/>
    <xf numFmtId="164" fontId="30" fillId="21" borderId="0" xfId="0" applyFont="1" applyFill="1" applyBorder="1"/>
    <xf numFmtId="10" fontId="49" fillId="21" borderId="0" xfId="161" applyNumberFormat="1" applyFont="1" applyFill="1" applyBorder="1"/>
    <xf numFmtId="43" fontId="49" fillId="21" borderId="0" xfId="161" applyFont="1" applyFill="1" applyBorder="1"/>
    <xf numFmtId="10" fontId="28" fillId="21" borderId="0" xfId="161" applyNumberFormat="1" applyFont="1" applyFill="1" applyBorder="1"/>
    <xf numFmtId="43" fontId="113" fillId="21" borderId="0" xfId="161" applyFont="1" applyFill="1" applyBorder="1"/>
    <xf numFmtId="164" fontId="49" fillId="21" borderId="0" xfId="0" applyFont="1" applyFill="1" applyBorder="1"/>
    <xf numFmtId="168" fontId="48" fillId="21" borderId="0" xfId="161" applyNumberFormat="1" applyFont="1" applyFill="1" applyBorder="1"/>
    <xf numFmtId="43" fontId="96" fillId="21" borderId="0" xfId="161" applyFont="1" applyFill="1" applyBorder="1" applyProtection="1"/>
    <xf numFmtId="171" fontId="62" fillId="43" borderId="0" xfId="148" applyNumberFormat="1" applyFont="1" applyFill="1" applyBorder="1"/>
    <xf numFmtId="164" fontId="165" fillId="21" borderId="0" xfId="0" applyFont="1" applyFill="1" applyBorder="1"/>
    <xf numFmtId="168" fontId="28" fillId="21" borderId="0" xfId="0" applyNumberFormat="1" applyFont="1" applyFill="1" applyBorder="1"/>
    <xf numFmtId="168" fontId="0" fillId="21" borderId="0" xfId="0" applyNumberFormat="1" applyFill="1" applyBorder="1"/>
    <xf numFmtId="41" fontId="35" fillId="21" borderId="36" xfId="147" applyNumberFormat="1" applyFont="1" applyFill="1" applyBorder="1" applyAlignment="1"/>
    <xf numFmtId="168" fontId="14" fillId="21" borderId="0" xfId="161" applyNumberFormat="1" applyFont="1" applyFill="1" applyAlignment="1"/>
    <xf numFmtId="43" fontId="14" fillId="21" borderId="0" xfId="161" applyNumberFormat="1" applyFont="1" applyFill="1" applyAlignment="1"/>
    <xf numFmtId="164" fontId="174" fillId="21" borderId="0" xfId="0" applyFont="1" applyFill="1" applyAlignment="1"/>
    <xf numFmtId="164" fontId="174" fillId="21" borderId="0" xfId="0" applyFont="1" applyFill="1" applyBorder="1" applyAlignment="1"/>
    <xf numFmtId="41" fontId="174" fillId="21" borderId="12" xfId="147" applyNumberFormat="1" applyFont="1" applyFill="1" applyBorder="1" applyAlignment="1"/>
    <xf numFmtId="41" fontId="174" fillId="21" borderId="0" xfId="147" applyNumberFormat="1" applyFont="1" applyFill="1" applyBorder="1" applyAlignment="1"/>
    <xf numFmtId="41" fontId="174" fillId="21" borderId="13" xfId="147" applyNumberFormat="1" applyFont="1" applyFill="1" applyBorder="1" applyAlignment="1"/>
    <xf numFmtId="168" fontId="174" fillId="21" borderId="0" xfId="161" applyNumberFormat="1" applyFont="1" applyFill="1" applyAlignment="1"/>
    <xf numFmtId="164" fontId="14" fillId="21" borderId="10" xfId="0" applyFont="1" applyFill="1" applyBorder="1" applyAlignment="1"/>
    <xf numFmtId="164" fontId="14" fillId="21" borderId="22" xfId="0" applyFont="1" applyFill="1" applyBorder="1" applyAlignment="1"/>
    <xf numFmtId="164" fontId="14" fillId="21" borderId="22" xfId="0" applyFont="1" applyFill="1" applyBorder="1" applyAlignment="1">
      <alignment horizontal="center"/>
    </xf>
    <xf numFmtId="41" fontId="14" fillId="21" borderId="10" xfId="147" applyNumberFormat="1" applyFont="1" applyFill="1" applyBorder="1" applyAlignment="1"/>
    <xf numFmtId="41" fontId="14" fillId="21" borderId="22" xfId="147" applyNumberFormat="1" applyFont="1" applyFill="1" applyBorder="1" applyAlignment="1"/>
    <xf numFmtId="41" fontId="14" fillId="21" borderId="11" xfId="147" applyNumberFormat="1" applyFont="1" applyFill="1" applyBorder="1" applyAlignment="1"/>
    <xf numFmtId="164" fontId="14" fillId="21" borderId="0" xfId="0" applyFont="1" applyFill="1" applyAlignment="1">
      <alignment horizontal="center"/>
    </xf>
    <xf numFmtId="41" fontId="14" fillId="21" borderId="0" xfId="0" applyNumberFormat="1" applyFont="1" applyFill="1" applyAlignment="1"/>
    <xf numFmtId="41" fontId="14" fillId="21" borderId="0" xfId="147" applyNumberFormat="1" applyFont="1" applyFill="1" applyAlignment="1"/>
    <xf numFmtId="164" fontId="155" fillId="21" borderId="0" xfId="0" applyFont="1" applyFill="1" applyAlignment="1"/>
    <xf numFmtId="164" fontId="14" fillId="21" borderId="50" xfId="0" applyFont="1" applyFill="1" applyBorder="1" applyAlignment="1"/>
    <xf numFmtId="164" fontId="14" fillId="21" borderId="51" xfId="0" applyFont="1" applyFill="1" applyBorder="1" applyAlignment="1"/>
    <xf numFmtId="164" fontId="14" fillId="21" borderId="51" xfId="0" applyFont="1" applyFill="1" applyBorder="1" applyAlignment="1">
      <alignment horizontal="center"/>
    </xf>
    <xf numFmtId="0" fontId="14" fillId="21" borderId="37" xfId="0" applyNumberFormat="1" applyFont="1" applyFill="1" applyBorder="1" applyAlignment="1"/>
    <xf numFmtId="0" fontId="14" fillId="21" borderId="51" xfId="0" applyNumberFormat="1" applyFont="1" applyFill="1" applyBorder="1" applyAlignment="1"/>
    <xf numFmtId="41" fontId="14" fillId="21" borderId="50" xfId="147" applyNumberFormat="1" applyFont="1" applyFill="1" applyBorder="1" applyAlignment="1"/>
    <xf numFmtId="41" fontId="14" fillId="21" borderId="51" xfId="147" applyNumberFormat="1" applyFont="1" applyFill="1" applyBorder="1" applyAlignment="1"/>
    <xf numFmtId="41" fontId="14" fillId="21" borderId="52" xfId="147" applyNumberFormat="1" applyFont="1" applyFill="1" applyBorder="1" applyAlignment="1"/>
    <xf numFmtId="41" fontId="175" fillId="21" borderId="12" xfId="147" applyNumberFormat="1" applyFont="1" applyFill="1" applyBorder="1" applyAlignment="1"/>
    <xf numFmtId="41" fontId="175" fillId="21" borderId="0" xfId="147" applyNumberFormat="1" applyFont="1" applyFill="1" applyBorder="1" applyAlignment="1"/>
    <xf numFmtId="41" fontId="175" fillId="21" borderId="13" xfId="147" applyNumberFormat="1" applyFont="1" applyFill="1" applyBorder="1" applyAlignment="1"/>
    <xf numFmtId="164" fontId="155" fillId="21" borderId="0" xfId="0" applyFont="1" applyFill="1" applyBorder="1" applyAlignment="1">
      <alignment horizontal="center"/>
    </xf>
    <xf numFmtId="164" fontId="14" fillId="0" borderId="12" xfId="0" applyFont="1" applyFill="1" applyBorder="1" applyAlignment="1"/>
    <xf numFmtId="164" fontId="174" fillId="21" borderId="12" xfId="0" applyFont="1" applyFill="1" applyBorder="1" applyAlignment="1"/>
    <xf numFmtId="41" fontId="14" fillId="21" borderId="12" xfId="0" applyNumberFormat="1" applyFont="1" applyFill="1" applyBorder="1" applyAlignment="1"/>
    <xf numFmtId="41" fontId="14" fillId="21" borderId="0" xfId="0" applyNumberFormat="1" applyFont="1" applyFill="1" applyBorder="1" applyAlignment="1"/>
    <xf numFmtId="164" fontId="155" fillId="21" borderId="0" xfId="0" applyFont="1" applyFill="1" applyBorder="1" applyAlignment="1"/>
    <xf numFmtId="164" fontId="155" fillId="21" borderId="10" xfId="0" applyFont="1" applyFill="1" applyBorder="1" applyAlignment="1"/>
    <xf numFmtId="164" fontId="155" fillId="21" borderId="22" xfId="0" applyFont="1" applyFill="1" applyBorder="1" applyAlignment="1"/>
    <xf numFmtId="164" fontId="155" fillId="21" borderId="22" xfId="0" applyFont="1" applyFill="1" applyBorder="1" applyAlignment="1">
      <alignment horizontal="center"/>
    </xf>
    <xf numFmtId="164" fontId="14" fillId="21" borderId="36" xfId="0" applyFont="1" applyFill="1" applyBorder="1" applyAlignment="1"/>
    <xf numFmtId="164" fontId="14" fillId="21" borderId="37" xfId="0" applyFont="1" applyFill="1" applyBorder="1" applyAlignment="1"/>
    <xf numFmtId="164" fontId="14" fillId="21" borderId="37" xfId="0" applyFont="1" applyFill="1" applyBorder="1" applyAlignment="1">
      <alignment horizontal="center"/>
    </xf>
    <xf numFmtId="41" fontId="14" fillId="21" borderId="36" xfId="147" applyNumberFormat="1" applyFont="1" applyFill="1" applyBorder="1" applyAlignment="1"/>
    <xf numFmtId="41" fontId="14" fillId="21" borderId="37" xfId="147" applyNumberFormat="1" applyFont="1" applyFill="1" applyBorder="1" applyAlignment="1"/>
    <xf numFmtId="41" fontId="14" fillId="21" borderId="38" xfId="147" applyNumberFormat="1" applyFont="1" applyFill="1" applyBorder="1" applyAlignment="1"/>
    <xf numFmtId="43" fontId="14" fillId="4" borderId="0" xfId="161" applyNumberFormat="1" applyFont="1" applyFill="1" applyAlignment="1"/>
    <xf numFmtId="41" fontId="14" fillId="21" borderId="13" xfId="0" applyNumberFormat="1" applyFont="1" applyFill="1" applyBorder="1" applyAlignment="1"/>
    <xf numFmtId="41" fontId="155" fillId="21" borderId="10" xfId="147" applyNumberFormat="1" applyFont="1" applyFill="1" applyBorder="1" applyAlignment="1"/>
    <xf numFmtId="41" fontId="155" fillId="21" borderId="22" xfId="147" applyNumberFormat="1" applyFont="1" applyFill="1" applyBorder="1" applyAlignment="1"/>
    <xf numFmtId="41" fontId="155" fillId="21" borderId="11" xfId="147" applyNumberFormat="1" applyFont="1" applyFill="1" applyBorder="1" applyAlignment="1"/>
    <xf numFmtId="43" fontId="146" fillId="21" borderId="0" xfId="161" applyFont="1" applyFill="1" applyProtection="1"/>
    <xf numFmtId="164" fontId="155" fillId="21" borderId="0" xfId="0" quotePrefix="1" applyFont="1" applyFill="1" applyAlignment="1" applyProtection="1">
      <alignment horizontal="center"/>
    </xf>
    <xf numFmtId="164" fontId="146" fillId="0" borderId="0" xfId="0" applyFont="1" applyProtection="1"/>
    <xf numFmtId="164" fontId="146" fillId="0" borderId="34" xfId="0" applyFont="1" applyBorder="1" applyProtection="1"/>
    <xf numFmtId="0" fontId="2" fillId="0" borderId="35" xfId="386" applyFont="1" applyFill="1" applyBorder="1" applyProtection="1"/>
    <xf numFmtId="43" fontId="146" fillId="0" borderId="0" xfId="161" applyFont="1" applyProtection="1"/>
    <xf numFmtId="0" fontId="2" fillId="21" borderId="0" xfId="386" applyFont="1" applyFill="1" applyProtection="1"/>
    <xf numFmtId="0" fontId="155" fillId="21" borderId="42" xfId="408" applyFont="1" applyFill="1" applyBorder="1" applyAlignment="1" applyProtection="1">
      <alignment horizontal="left"/>
    </xf>
    <xf numFmtId="0" fontId="14" fillId="21" borderId="47" xfId="401" quotePrefix="1" applyNumberFormat="1" applyFont="1" applyFill="1" applyBorder="1" applyProtection="1">
      <alignment horizontal="left" vertical="center" indent="1"/>
    </xf>
    <xf numFmtId="0" fontId="2" fillId="0" borderId="48" xfId="386" applyFont="1" applyFill="1" applyBorder="1" applyProtection="1"/>
    <xf numFmtId="0" fontId="176" fillId="21" borderId="48" xfId="386" applyFont="1" applyFill="1" applyBorder="1" applyProtection="1"/>
    <xf numFmtId="164" fontId="146" fillId="21" borderId="48" xfId="0" applyFont="1" applyFill="1" applyBorder="1" applyProtection="1"/>
    <xf numFmtId="164" fontId="146" fillId="21" borderId="41" xfId="0" applyFont="1" applyFill="1" applyBorder="1" applyProtection="1"/>
    <xf numFmtId="0" fontId="2" fillId="21" borderId="0" xfId="386" applyFont="1" applyFill="1" applyAlignment="1" applyProtection="1">
      <alignment horizontal="left"/>
    </xf>
    <xf numFmtId="0" fontId="155" fillId="21" borderId="34" xfId="408" applyFont="1" applyFill="1" applyBorder="1" applyAlignment="1" applyProtection="1">
      <alignment horizontal="left"/>
    </xf>
    <xf numFmtId="168" fontId="2" fillId="39" borderId="35" xfId="386" applyNumberFormat="1" applyFont="1" applyFill="1" applyBorder="1" applyProtection="1">
      <protection locked="0"/>
    </xf>
    <xf numFmtId="168" fontId="2" fillId="21" borderId="35" xfId="386" applyNumberFormat="1" applyFont="1" applyFill="1" applyBorder="1" applyProtection="1"/>
    <xf numFmtId="0" fontId="155" fillId="21" borderId="42" xfId="408" quotePrefix="1" applyFont="1" applyFill="1" applyBorder="1" applyAlignment="1" applyProtection="1">
      <alignment horizontal="center"/>
    </xf>
    <xf numFmtId="168" fontId="2" fillId="39" borderId="41" xfId="386" applyNumberFormat="1" applyFont="1" applyFill="1" applyBorder="1" applyAlignment="1" applyProtection="1">
      <alignment horizontal="center"/>
      <protection locked="0"/>
    </xf>
    <xf numFmtId="168" fontId="2" fillId="21" borderId="41" xfId="386" quotePrefix="1" applyNumberFormat="1" applyFont="1" applyFill="1" applyBorder="1" applyAlignment="1" applyProtection="1">
      <alignment horizontal="center"/>
    </xf>
    <xf numFmtId="0" fontId="155" fillId="21" borderId="10" xfId="408" applyFont="1" applyFill="1" applyBorder="1" applyAlignment="1" applyProtection="1">
      <alignment horizontal="left"/>
    </xf>
    <xf numFmtId="168" fontId="2" fillId="21" borderId="59" xfId="386" applyNumberFormat="1" applyFont="1" applyFill="1" applyBorder="1" applyProtection="1"/>
    <xf numFmtId="168" fontId="2" fillId="21" borderId="29" xfId="386" applyNumberFormat="1" applyFont="1" applyFill="1" applyBorder="1" applyProtection="1"/>
    <xf numFmtId="0" fontId="155" fillId="21" borderId="62" xfId="408" applyFont="1" applyFill="1" applyBorder="1" applyAlignment="1" applyProtection="1">
      <alignment horizontal="left"/>
    </xf>
    <xf numFmtId="168" fontId="2" fillId="39" borderId="63" xfId="386" applyNumberFormat="1" applyFont="1" applyFill="1" applyBorder="1" applyProtection="1">
      <protection locked="0"/>
    </xf>
    <xf numFmtId="164" fontId="2" fillId="41" borderId="0" xfId="0" applyFont="1" applyFill="1" applyProtection="1"/>
    <xf numFmtId="168" fontId="2" fillId="39" borderId="30" xfId="386" applyNumberFormat="1" applyFont="1" applyFill="1" applyBorder="1" applyProtection="1">
      <protection locked="0"/>
    </xf>
    <xf numFmtId="168" fontId="2" fillId="21" borderId="30" xfId="386" applyNumberFormat="1" applyFont="1" applyFill="1" applyBorder="1" applyProtection="1"/>
    <xf numFmtId="43" fontId="146" fillId="0" borderId="0" xfId="161" applyFont="1" applyFill="1" applyProtection="1"/>
    <xf numFmtId="0" fontId="155" fillId="21" borderId="34" xfId="409" applyNumberFormat="1" applyFont="1" applyFill="1" applyBorder="1" applyProtection="1">
      <alignment horizontal="left" vertical="center" indent="1"/>
    </xf>
    <xf numFmtId="0" fontId="2" fillId="21" borderId="0" xfId="386" applyFont="1" applyFill="1" applyAlignment="1" applyProtection="1">
      <alignment horizontal="right"/>
    </xf>
    <xf numFmtId="168" fontId="146" fillId="0" borderId="0" xfId="161" applyNumberFormat="1" applyFont="1" applyFill="1" applyBorder="1" applyProtection="1"/>
    <xf numFmtId="168" fontId="2" fillId="21" borderId="0" xfId="386" applyNumberFormat="1" applyFont="1" applyFill="1" applyBorder="1" applyProtection="1"/>
    <xf numFmtId="168" fontId="146" fillId="21" borderId="0" xfId="161" applyNumberFormat="1" applyFont="1" applyFill="1" applyBorder="1" applyProtection="1"/>
    <xf numFmtId="164" fontId="146" fillId="21" borderId="0" xfId="0" applyFont="1" applyFill="1" applyAlignment="1" applyProtection="1">
      <alignment horizontal="right"/>
    </xf>
    <xf numFmtId="164" fontId="146" fillId="0" borderId="0" xfId="0" applyFont="1" applyFill="1" applyAlignment="1" applyProtection="1">
      <alignment horizontal="right"/>
    </xf>
    <xf numFmtId="164" fontId="146" fillId="0" borderId="0" xfId="0" applyFont="1" applyFill="1" applyBorder="1" applyProtection="1"/>
    <xf numFmtId="168" fontId="33" fillId="21" borderId="41" xfId="386" applyNumberFormat="1" applyFont="1" applyFill="1" applyBorder="1" applyProtection="1"/>
    <xf numFmtId="164" fontId="30" fillId="21" borderId="0" xfId="0" applyFont="1" applyFill="1" applyAlignment="1" applyProtection="1">
      <alignment horizontal="center"/>
    </xf>
    <xf numFmtId="0" fontId="31" fillId="39" borderId="62" xfId="410" applyNumberFormat="1" applyFont="1" applyFill="1" applyBorder="1" applyAlignment="1" applyProtection="1">
      <alignment horizontal="center"/>
      <protection locked="0"/>
    </xf>
    <xf numFmtId="168" fontId="35" fillId="21" borderId="0" xfId="8" applyNumberFormat="1" applyFont="1" applyFill="1"/>
    <xf numFmtId="3" fontId="28" fillId="39" borderId="22" xfId="61" quotePrefix="1" applyNumberFormat="1" applyFont="1" applyFill="1" applyBorder="1" applyAlignment="1" applyProtection="1">
      <alignment horizontal="center"/>
      <protection locked="0"/>
    </xf>
    <xf numFmtId="43" fontId="95" fillId="39" borderId="0" xfId="161" applyFont="1" applyFill="1" applyProtection="1">
      <protection locked="0"/>
    </xf>
    <xf numFmtId="168" fontId="45" fillId="44" borderId="0" xfId="8" applyNumberFormat="1" applyFont="1" applyFill="1"/>
    <xf numFmtId="43" fontId="30" fillId="21" borderId="0" xfId="161" applyFont="1" applyFill="1" applyBorder="1" applyAlignment="1" applyProtection="1">
      <alignment horizontal="right"/>
      <protection locked="0"/>
    </xf>
    <xf numFmtId="43" fontId="179" fillId="21" borderId="0" xfId="161" applyFont="1" applyFill="1" applyProtection="1"/>
    <xf numFmtId="164" fontId="180" fillId="21" borderId="0" xfId="0" quotePrefix="1" applyFont="1" applyFill="1" applyBorder="1"/>
    <xf numFmtId="164" fontId="125" fillId="0" borderId="0" xfId="0" applyFont="1" applyAlignment="1" applyProtection="1">
      <alignment horizontal="center"/>
    </xf>
    <xf numFmtId="164" fontId="172" fillId="0" borderId="0" xfId="0" applyFont="1" applyProtection="1"/>
    <xf numFmtId="43" fontId="172" fillId="0" borderId="0" xfId="161" applyFont="1" applyProtection="1"/>
    <xf numFmtId="164" fontId="124" fillId="0" borderId="0" xfId="0" applyFont="1" applyProtection="1"/>
    <xf numFmtId="0" fontId="172" fillId="0" borderId="0" xfId="399" applyFont="1" applyAlignment="1" applyProtection="1"/>
    <xf numFmtId="43" fontId="172" fillId="0" borderId="0" xfId="161" applyFont="1" applyAlignment="1" applyProtection="1"/>
    <xf numFmtId="168" fontId="172" fillId="0" borderId="0" xfId="410" applyNumberFormat="1" applyFont="1" applyProtection="1"/>
    <xf numFmtId="164" fontId="181" fillId="0" borderId="0" xfId="0" applyFont="1" applyAlignment="1" applyProtection="1">
      <alignment horizontal="center"/>
    </xf>
    <xf numFmtId="164" fontId="182" fillId="0" borderId="0" xfId="0" applyFont="1" applyProtection="1"/>
    <xf numFmtId="168" fontId="182" fillId="0" borderId="0" xfId="161" applyNumberFormat="1" applyFont="1" applyProtection="1"/>
    <xf numFmtId="168" fontId="181" fillId="0" borderId="0" xfId="161" applyNumberFormat="1" applyFont="1" applyProtection="1"/>
    <xf numFmtId="168" fontId="183" fillId="0" borderId="0" xfId="161" applyNumberFormat="1" applyFont="1" applyProtection="1"/>
    <xf numFmtId="164" fontId="183" fillId="0" borderId="0" xfId="0" applyFont="1" applyProtection="1"/>
    <xf numFmtId="168" fontId="182" fillId="0" borderId="0" xfId="9" applyNumberFormat="1" applyFont="1" applyAlignment="1" applyProtection="1"/>
    <xf numFmtId="3" fontId="182" fillId="0" borderId="0" xfId="399" applyNumberFormat="1" applyFont="1" applyAlignment="1" applyProtection="1"/>
    <xf numFmtId="164" fontId="172" fillId="0" borderId="0" xfId="0" applyFont="1" applyAlignment="1" applyProtection="1">
      <alignment horizontal="center"/>
    </xf>
    <xf numFmtId="164" fontId="182" fillId="0" borderId="0" xfId="0" applyFont="1" applyAlignment="1" applyProtection="1">
      <alignment horizontal="center"/>
    </xf>
    <xf numFmtId="168" fontId="184" fillId="0" borderId="0" xfId="161" applyNumberFormat="1" applyFont="1" applyProtection="1"/>
    <xf numFmtId="168" fontId="177" fillId="0" borderId="0" xfId="161" applyNumberFormat="1" applyFont="1" applyProtection="1"/>
    <xf numFmtId="168" fontId="185" fillId="0" borderId="0" xfId="161" applyNumberFormat="1" applyFont="1" applyProtection="1"/>
    <xf numFmtId="168" fontId="178" fillId="0" borderId="0" xfId="161" applyNumberFormat="1" applyFont="1" applyProtection="1"/>
    <xf numFmtId="168" fontId="177" fillId="0" borderId="0" xfId="161" applyNumberFormat="1" applyFont="1" applyAlignment="1" applyProtection="1">
      <alignment horizontal="center"/>
    </xf>
    <xf numFmtId="168" fontId="177" fillId="0" borderId="0" xfId="161" applyNumberFormat="1" applyFont="1" applyAlignment="1" applyProtection="1"/>
    <xf numFmtId="168" fontId="177" fillId="0" borderId="0" xfId="161" applyNumberFormat="1" applyFont="1" applyAlignment="1" applyProtection="1">
      <alignment wrapText="1"/>
    </xf>
    <xf numFmtId="168" fontId="186" fillId="0" borderId="0" xfId="161" applyNumberFormat="1" applyFont="1" applyAlignment="1" applyProtection="1">
      <alignment horizontal="center"/>
    </xf>
    <xf numFmtId="168" fontId="186" fillId="0" borderId="0" xfId="161" applyNumberFormat="1" applyFont="1" applyProtection="1"/>
    <xf numFmtId="168" fontId="187" fillId="0" borderId="0" xfId="161" applyNumberFormat="1" applyFont="1" applyProtection="1"/>
    <xf numFmtId="168" fontId="186" fillId="0" borderId="0" xfId="161" applyNumberFormat="1" applyFont="1" applyAlignment="1" applyProtection="1"/>
    <xf numFmtId="164" fontId="0" fillId="0" borderId="0" xfId="0"/>
    <xf numFmtId="168" fontId="28" fillId="39" borderId="0" xfId="410" applyNumberFormat="1" applyFont="1" applyFill="1" applyBorder="1" applyProtection="1"/>
    <xf numFmtId="0" fontId="28" fillId="39" borderId="0" xfId="519" applyFont="1" applyFill="1" applyBorder="1" applyProtection="1"/>
    <xf numFmtId="0" fontId="30" fillId="39" borderId="0" xfId="519" applyFont="1" applyFill="1" applyBorder="1" applyAlignment="1" applyProtection="1">
      <alignment horizontal="center"/>
    </xf>
    <xf numFmtId="164" fontId="112" fillId="0" borderId="0" xfId="0" applyFont="1" applyAlignment="1">
      <alignment horizontal="center"/>
    </xf>
    <xf numFmtId="164" fontId="21" fillId="0" borderId="0" xfId="0" applyFont="1" applyAlignment="1">
      <alignment horizontal="center"/>
    </xf>
    <xf numFmtId="168" fontId="21" fillId="0" borderId="0" xfId="410" applyNumberFormat="1" applyFont="1" applyProtection="1"/>
    <xf numFmtId="168" fontId="28" fillId="0" borderId="0" xfId="410" applyNumberFormat="1" applyFont="1" applyProtection="1"/>
    <xf numFmtId="168" fontId="35" fillId="0" borderId="68" xfId="410" applyNumberFormat="1" applyFont="1" applyFill="1" applyBorder="1"/>
    <xf numFmtId="170" fontId="28" fillId="21" borderId="0" xfId="147" applyNumberFormat="1" applyFont="1" applyFill="1" applyBorder="1"/>
    <xf numFmtId="170" fontId="49" fillId="21" borderId="0" xfId="147" applyNumberFormat="1" applyFont="1" applyFill="1" applyBorder="1"/>
    <xf numFmtId="164" fontId="28" fillId="0" borderId="0" xfId="0" applyNumberFormat="1" applyFont="1" applyFill="1" applyProtection="1"/>
    <xf numFmtId="164" fontId="28" fillId="21" borderId="0" xfId="0" quotePrefix="1" applyNumberFormat="1" applyFont="1" applyFill="1" applyProtection="1"/>
    <xf numFmtId="164" fontId="28" fillId="21" borderId="0" xfId="0" applyNumberFormat="1" applyFont="1" applyFill="1" applyAlignment="1" applyProtection="1">
      <alignment horizontal="left"/>
    </xf>
    <xf numFmtId="43" fontId="95" fillId="0" borderId="16" xfId="161" applyFont="1" applyFill="1" applyBorder="1" applyProtection="1"/>
    <xf numFmtId="164" fontId="35" fillId="21" borderId="37" xfId="0" applyFont="1" applyFill="1" applyBorder="1" applyAlignment="1"/>
    <xf numFmtId="0" fontId="28" fillId="0" borderId="0" xfId="420" applyFont="1" applyFill="1" applyBorder="1" applyAlignment="1">
      <alignment horizontal="center"/>
    </xf>
    <xf numFmtId="0" fontId="28" fillId="0" borderId="0" xfId="519" applyFont="1" applyFill="1" applyBorder="1" applyAlignment="1" applyProtection="1">
      <alignment horizontal="center"/>
    </xf>
    <xf numFmtId="0" fontId="147" fillId="0" borderId="0" xfId="363" applyFont="1" applyFill="1" applyAlignment="1">
      <alignment horizontal="center"/>
    </xf>
    <xf numFmtId="0" fontId="58" fillId="21" borderId="0" xfId="363" applyFont="1" applyFill="1" applyBorder="1"/>
    <xf numFmtId="41" fontId="168" fillId="21" borderId="0" xfId="363" applyNumberFormat="1" applyFont="1" applyFill="1" applyBorder="1"/>
    <xf numFmtId="0" fontId="58" fillId="21" borderId="0" xfId="162" applyFont="1" applyFill="1" applyBorder="1"/>
    <xf numFmtId="0" fontId="30" fillId="0" borderId="0" xfId="513" applyFont="1" applyFill="1"/>
    <xf numFmtId="164" fontId="22" fillId="21" borderId="0" xfId="0" applyNumberFormat="1" applyFont="1" applyFill="1" applyBorder="1" applyAlignment="1" applyProtection="1">
      <alignment horizontal="center"/>
    </xf>
    <xf numFmtId="164" fontId="22" fillId="0" borderId="0" xfId="0" applyNumberFormat="1" applyFont="1" applyAlignment="1" applyProtection="1">
      <alignment horizontal="center"/>
    </xf>
    <xf numFmtId="164" fontId="22" fillId="39" borderId="0" xfId="0" applyNumberFormat="1" applyFont="1" applyFill="1" applyAlignment="1" applyProtection="1">
      <alignment horizontal="center"/>
      <protection locked="0"/>
    </xf>
    <xf numFmtId="164" fontId="22" fillId="0" borderId="0" xfId="0" applyNumberFormat="1" applyFont="1" applyBorder="1" applyAlignment="1" applyProtection="1">
      <alignment horizontal="center"/>
    </xf>
    <xf numFmtId="164" fontId="28" fillId="0" borderId="0" xfId="0" applyFont="1" applyAlignment="1" applyProtection="1">
      <alignment horizontal="left" wrapText="1"/>
    </xf>
    <xf numFmtId="164" fontId="19" fillId="21" borderId="0" xfId="0" applyNumberFormat="1" applyFont="1" applyFill="1" applyAlignment="1" applyProtection="1">
      <alignment horizontal="center"/>
    </xf>
    <xf numFmtId="164" fontId="19" fillId="39" borderId="0" xfId="0" applyNumberFormat="1" applyFont="1" applyFill="1" applyAlignment="1" applyProtection="1">
      <alignment horizontal="center"/>
      <protection locked="0"/>
    </xf>
    <xf numFmtId="164" fontId="19" fillId="21" borderId="0" xfId="0" applyNumberFormat="1" applyFont="1" applyFill="1" applyBorder="1" applyAlignment="1" applyProtection="1">
      <alignment horizontal="center"/>
    </xf>
    <xf numFmtId="164" fontId="35" fillId="21" borderId="22" xfId="0" applyFont="1" applyFill="1" applyBorder="1" applyAlignment="1">
      <alignment horizontal="center" wrapText="1"/>
    </xf>
    <xf numFmtId="164" fontId="30" fillId="39" borderId="0" xfId="0" applyFont="1" applyFill="1" applyAlignment="1" applyProtection="1">
      <alignment horizontal="center"/>
      <protection locked="0"/>
    </xf>
    <xf numFmtId="164" fontId="56" fillId="39" borderId="54" xfId="0" applyFont="1" applyFill="1" applyBorder="1" applyAlignment="1" applyProtection="1">
      <alignment horizontal="center"/>
      <protection locked="0"/>
    </xf>
    <xf numFmtId="164" fontId="56" fillId="39" borderId="53" xfId="0" applyFont="1" applyFill="1" applyBorder="1" applyAlignment="1" applyProtection="1">
      <alignment horizontal="center"/>
      <protection locked="0"/>
    </xf>
    <xf numFmtId="164" fontId="56" fillId="39" borderId="55" xfId="0" applyFont="1" applyFill="1" applyBorder="1" applyAlignment="1" applyProtection="1">
      <alignment horizontal="center"/>
      <protection locked="0"/>
    </xf>
    <xf numFmtId="164" fontId="30" fillId="21" borderId="0" xfId="0" applyFont="1" applyFill="1" applyAlignment="1">
      <alignment horizontal="center"/>
    </xf>
    <xf numFmtId="164" fontId="35" fillId="21" borderId="22" xfId="0" applyFont="1" applyFill="1" applyBorder="1" applyAlignment="1">
      <alignment horizontal="center"/>
    </xf>
    <xf numFmtId="164" fontId="52" fillId="21" borderId="0" xfId="0" applyFont="1" applyFill="1" applyAlignment="1">
      <alignment horizontal="center"/>
    </xf>
    <xf numFmtId="164" fontId="22" fillId="21" borderId="0" xfId="0" applyNumberFormat="1" applyFont="1" applyFill="1" applyAlignment="1" applyProtection="1">
      <alignment horizontal="center"/>
    </xf>
    <xf numFmtId="164" fontId="22" fillId="0" borderId="0" xfId="0" applyNumberFormat="1" applyFont="1" applyFill="1" applyAlignment="1" applyProtection="1">
      <alignment horizontal="center"/>
    </xf>
    <xf numFmtId="175" fontId="30" fillId="0" borderId="0" xfId="389" applyFont="1" applyFill="1" applyBorder="1" applyAlignment="1" applyProtection="1">
      <alignment horizontal="center"/>
    </xf>
    <xf numFmtId="0" fontId="30" fillId="0" borderId="0" xfId="389" applyNumberFormat="1" applyFont="1" applyFill="1" applyBorder="1" applyAlignment="1" applyProtection="1">
      <alignment horizontal="center"/>
    </xf>
    <xf numFmtId="0" fontId="96" fillId="0" borderId="0" xfId="363" applyNumberFormat="1" applyFont="1" applyFill="1" applyAlignment="1" applyProtection="1">
      <alignment horizontal="center"/>
    </xf>
    <xf numFmtId="0" fontId="30" fillId="39" borderId="0" xfId="389" applyNumberFormat="1" applyFont="1" applyFill="1" applyBorder="1" applyAlignment="1" applyProtection="1">
      <alignment horizontal="center"/>
      <protection locked="0"/>
    </xf>
    <xf numFmtId="175" fontId="35" fillId="0" borderId="0" xfId="389" applyFont="1" applyFill="1" applyBorder="1" applyAlignment="1" applyProtection="1">
      <alignment horizontal="left"/>
    </xf>
    <xf numFmtId="175" fontId="35" fillId="0" borderId="0" xfId="389" applyFont="1" applyFill="1" applyBorder="1" applyAlignment="1" applyProtection="1">
      <alignment horizontal="left" vertical="top" wrapText="1"/>
    </xf>
    <xf numFmtId="175" fontId="35" fillId="0" borderId="0" xfId="389" applyFont="1" applyFill="1" applyBorder="1" applyAlignment="1" applyProtection="1">
      <alignment horizontal="left" vertical="center" wrapText="1"/>
    </xf>
    <xf numFmtId="175" fontId="88" fillId="0" borderId="0" xfId="389" applyFont="1" applyFill="1" applyBorder="1" applyAlignment="1" applyProtection="1">
      <alignment horizontal="left"/>
    </xf>
    <xf numFmtId="175" fontId="88" fillId="0" borderId="0" xfId="389" applyFont="1" applyFill="1" applyBorder="1" applyAlignment="1" applyProtection="1">
      <alignment horizontal="left" vertical="top" wrapText="1"/>
    </xf>
    <xf numFmtId="175" fontId="88" fillId="0" borderId="0" xfId="389" applyFont="1" applyFill="1" applyBorder="1" applyAlignment="1" applyProtection="1">
      <alignment horizontal="left" wrapText="1"/>
    </xf>
    <xf numFmtId="3" fontId="30" fillId="0" borderId="0" xfId="389" applyNumberFormat="1" applyFont="1" applyFill="1" applyBorder="1" applyAlignment="1" applyProtection="1">
      <alignment horizontal="center"/>
    </xf>
    <xf numFmtId="0" fontId="30" fillId="0" borderId="0" xfId="394" applyNumberFormat="1" applyFont="1" applyFill="1" applyAlignment="1" applyProtection="1">
      <alignment horizontal="center"/>
    </xf>
    <xf numFmtId="175" fontId="30" fillId="39" borderId="0" xfId="389" applyFont="1" applyFill="1" applyAlignment="1" applyProtection="1">
      <alignment horizontal="center"/>
      <protection locked="0"/>
    </xf>
    <xf numFmtId="175" fontId="85" fillId="0" borderId="0" xfId="389" applyFont="1" applyAlignment="1" applyProtection="1">
      <alignment horizontal="left" vertical="top" wrapText="1"/>
    </xf>
    <xf numFmtId="175" fontId="35" fillId="39" borderId="12" xfId="389" applyFont="1" applyFill="1" applyBorder="1" applyAlignment="1" applyProtection="1">
      <alignment horizontal="center"/>
    </xf>
    <xf numFmtId="175" fontId="35" fillId="39" borderId="0" xfId="389" applyFont="1" applyFill="1" applyBorder="1" applyAlignment="1" applyProtection="1">
      <alignment horizontal="center"/>
    </xf>
    <xf numFmtId="175" fontId="35" fillId="39" borderId="13" xfId="389" applyFont="1" applyFill="1" applyBorder="1" applyAlignment="1" applyProtection="1">
      <alignment horizontal="center"/>
    </xf>
    <xf numFmtId="175" fontId="35" fillId="39" borderId="10" xfId="389" applyFont="1" applyFill="1" applyBorder="1" applyAlignment="1" applyProtection="1">
      <alignment horizontal="center"/>
    </xf>
    <xf numFmtId="175" fontId="35" fillId="39" borderId="22" xfId="389" applyFont="1" applyFill="1" applyBorder="1" applyAlignment="1" applyProtection="1">
      <alignment horizontal="center"/>
    </xf>
    <xf numFmtId="175" fontId="35" fillId="39" borderId="11" xfId="389" applyFont="1" applyFill="1" applyBorder="1" applyAlignment="1" applyProtection="1">
      <alignment horizontal="center"/>
    </xf>
    <xf numFmtId="175" fontId="35" fillId="0" borderId="0" xfId="389" applyFont="1" applyFill="1" applyAlignment="1" applyProtection="1">
      <alignment horizontal="left" vertical="top" wrapText="1"/>
    </xf>
    <xf numFmtId="175" fontId="35" fillId="0" borderId="36" xfId="389" applyFont="1" applyBorder="1" applyAlignment="1" applyProtection="1">
      <alignment horizontal="center"/>
    </xf>
    <xf numFmtId="175" fontId="35" fillId="0" borderId="37" xfId="389" applyFont="1" applyBorder="1" applyAlignment="1" applyProtection="1">
      <alignment horizontal="center"/>
    </xf>
    <xf numFmtId="175" fontId="35" fillId="0" borderId="38" xfId="389" applyFont="1" applyBorder="1" applyAlignment="1" applyProtection="1">
      <alignment horizontal="center"/>
    </xf>
    <xf numFmtId="175" fontId="35" fillId="0" borderId="12" xfId="389" applyFont="1" applyBorder="1" applyAlignment="1" applyProtection="1">
      <alignment horizontal="center"/>
    </xf>
    <xf numFmtId="175" fontId="35" fillId="0" borderId="0" xfId="389" applyFont="1" applyBorder="1" applyAlignment="1" applyProtection="1">
      <alignment horizontal="center"/>
    </xf>
    <xf numFmtId="175" fontId="35" fillId="0" borderId="13" xfId="389" applyFont="1" applyBorder="1" applyAlignment="1" applyProtection="1">
      <alignment horizontal="center"/>
    </xf>
    <xf numFmtId="43" fontId="35" fillId="39" borderId="12" xfId="9" applyFont="1" applyFill="1" applyBorder="1" applyAlignment="1" applyProtection="1">
      <alignment horizontal="center"/>
    </xf>
    <xf numFmtId="43" fontId="35" fillId="39" borderId="0" xfId="9" applyFont="1" applyFill="1" applyBorder="1" applyAlignment="1" applyProtection="1">
      <alignment horizontal="center"/>
    </xf>
    <xf numFmtId="43" fontId="35" fillId="39" borderId="13" xfId="9" applyFont="1" applyFill="1" applyBorder="1" applyAlignment="1" applyProtection="1">
      <alignment horizontal="center"/>
    </xf>
    <xf numFmtId="175" fontId="30" fillId="39" borderId="0" xfId="389" applyFont="1" applyFill="1" applyAlignment="1" applyProtection="1">
      <alignment horizontal="center"/>
    </xf>
    <xf numFmtId="164" fontId="35" fillId="0" borderId="0" xfId="0" applyFont="1" applyFill="1" applyAlignment="1" applyProtection="1">
      <alignment horizontal="left" vertical="top" wrapText="1"/>
    </xf>
    <xf numFmtId="164" fontId="156" fillId="21" borderId="0" xfId="0" applyFont="1" applyFill="1" applyAlignment="1" applyProtection="1">
      <alignment horizontal="center"/>
    </xf>
    <xf numFmtId="164" fontId="156" fillId="21" borderId="0" xfId="0" applyNumberFormat="1" applyFont="1" applyFill="1" applyAlignment="1" applyProtection="1">
      <alignment horizontal="center"/>
    </xf>
    <xf numFmtId="164" fontId="156" fillId="39" borderId="0" xfId="0" applyNumberFormat="1" applyFont="1" applyFill="1" applyAlignment="1" applyProtection="1">
      <alignment horizontal="center"/>
      <protection locked="0"/>
    </xf>
    <xf numFmtId="164" fontId="156" fillId="21" borderId="0" xfId="0" applyNumberFormat="1" applyFont="1" applyFill="1" applyBorder="1" applyAlignment="1" applyProtection="1">
      <alignment horizontal="center"/>
    </xf>
    <xf numFmtId="164" fontId="19" fillId="21" borderId="0" xfId="193" applyNumberFormat="1" applyFont="1" applyFill="1" applyAlignment="1" applyProtection="1">
      <alignment horizontal="center"/>
    </xf>
    <xf numFmtId="164" fontId="19" fillId="39" borderId="0" xfId="193" applyNumberFormat="1" applyFont="1" applyFill="1" applyAlignment="1" applyProtection="1">
      <alignment horizontal="center"/>
      <protection locked="0"/>
    </xf>
    <xf numFmtId="164" fontId="19" fillId="21" borderId="0" xfId="193" applyNumberFormat="1" applyFont="1" applyFill="1" applyBorder="1" applyAlignment="1" applyProtection="1">
      <alignment horizontal="center"/>
    </xf>
    <xf numFmtId="164" fontId="19" fillId="39" borderId="0" xfId="0" applyNumberFormat="1" applyFont="1" applyFill="1" applyBorder="1" applyAlignment="1" applyProtection="1">
      <alignment horizontal="center"/>
      <protection locked="0"/>
    </xf>
    <xf numFmtId="164" fontId="19" fillId="0" borderId="0" xfId="0" applyNumberFormat="1" applyFont="1" applyAlignment="1" applyProtection="1">
      <alignment horizontal="center"/>
    </xf>
    <xf numFmtId="164" fontId="19" fillId="0" borderId="0" xfId="0" applyNumberFormat="1" applyFont="1" applyBorder="1" applyAlignment="1" applyProtection="1">
      <alignment horizontal="center"/>
    </xf>
    <xf numFmtId="0" fontId="35" fillId="0" borderId="0" xfId="8" applyFont="1" applyBorder="1" applyAlignment="1" applyProtection="1">
      <alignment horizontal="center"/>
    </xf>
    <xf numFmtId="164" fontId="69" fillId="0" borderId="0" xfId="0" applyNumberFormat="1" applyFont="1" applyFill="1" applyBorder="1" applyAlignment="1" applyProtection="1">
      <alignment horizontal="center"/>
    </xf>
    <xf numFmtId="43" fontId="30" fillId="39" borderId="34" xfId="410" quotePrefix="1" applyFont="1" applyFill="1" applyBorder="1" applyAlignment="1" applyProtection="1">
      <alignment horizontal="center"/>
      <protection locked="0"/>
    </xf>
    <xf numFmtId="43" fontId="30" fillId="39" borderId="26" xfId="410" quotePrefix="1" applyFont="1" applyFill="1" applyBorder="1" applyAlignment="1" applyProtection="1">
      <alignment horizontal="center"/>
      <protection locked="0"/>
    </xf>
    <xf numFmtId="43" fontId="30" fillId="39" borderId="27" xfId="410" quotePrefix="1" applyFont="1" applyFill="1" applyBorder="1" applyAlignment="1" applyProtection="1">
      <alignment horizontal="center"/>
      <protection locked="0"/>
    </xf>
    <xf numFmtId="164" fontId="19" fillId="0" borderId="0" xfId="0" applyNumberFormat="1" applyFont="1" applyFill="1" applyAlignment="1" applyProtection="1">
      <alignment horizontal="center"/>
    </xf>
    <xf numFmtId="164" fontId="19" fillId="0" borderId="0" xfId="0" applyNumberFormat="1" applyFont="1" applyFill="1" applyBorder="1" applyAlignment="1" applyProtection="1">
      <alignment horizontal="center"/>
    </xf>
    <xf numFmtId="49" fontId="147" fillId="39" borderId="54" xfId="5" applyNumberFormat="1" applyFont="1" applyFill="1" applyBorder="1" applyAlignment="1" applyProtection="1">
      <alignment horizontal="center"/>
      <protection locked="0"/>
    </xf>
    <xf numFmtId="49" fontId="147" fillId="39" borderId="53" xfId="5" applyNumberFormat="1" applyFont="1" applyFill="1" applyBorder="1" applyAlignment="1" applyProtection="1">
      <alignment horizontal="center"/>
      <protection locked="0"/>
    </xf>
    <xf numFmtId="49" fontId="147" fillId="39" borderId="55" xfId="5" applyNumberFormat="1" applyFont="1" applyFill="1" applyBorder="1" applyAlignment="1" applyProtection="1">
      <alignment horizontal="center"/>
      <protection locked="0"/>
    </xf>
    <xf numFmtId="164" fontId="156" fillId="0" borderId="0" xfId="0" applyNumberFormat="1" applyFont="1" applyFill="1" applyAlignment="1" applyProtection="1">
      <alignment horizontal="center"/>
    </xf>
    <xf numFmtId="164" fontId="156" fillId="0" borderId="0" xfId="0" applyNumberFormat="1" applyFont="1" applyFill="1" applyBorder="1" applyAlignment="1" applyProtection="1">
      <alignment horizontal="center"/>
    </xf>
    <xf numFmtId="0" fontId="30" fillId="39" borderId="62" xfId="8" applyFont="1" applyFill="1" applyBorder="1" applyAlignment="1" applyProtection="1">
      <alignment horizontal="center"/>
      <protection locked="0"/>
    </xf>
    <xf numFmtId="0" fontId="30" fillId="39" borderId="65" xfId="8" applyFont="1" applyFill="1" applyBorder="1" applyAlignment="1" applyProtection="1">
      <alignment horizontal="center"/>
      <protection locked="0"/>
    </xf>
    <xf numFmtId="0" fontId="30" fillId="39" borderId="66" xfId="8" applyFont="1" applyFill="1" applyBorder="1" applyAlignment="1" applyProtection="1">
      <alignment horizontal="center"/>
      <protection locked="0"/>
    </xf>
    <xf numFmtId="0" fontId="30" fillId="39" borderId="3" xfId="61" applyFont="1" applyFill="1" applyBorder="1" applyAlignment="1" applyProtection="1">
      <alignment horizontal="center"/>
      <protection locked="0"/>
    </xf>
    <xf numFmtId="0" fontId="30" fillId="39" borderId="54" xfId="8" applyFont="1" applyFill="1" applyBorder="1" applyAlignment="1" applyProtection="1">
      <alignment horizontal="center"/>
      <protection locked="0"/>
    </xf>
    <xf numFmtId="0" fontId="30" fillId="39" borderId="53" xfId="8" applyFont="1" applyFill="1" applyBorder="1" applyAlignment="1" applyProtection="1">
      <alignment horizontal="center"/>
      <protection locked="0"/>
    </xf>
    <xf numFmtId="0" fontId="30" fillId="39" borderId="55" xfId="8" applyFont="1" applyFill="1" applyBorder="1" applyAlignment="1" applyProtection="1">
      <alignment horizontal="center"/>
      <protection locked="0"/>
    </xf>
    <xf numFmtId="164" fontId="48" fillId="21" borderId="0" xfId="0" applyNumberFormat="1" applyFont="1" applyFill="1" applyAlignment="1" applyProtection="1">
      <alignment horizontal="center"/>
    </xf>
    <xf numFmtId="164" fontId="48" fillId="39" borderId="0" xfId="0" applyNumberFormat="1" applyFont="1" applyFill="1" applyAlignment="1" applyProtection="1">
      <alignment horizontal="center"/>
      <protection locked="0"/>
    </xf>
    <xf numFmtId="164" fontId="48" fillId="21" borderId="0" xfId="0" applyNumberFormat="1" applyFont="1" applyFill="1" applyBorder="1" applyAlignment="1" applyProtection="1">
      <alignment horizontal="center"/>
    </xf>
    <xf numFmtId="0" fontId="30" fillId="21" borderId="51" xfId="192" applyFont="1" applyFill="1" applyBorder="1" applyAlignment="1">
      <alignment wrapText="1"/>
    </xf>
    <xf numFmtId="164" fontId="0" fillId="0" borderId="51" xfId="0" applyBorder="1" applyAlignment="1">
      <alignment wrapText="1"/>
    </xf>
    <xf numFmtId="164" fontId="0" fillId="0" borderId="0" xfId="0" applyAlignment="1">
      <alignment wrapText="1"/>
    </xf>
    <xf numFmtId="164" fontId="30" fillId="21" borderId="0" xfId="0" applyFont="1" applyFill="1" applyAlignment="1" applyProtection="1">
      <alignment horizontal="center"/>
    </xf>
    <xf numFmtId="0" fontId="35" fillId="21" borderId="51" xfId="6" quotePrefix="1" applyFont="1" applyFill="1" applyBorder="1" applyAlignment="1">
      <alignment horizontal="center"/>
    </xf>
    <xf numFmtId="0" fontId="35" fillId="21" borderId="51" xfId="6" applyFont="1" applyFill="1" applyBorder="1" applyAlignment="1">
      <alignment horizontal="center"/>
    </xf>
    <xf numFmtId="164" fontId="30" fillId="21" borderId="22" xfId="0" applyFont="1" applyFill="1" applyBorder="1" applyAlignment="1">
      <alignment horizontal="center"/>
    </xf>
    <xf numFmtId="164" fontId="101" fillId="21" borderId="0" xfId="0" applyNumberFormat="1" applyFont="1" applyFill="1" applyAlignment="1" applyProtection="1">
      <alignment horizontal="center" wrapText="1"/>
    </xf>
    <xf numFmtId="0" fontId="30" fillId="21" borderId="0" xfId="6" applyFont="1" applyFill="1" applyAlignment="1">
      <alignment horizontal="center"/>
    </xf>
    <xf numFmtId="0" fontId="96" fillId="21" borderId="0" xfId="6" applyFont="1" applyFill="1" applyAlignment="1">
      <alignment horizontal="center"/>
    </xf>
    <xf numFmtId="0" fontId="31" fillId="39" borderId="62" xfId="410" applyNumberFormat="1" applyFont="1" applyFill="1" applyBorder="1" applyAlignment="1" applyProtection="1">
      <alignment horizontal="center"/>
      <protection locked="0"/>
    </xf>
    <xf numFmtId="0" fontId="31" fillId="39" borderId="69" xfId="410" applyNumberFormat="1" applyFont="1" applyFill="1" applyBorder="1" applyAlignment="1" applyProtection="1">
      <alignment horizontal="center"/>
      <protection locked="0"/>
    </xf>
    <xf numFmtId="169" fontId="31" fillId="21" borderId="0" xfId="0" applyNumberFormat="1" applyFont="1" applyFill="1" applyAlignment="1">
      <alignment horizontal="center"/>
    </xf>
    <xf numFmtId="169" fontId="68" fillId="21" borderId="0" xfId="0" applyNumberFormat="1" applyFont="1" applyFill="1" applyAlignment="1">
      <alignment horizontal="center"/>
    </xf>
    <xf numFmtId="169" fontId="68" fillId="39" borderId="0" xfId="0" applyNumberFormat="1" applyFont="1" applyFill="1" applyAlignment="1" applyProtection="1">
      <alignment horizontal="center"/>
      <protection locked="0"/>
    </xf>
    <xf numFmtId="0" fontId="31" fillId="39" borderId="68" xfId="410" applyNumberFormat="1" applyFont="1" applyFill="1" applyBorder="1" applyAlignment="1" applyProtection="1">
      <alignment horizontal="center"/>
      <protection locked="0"/>
    </xf>
    <xf numFmtId="1" fontId="31" fillId="39" borderId="62" xfId="0" applyNumberFormat="1" applyFont="1" applyFill="1" applyBorder="1" applyAlignment="1" applyProtection="1">
      <alignment horizontal="center"/>
      <protection locked="0"/>
    </xf>
    <xf numFmtId="1" fontId="31" fillId="39" borderId="68" xfId="0" applyNumberFormat="1" applyFont="1" applyFill="1" applyBorder="1" applyAlignment="1" applyProtection="1">
      <alignment horizontal="center"/>
      <protection locked="0"/>
    </xf>
    <xf numFmtId="1" fontId="31" fillId="39" borderId="69" xfId="0" applyNumberFormat="1" applyFont="1" applyFill="1" applyBorder="1" applyAlignment="1" applyProtection="1">
      <alignment horizontal="center"/>
      <protection locked="0"/>
    </xf>
  </cellXfs>
  <cellStyles count="1109">
    <cellStyle name="Bottom bold border" xfId="514" xr:uid="{00000000-0005-0000-0000-000000000000}"/>
    <cellStyle name="Bottom single border" xfId="515" xr:uid="{00000000-0005-0000-0000-000001000000}"/>
    <cellStyle name="Bottom single border 2" xfId="1098" xr:uid="{2858ADFE-656D-43E5-B23F-D179D18B884F}"/>
    <cellStyle name="Comma" xfId="161" builtinId="3"/>
    <cellStyle name="Comma 10" xfId="383" xr:uid="{00000000-0005-0000-0000-000003000000}"/>
    <cellStyle name="Comma 10 2" xfId="829" xr:uid="{3801B394-2265-4A21-A639-A71E45923756}"/>
    <cellStyle name="Comma 11" xfId="385" xr:uid="{00000000-0005-0000-0000-000004000000}"/>
    <cellStyle name="Comma 11 2" xfId="831" xr:uid="{CF49E9AE-7B02-4FCD-8F48-942FD27E53EE}"/>
    <cellStyle name="Comma 12" xfId="388" xr:uid="{00000000-0005-0000-0000-000005000000}"/>
    <cellStyle name="Comma 12 13" xfId="948" xr:uid="{5A55BF41-107A-4339-8635-29CC4B1CF62B}"/>
    <cellStyle name="Comma 12 13 2" xfId="957" xr:uid="{D69E8FB1-E848-4B9D-B530-435BFAB9C53D}"/>
    <cellStyle name="Comma 12 2" xfId="834" xr:uid="{87FD9EC1-ACE5-4F34-95AC-89A77A85EBF9}"/>
    <cellStyle name="Comma 13" xfId="391" xr:uid="{00000000-0005-0000-0000-000006000000}"/>
    <cellStyle name="Comma 14" xfId="410" xr:uid="{00000000-0005-0000-0000-000007000000}"/>
    <cellStyle name="Comma 14 2" xfId="522" xr:uid="{00000000-0005-0000-0000-000008000000}"/>
    <cellStyle name="Comma 15" xfId="428" xr:uid="{00000000-0005-0000-0000-000009000000}"/>
    <cellStyle name="Comma 15 2" xfId="847" xr:uid="{C024FB95-5AB3-421F-984A-650E089490A2}"/>
    <cellStyle name="Comma 16" xfId="941" xr:uid="{064761A5-3EA1-438A-92AE-855BF7C2C541}"/>
    <cellStyle name="Comma 17" xfId="954" xr:uid="{6F619399-7CCB-4221-B756-3F7377403F80}"/>
    <cellStyle name="Comma 17 2" xfId="960" xr:uid="{1495D5F7-3B57-4B2F-A94E-726B7A8EBB4C}"/>
    <cellStyle name="Comma 2" xfId="1" xr:uid="{00000000-0005-0000-0000-00000A000000}"/>
    <cellStyle name="Comma 2 2" xfId="9" xr:uid="{00000000-0005-0000-0000-00000B000000}"/>
    <cellStyle name="Comma 2 2 2" xfId="11" xr:uid="{00000000-0005-0000-0000-00000C000000}"/>
    <cellStyle name="Comma 2 2 3" xfId="12" xr:uid="{00000000-0005-0000-0000-00000D000000}"/>
    <cellStyle name="Comma 2 2 4" xfId="13" xr:uid="{00000000-0005-0000-0000-00000E000000}"/>
    <cellStyle name="Comma 2 2 4 2" xfId="154" xr:uid="{00000000-0005-0000-0000-00000F000000}"/>
    <cellStyle name="Comma 2 2 5" xfId="429" xr:uid="{00000000-0005-0000-0000-000010000000}"/>
    <cellStyle name="Comma 2 2 5 2" xfId="848" xr:uid="{E0A04903-AB39-4B1F-A9A2-B7DDCA4EE157}"/>
    <cellStyle name="Comma 2 3" xfId="155" xr:uid="{00000000-0005-0000-0000-000011000000}"/>
    <cellStyle name="Comma 3" xfId="14" xr:uid="{00000000-0005-0000-0000-000012000000}"/>
    <cellStyle name="Comma 3 2" xfId="424" xr:uid="{00000000-0005-0000-0000-000013000000}"/>
    <cellStyle name="Comma 4" xfId="10" xr:uid="{00000000-0005-0000-0000-000014000000}"/>
    <cellStyle name="Comma 4 2" xfId="15" xr:uid="{00000000-0005-0000-0000-000015000000}"/>
    <cellStyle name="Comma 5" xfId="16" xr:uid="{00000000-0005-0000-0000-000016000000}"/>
    <cellStyle name="Comma 6" xfId="145" xr:uid="{00000000-0005-0000-0000-000017000000}"/>
    <cellStyle name="Comma 7" xfId="149" xr:uid="{00000000-0005-0000-0000-000018000000}"/>
    <cellStyle name="Comma 7 2" xfId="358" xr:uid="{00000000-0005-0000-0000-000019000000}"/>
    <cellStyle name="Comma 7 2 2" xfId="809" xr:uid="{2A07C276-AE29-4988-B173-39BB1033C5F3}"/>
    <cellStyle name="Comma 7 3" xfId="640" xr:uid="{EDA51CCF-3335-4E53-A931-3E6DE4CA54F6}"/>
    <cellStyle name="Comma 8" xfId="160" xr:uid="{00000000-0005-0000-0000-00001A000000}"/>
    <cellStyle name="Comma 8 2" xfId="365" xr:uid="{00000000-0005-0000-0000-00001B000000}"/>
    <cellStyle name="Comma 8 2 2" xfId="814" xr:uid="{AF582DAF-018B-4224-81D0-00F7AE17DAA1}"/>
    <cellStyle name="Comma 8 3" xfId="646" xr:uid="{4B3B0BFC-36D4-4589-B3E1-8F6BD361789F}"/>
    <cellStyle name="Comma 9" xfId="194" xr:uid="{00000000-0005-0000-0000-00001C000000}"/>
    <cellStyle name="Currency" xfId="147" builtinId="4"/>
    <cellStyle name="Currency 2" xfId="2" xr:uid="{00000000-0005-0000-0000-00001E000000}"/>
    <cellStyle name="Currency 2 2" xfId="245" xr:uid="{00000000-0005-0000-0000-00001F000000}"/>
    <cellStyle name="Currency 3" xfId="152" xr:uid="{00000000-0005-0000-0000-000020000000}"/>
    <cellStyle name="Currency 3 2" xfId="361" xr:uid="{00000000-0005-0000-0000-000021000000}"/>
    <cellStyle name="Currency 3 2 2" xfId="812" xr:uid="{B8A1D4C6-A9F6-4DB7-A3D1-71C5BAF48D2F}"/>
    <cellStyle name="Currency 3 3" xfId="397" xr:uid="{00000000-0005-0000-0000-000022000000}"/>
    <cellStyle name="Currency 3 4" xfId="643" xr:uid="{C4F1137E-9EEB-45E8-973D-F7884446F439}"/>
    <cellStyle name="Currency 4" xfId="163" xr:uid="{00000000-0005-0000-0000-000023000000}"/>
    <cellStyle name="Currency 4 2" xfId="364" xr:uid="{00000000-0005-0000-0000-000024000000}"/>
    <cellStyle name="Currency 5" xfId="411" xr:uid="{00000000-0005-0000-0000-000025000000}"/>
    <cellStyle name="Currency 6" xfId="943" xr:uid="{399AD03D-2BC5-451E-9ACA-CD92851E83B7}"/>
    <cellStyle name="Hyperlink" xfId="197" builtinId="8"/>
    <cellStyle name="No Border" xfId="516" xr:uid="{00000000-0005-0000-0000-000027000000}"/>
    <cellStyle name="Normal" xfId="0" builtinId="0"/>
    <cellStyle name="Normal 10" xfId="17" xr:uid="{00000000-0005-0000-0000-000029000000}"/>
    <cellStyle name="Normal 10 2" xfId="195" xr:uid="{00000000-0005-0000-0000-00002A000000}"/>
    <cellStyle name="Normal 10 2 2" xfId="237" xr:uid="{00000000-0005-0000-0000-00002B000000}"/>
    <cellStyle name="Normal 10 2 2 2" xfId="407" xr:uid="{00000000-0005-0000-0000-00002C000000}"/>
    <cellStyle name="Normal 10 2 2 3" xfId="408" xr:uid="{00000000-0005-0000-0000-00002D000000}"/>
    <cellStyle name="Normal 10 2 3" xfId="379" xr:uid="{00000000-0005-0000-0000-00002E000000}"/>
    <cellStyle name="Normal 10 2 3 2" xfId="827" xr:uid="{4E656097-638A-452D-84A3-7BD8B9E0DB8D}"/>
    <cellStyle name="Normal 10 2 4" xfId="660" xr:uid="{A422BC30-24EA-4533-B2F6-CE082AF42718}"/>
    <cellStyle name="Normal 10 3" xfId="233" xr:uid="{00000000-0005-0000-0000-00002F000000}"/>
    <cellStyle name="Normal 10 3 2" xfId="694" xr:uid="{96441DBF-484C-4D5B-9D09-D40AB934C030}"/>
    <cellStyle name="Normal 10 4" xfId="395" xr:uid="{00000000-0005-0000-0000-000030000000}"/>
    <cellStyle name="Normal 10 4 2" xfId="835" xr:uid="{99E74B51-7AC0-483E-A0A7-0829C9046D57}"/>
    <cellStyle name="Normal 10 5" xfId="430" xr:uid="{00000000-0005-0000-0000-000031000000}"/>
    <cellStyle name="Normal 10 5 2" xfId="849" xr:uid="{091098ED-712F-417A-80F2-78B6B1634A8C}"/>
    <cellStyle name="Normal 10 6" xfId="526" xr:uid="{1ED98AF4-94A8-494A-BE64-76C055871892}"/>
    <cellStyle name="Normal 100" xfId="18" xr:uid="{00000000-0005-0000-0000-000032000000}"/>
    <cellStyle name="Normal 100 2" xfId="247" xr:uid="{00000000-0005-0000-0000-000033000000}"/>
    <cellStyle name="Normal 100 2 2" xfId="699" xr:uid="{EC434309-A99F-45FB-82B5-735CD68AFA37}"/>
    <cellStyle name="Normal 100 3" xfId="431" xr:uid="{00000000-0005-0000-0000-000034000000}"/>
    <cellStyle name="Normal 100 3 2" xfId="850" xr:uid="{0B24A32F-B406-401C-B2F4-E4F2CF9755E3}"/>
    <cellStyle name="Normal 100 4" xfId="527" xr:uid="{92BBE18E-784A-46EF-B94C-F7C77ABEF37D}"/>
    <cellStyle name="Normal 101" xfId="19" xr:uid="{00000000-0005-0000-0000-000035000000}"/>
    <cellStyle name="Normal 101 2" xfId="248" xr:uid="{00000000-0005-0000-0000-000036000000}"/>
    <cellStyle name="Normal 101 2 2" xfId="700" xr:uid="{F75B6216-56EF-41C7-86A7-96AA4BD4B4EC}"/>
    <cellStyle name="Normal 101 3" xfId="432" xr:uid="{00000000-0005-0000-0000-000037000000}"/>
    <cellStyle name="Normal 101 3 2" xfId="851" xr:uid="{6448151F-C8FF-42E1-AFB4-5DECE7F859A0}"/>
    <cellStyle name="Normal 101 4" xfId="528" xr:uid="{04D48C75-9F91-49C1-B5FF-2B0021C6C6AE}"/>
    <cellStyle name="Normal 103" xfId="20" xr:uid="{00000000-0005-0000-0000-000038000000}"/>
    <cellStyle name="Normal 103 2" xfId="249" xr:uid="{00000000-0005-0000-0000-000039000000}"/>
    <cellStyle name="Normal 103 2 2" xfId="701" xr:uid="{73111DD3-C9D8-41B9-A5F3-20151FBEA408}"/>
    <cellStyle name="Normal 103 3" xfId="433" xr:uid="{00000000-0005-0000-0000-00003A000000}"/>
    <cellStyle name="Normal 103 3 2" xfId="852" xr:uid="{25AC06A2-7EAA-4754-8CCF-18DEB607DC67}"/>
    <cellStyle name="Normal 103 4" xfId="529" xr:uid="{28E648B0-4929-411F-8200-A9954700535C}"/>
    <cellStyle name="Normal 106" xfId="524" xr:uid="{458A476F-2D09-4B03-AC6C-D5E43AE09F61}"/>
    <cellStyle name="Normal 107" xfId="21" xr:uid="{00000000-0005-0000-0000-00003B000000}"/>
    <cellStyle name="Normal 107 2" xfId="250" xr:uid="{00000000-0005-0000-0000-00003C000000}"/>
    <cellStyle name="Normal 107 2 2" xfId="702" xr:uid="{62F6796F-AC08-488B-B868-2836E5CEF1F2}"/>
    <cellStyle name="Normal 107 3" xfId="434" xr:uid="{00000000-0005-0000-0000-00003D000000}"/>
    <cellStyle name="Normal 107 3 2" xfId="853" xr:uid="{75A4DACD-A1C0-49E4-8264-BFD7419572F1}"/>
    <cellStyle name="Normal 107 4" xfId="530" xr:uid="{4AFD121D-D777-4CCF-BA12-926D09AD4193}"/>
    <cellStyle name="Normal 108" xfId="22" xr:uid="{00000000-0005-0000-0000-00003E000000}"/>
    <cellStyle name="Normal 108 2" xfId="251" xr:uid="{00000000-0005-0000-0000-00003F000000}"/>
    <cellStyle name="Normal 108 2 2" xfId="703" xr:uid="{CC362F19-3D94-4A9A-925E-A6B13C26660F}"/>
    <cellStyle name="Normal 108 3" xfId="435" xr:uid="{00000000-0005-0000-0000-000040000000}"/>
    <cellStyle name="Normal 108 3 2" xfId="854" xr:uid="{244751FA-B3F2-4EC9-9CC7-77538798CDA6}"/>
    <cellStyle name="Normal 108 4" xfId="531" xr:uid="{4D397B07-7E03-42DB-9798-C1B590B9AEF9}"/>
    <cellStyle name="Normal 11" xfId="23" xr:uid="{00000000-0005-0000-0000-000041000000}"/>
    <cellStyle name="Normal 11 2" xfId="238" xr:uid="{00000000-0005-0000-0000-000042000000}"/>
    <cellStyle name="Normal 11 3" xfId="252" xr:uid="{00000000-0005-0000-0000-000043000000}"/>
    <cellStyle name="Normal 11 3 2" xfId="704" xr:uid="{324C442A-AA4C-4BF2-82D8-E1A62FC2130A}"/>
    <cellStyle name="Normal 11 4" xfId="436" xr:uid="{00000000-0005-0000-0000-000044000000}"/>
    <cellStyle name="Normal 11 4 2" xfId="855" xr:uid="{25323C9B-8D99-4AB3-A0CB-634927C36776}"/>
    <cellStyle name="Normal 11 5" xfId="532" xr:uid="{416B44B2-0088-48CC-A347-956039F06712}"/>
    <cellStyle name="Normal 110" xfId="24" xr:uid="{00000000-0005-0000-0000-000045000000}"/>
    <cellStyle name="Normal 110 2" xfId="253" xr:uid="{00000000-0005-0000-0000-000046000000}"/>
    <cellStyle name="Normal 110 2 2" xfId="705" xr:uid="{0D31DD6B-942B-4D97-9E9D-D1A89536F8D7}"/>
    <cellStyle name="Normal 110 3" xfId="437" xr:uid="{00000000-0005-0000-0000-000047000000}"/>
    <cellStyle name="Normal 110 3 2" xfId="856" xr:uid="{28A2C076-ED35-49A9-8C00-89D0DECB0AF7}"/>
    <cellStyle name="Normal 110 4" xfId="533" xr:uid="{35001D22-67EF-4A48-957C-5084D77FFAE2}"/>
    <cellStyle name="Normal 112" xfId="25" xr:uid="{00000000-0005-0000-0000-000048000000}"/>
    <cellStyle name="Normal 112 2" xfId="254" xr:uid="{00000000-0005-0000-0000-000049000000}"/>
    <cellStyle name="Normal 112 2 2" xfId="706" xr:uid="{C2FAEFCD-C402-42D4-95A2-FB46BCAEC347}"/>
    <cellStyle name="Normal 112 3" xfId="438" xr:uid="{00000000-0005-0000-0000-00004A000000}"/>
    <cellStyle name="Normal 112 3 2" xfId="857" xr:uid="{4F8C28C5-4E8A-4C0B-ADA1-8FEFEDA399E9}"/>
    <cellStyle name="Normal 112 4" xfId="534" xr:uid="{A9F98721-E423-4B3A-8949-9E5E6CBCEFF1}"/>
    <cellStyle name="Normal 114" xfId="26" xr:uid="{00000000-0005-0000-0000-00004B000000}"/>
    <cellStyle name="Normal 114 2" xfId="255" xr:uid="{00000000-0005-0000-0000-00004C000000}"/>
    <cellStyle name="Normal 114 2 2" xfId="707" xr:uid="{45498AFA-669F-4767-8D6F-6165832FFA26}"/>
    <cellStyle name="Normal 114 3" xfId="439" xr:uid="{00000000-0005-0000-0000-00004D000000}"/>
    <cellStyle name="Normal 114 3 2" xfId="858" xr:uid="{0902E374-C0B7-4B62-A6D2-6A6F6280ACA6}"/>
    <cellStyle name="Normal 114 4" xfId="535" xr:uid="{D8CC5018-EB40-4888-AEEA-1A638265201B}"/>
    <cellStyle name="Normal 117" xfId="27" xr:uid="{00000000-0005-0000-0000-00004E000000}"/>
    <cellStyle name="Normal 117 2" xfId="256" xr:uid="{00000000-0005-0000-0000-00004F000000}"/>
    <cellStyle name="Normal 117 2 2" xfId="708" xr:uid="{C3E08F94-81FA-44E5-802A-135B69DC34BB}"/>
    <cellStyle name="Normal 117 3" xfId="440" xr:uid="{00000000-0005-0000-0000-000050000000}"/>
    <cellStyle name="Normal 117 3 2" xfId="859" xr:uid="{083C9F4B-FC05-4643-93FD-34B36B67D2E6}"/>
    <cellStyle name="Normal 117 4" xfId="536" xr:uid="{F15DBD27-CBAE-4A59-BF26-2007EFD48367}"/>
    <cellStyle name="Normal 118" xfId="28" xr:uid="{00000000-0005-0000-0000-000051000000}"/>
    <cellStyle name="Normal 118 2" xfId="257" xr:uid="{00000000-0005-0000-0000-000052000000}"/>
    <cellStyle name="Normal 118 2 2" xfId="709" xr:uid="{DF2BA5B3-C3D4-4A8A-B35C-655FBA106045}"/>
    <cellStyle name="Normal 118 3" xfId="441" xr:uid="{00000000-0005-0000-0000-000053000000}"/>
    <cellStyle name="Normal 118 3 2" xfId="860" xr:uid="{71F380E3-39DC-44D8-A19D-6FCC99D6D59F}"/>
    <cellStyle name="Normal 118 4" xfId="537" xr:uid="{DD8296E3-AFF0-4DDD-B661-9BB43168B5B2}"/>
    <cellStyle name="Normal 119" xfId="29" xr:uid="{00000000-0005-0000-0000-000054000000}"/>
    <cellStyle name="Normal 119 2" xfId="258" xr:uid="{00000000-0005-0000-0000-000055000000}"/>
    <cellStyle name="Normal 119 2 2" xfId="710" xr:uid="{716833F0-F595-4191-91EB-2E590EA0AF39}"/>
    <cellStyle name="Normal 119 3" xfId="442" xr:uid="{00000000-0005-0000-0000-000056000000}"/>
    <cellStyle name="Normal 119 3 2" xfId="861" xr:uid="{298A72D4-862D-4AEC-AB49-278F34F6472B}"/>
    <cellStyle name="Normal 119 4" xfId="538" xr:uid="{D03331FA-A155-4876-9D16-D0F4CA647198}"/>
    <cellStyle name="Normal 12" xfId="30" xr:uid="{00000000-0005-0000-0000-000057000000}"/>
    <cellStyle name="Normal 12 2" xfId="239" xr:uid="{00000000-0005-0000-0000-000058000000}"/>
    <cellStyle name="Normal 12 3" xfId="259" xr:uid="{00000000-0005-0000-0000-000059000000}"/>
    <cellStyle name="Normal 12 3 2" xfId="711" xr:uid="{88AC6FEA-F853-4B2B-90D7-176F62F1D72E}"/>
    <cellStyle name="Normal 12 4" xfId="443" xr:uid="{00000000-0005-0000-0000-00005A000000}"/>
    <cellStyle name="Normal 12 4 2" xfId="862" xr:uid="{570151ED-7ABB-455E-A9EA-4C0710959FDB}"/>
    <cellStyle name="Normal 12 5" xfId="539" xr:uid="{86972DB2-3BCA-459A-B1ED-6E1991822DB6}"/>
    <cellStyle name="Normal 120" xfId="31" xr:uid="{00000000-0005-0000-0000-00005B000000}"/>
    <cellStyle name="Normal 120 2" xfId="260" xr:uid="{00000000-0005-0000-0000-00005C000000}"/>
    <cellStyle name="Normal 120 2 2" xfId="712" xr:uid="{7C2337F0-E603-489A-8B24-A9CD80C4EBCE}"/>
    <cellStyle name="Normal 120 3" xfId="444" xr:uid="{00000000-0005-0000-0000-00005D000000}"/>
    <cellStyle name="Normal 120 3 2" xfId="863" xr:uid="{8DAFDF81-53A5-4254-BE82-86FE9F965DD1}"/>
    <cellStyle name="Normal 120 4" xfId="540" xr:uid="{7C50D874-A4A4-48C7-A98E-F1190F1EA2DB}"/>
    <cellStyle name="Normal 121" xfId="32" xr:uid="{00000000-0005-0000-0000-00005E000000}"/>
    <cellStyle name="Normal 121 2" xfId="261" xr:uid="{00000000-0005-0000-0000-00005F000000}"/>
    <cellStyle name="Normal 121 2 2" xfId="713" xr:uid="{5198A616-5269-43C2-A2B7-BAEF4E9FB296}"/>
    <cellStyle name="Normal 121 3" xfId="445" xr:uid="{00000000-0005-0000-0000-000060000000}"/>
    <cellStyle name="Normal 121 3 2" xfId="864" xr:uid="{02621759-8BC6-4B94-809F-CAD521D9E18E}"/>
    <cellStyle name="Normal 121 4" xfId="541" xr:uid="{5BA00A11-9074-4234-899F-AC6B0511CF12}"/>
    <cellStyle name="Normal 122" xfId="33" xr:uid="{00000000-0005-0000-0000-000061000000}"/>
    <cellStyle name="Normal 122 2" xfId="262" xr:uid="{00000000-0005-0000-0000-000062000000}"/>
    <cellStyle name="Normal 122 2 2" xfId="714" xr:uid="{6E975E92-C5EB-4058-A373-0101AAF06DF1}"/>
    <cellStyle name="Normal 122 3" xfId="446" xr:uid="{00000000-0005-0000-0000-000063000000}"/>
    <cellStyle name="Normal 122 3 2" xfId="865" xr:uid="{11E18B88-0589-4E1A-805A-100AEC401E62}"/>
    <cellStyle name="Normal 122 4" xfId="542" xr:uid="{D9CF80F0-BB84-4DF5-9E5E-525A90D374CB}"/>
    <cellStyle name="Normal 123" xfId="34" xr:uid="{00000000-0005-0000-0000-000064000000}"/>
    <cellStyle name="Normal 123 2" xfId="263" xr:uid="{00000000-0005-0000-0000-000065000000}"/>
    <cellStyle name="Normal 123 2 2" xfId="715" xr:uid="{67002CD4-2F54-4FE5-B1F9-82A74C3697DB}"/>
    <cellStyle name="Normal 123 3" xfId="447" xr:uid="{00000000-0005-0000-0000-000066000000}"/>
    <cellStyle name="Normal 123 3 2" xfId="866" xr:uid="{77096AA6-2304-49AF-AD4A-DA0DEBFD063C}"/>
    <cellStyle name="Normal 123 4" xfId="543" xr:uid="{12BB4BA5-83D9-43BB-BB3F-0DB684FB5650}"/>
    <cellStyle name="Normal 124" xfId="35" xr:uid="{00000000-0005-0000-0000-000067000000}"/>
    <cellStyle name="Normal 124 2" xfId="264" xr:uid="{00000000-0005-0000-0000-000068000000}"/>
    <cellStyle name="Normal 124 2 2" xfId="716" xr:uid="{3703C23B-B2C6-4B30-B27F-908A1573D394}"/>
    <cellStyle name="Normal 124 3" xfId="448" xr:uid="{00000000-0005-0000-0000-000069000000}"/>
    <cellStyle name="Normal 124 3 2" xfId="867" xr:uid="{1AEA59A9-7FA4-432A-A6D8-124DB4615FD3}"/>
    <cellStyle name="Normal 124 4" xfId="544" xr:uid="{B7F13282-B275-44E2-9BAE-84D373F26662}"/>
    <cellStyle name="Normal 129 2" xfId="950" xr:uid="{5102B7AC-A30F-41F3-A8D3-EC8B46EEDCBC}"/>
    <cellStyle name="Normal 13" xfId="36" xr:uid="{00000000-0005-0000-0000-00006A000000}"/>
    <cellStyle name="Normal 13 2" xfId="240" xr:uid="{00000000-0005-0000-0000-00006B000000}"/>
    <cellStyle name="Normal 13 3" xfId="265" xr:uid="{00000000-0005-0000-0000-00006C000000}"/>
    <cellStyle name="Normal 13 3 2" xfId="717" xr:uid="{F721CCB1-9B34-4F1A-A3AC-F472D433E7C5}"/>
    <cellStyle name="Normal 13 4" xfId="449" xr:uid="{00000000-0005-0000-0000-00006D000000}"/>
    <cellStyle name="Normal 13 4 2" xfId="868" xr:uid="{C59DEB30-25CF-4551-A52B-2486819A209B}"/>
    <cellStyle name="Normal 13 5" xfId="545" xr:uid="{B21C4B9B-A075-4D7B-945C-A5D9E395AAF9}"/>
    <cellStyle name="Normal 14" xfId="151" xr:uid="{00000000-0005-0000-0000-00006E000000}"/>
    <cellStyle name="Normal 14 2" xfId="360" xr:uid="{00000000-0005-0000-0000-00006F000000}"/>
    <cellStyle name="Normal 14 2 2" xfId="811" xr:uid="{9A53B6D9-878E-45FB-9B1F-47119920B414}"/>
    <cellStyle name="Normal 14 3" xfId="642" xr:uid="{26FB69B4-F4A1-4268-8C6B-E00251FAF293}"/>
    <cellStyle name="Normal 15" xfId="162" xr:uid="{00000000-0005-0000-0000-000070000000}"/>
    <cellStyle name="Normal 15 2" xfId="363" xr:uid="{00000000-0005-0000-0000-000071000000}"/>
    <cellStyle name="Normal 16" xfId="192" xr:uid="{00000000-0005-0000-0000-000072000000}"/>
    <cellStyle name="Normal 16 2" xfId="380" xr:uid="{00000000-0005-0000-0000-000073000000}"/>
    <cellStyle name="Normal 17" xfId="37" xr:uid="{00000000-0005-0000-0000-000074000000}"/>
    <cellStyle name="Normal 17 2" xfId="266" xr:uid="{00000000-0005-0000-0000-000075000000}"/>
    <cellStyle name="Normal 17 2 2" xfId="718" xr:uid="{258D3717-C398-4796-B943-7B6E1ED466D8}"/>
    <cellStyle name="Normal 17 3" xfId="450" xr:uid="{00000000-0005-0000-0000-000076000000}"/>
    <cellStyle name="Normal 17 3 2" xfId="869" xr:uid="{6FE48B37-13E6-46BB-924B-3E874EA268F8}"/>
    <cellStyle name="Normal 17 4" xfId="546" xr:uid="{7A326FC5-5330-42B9-A17A-15F8F6A2EAEA}"/>
    <cellStyle name="Normal 18" xfId="38" xr:uid="{00000000-0005-0000-0000-000077000000}"/>
    <cellStyle name="Normal 18 2" xfId="267" xr:uid="{00000000-0005-0000-0000-000078000000}"/>
    <cellStyle name="Normal 18 2 2" xfId="719" xr:uid="{907D1124-6ACA-46E4-9F4B-AAE7A2B7C902}"/>
    <cellStyle name="Normal 18 3" xfId="451" xr:uid="{00000000-0005-0000-0000-000079000000}"/>
    <cellStyle name="Normal 18 3 2" xfId="870" xr:uid="{C81CF629-23B8-49DE-A0CD-D18B5B5B6895}"/>
    <cellStyle name="Normal 18 4" xfId="547" xr:uid="{067B9CBC-4442-445E-82E8-18D8AC8F0229}"/>
    <cellStyle name="Normal 19" xfId="193" xr:uid="{00000000-0005-0000-0000-00007A000000}"/>
    <cellStyle name="Normal 2" xfId="3" xr:uid="{00000000-0005-0000-0000-00007B000000}"/>
    <cellStyle name="Normal 2 10" xfId="952" xr:uid="{60D039A7-0048-4A38-A6F5-E769A6364F97}"/>
    <cellStyle name="Normal 2 2" xfId="8" xr:uid="{00000000-0005-0000-0000-00007C000000}"/>
    <cellStyle name="Normal 2 2 2" xfId="39" xr:uid="{00000000-0005-0000-0000-00007D000000}"/>
    <cellStyle name="Normal 2 2 3" xfId="40" xr:uid="{00000000-0005-0000-0000-00007E000000}"/>
    <cellStyle name="Normal 2 2 4" xfId="453" xr:uid="{00000000-0005-0000-0000-00007F000000}"/>
    <cellStyle name="Normal 2 2 4 2" xfId="872" xr:uid="{C5B6F270-FE06-424E-8615-75B6D8E8F560}"/>
    <cellStyle name="Normal 2 3" xfId="41" xr:uid="{00000000-0005-0000-0000-000080000000}"/>
    <cellStyle name="Normal 2 4" xfId="156" xr:uid="{00000000-0005-0000-0000-000081000000}"/>
    <cellStyle name="Normal 2 4 2" xfId="366" xr:uid="{00000000-0005-0000-0000-000082000000}"/>
    <cellStyle name="Normal 2 4 2 2" xfId="815" xr:uid="{DEAC47AC-804B-47BD-8BA2-304EAEF3F671}"/>
    <cellStyle name="Normal 2 4 3" xfId="645" xr:uid="{FB0B986A-191A-47FB-BE91-12417A5FE42E}"/>
    <cellStyle name="Normal 2 5" xfId="246" xr:uid="{00000000-0005-0000-0000-000083000000}"/>
    <cellStyle name="Normal 2 5 2" xfId="698" xr:uid="{962AB182-A692-4C89-9DD7-D7F55C27AF71}"/>
    <cellStyle name="Normal 2 6" xfId="425" xr:uid="{00000000-0005-0000-0000-000084000000}"/>
    <cellStyle name="Normal 2 6 2" xfId="844" xr:uid="{A26C05E2-99D3-4539-9A7C-5192ACA7ACF1}"/>
    <cellStyle name="Normal 2 7" xfId="452" xr:uid="{00000000-0005-0000-0000-000085000000}"/>
    <cellStyle name="Normal 2 7 2" xfId="871" xr:uid="{65F47FAC-D0B2-404B-ADD9-46F202C35045}"/>
    <cellStyle name="Normal 2 8" xfId="525" xr:uid="{4357B4D2-8F2D-489A-A410-1B857C882F5A}"/>
    <cellStyle name="Normal 20" xfId="196" xr:uid="{00000000-0005-0000-0000-000086000000}"/>
    <cellStyle name="Normal 20 2" xfId="381" xr:uid="{00000000-0005-0000-0000-000087000000}"/>
    <cellStyle name="Normal 21" xfId="42" xr:uid="{00000000-0005-0000-0000-000088000000}"/>
    <cellStyle name="Normal 21 2" xfId="268" xr:uid="{00000000-0005-0000-0000-000089000000}"/>
    <cellStyle name="Normal 21 2 2" xfId="720" xr:uid="{5760018F-873F-4E83-A79D-93930AAEBADF}"/>
    <cellStyle name="Normal 21 3" xfId="454" xr:uid="{00000000-0005-0000-0000-00008A000000}"/>
    <cellStyle name="Normal 21 3 2" xfId="873" xr:uid="{64853D30-6CB2-4557-BAE2-D1CD2E890320}"/>
    <cellStyle name="Normal 21 4" xfId="548" xr:uid="{7480141A-94C8-49FE-A819-EF8BE74247BD}"/>
    <cellStyle name="Normal 22" xfId="198" xr:uid="{00000000-0005-0000-0000-00008B000000}"/>
    <cellStyle name="Normal 22 2" xfId="661" xr:uid="{0E74E581-73DF-44AB-8E8C-5262AAFE9E11}"/>
    <cellStyle name="Normal 23" xfId="43" xr:uid="{00000000-0005-0000-0000-00008C000000}"/>
    <cellStyle name="Normal 23 2" xfId="269" xr:uid="{00000000-0005-0000-0000-00008D000000}"/>
    <cellStyle name="Normal 23 2 2" xfId="721" xr:uid="{25F128D8-552A-42D1-A71D-5F6E52443F05}"/>
    <cellStyle name="Normal 23 3" xfId="455" xr:uid="{00000000-0005-0000-0000-00008E000000}"/>
    <cellStyle name="Normal 23 3 2" xfId="874" xr:uid="{CA663B30-0BE5-4431-B4D3-A451405B22C6}"/>
    <cellStyle name="Normal 23 4" xfId="549" xr:uid="{46601E40-B118-42D8-8A7F-39E9FAF5124A}"/>
    <cellStyle name="Normal 24" xfId="44" xr:uid="{00000000-0005-0000-0000-00008F000000}"/>
    <cellStyle name="Normal 24 2" xfId="270" xr:uid="{00000000-0005-0000-0000-000090000000}"/>
    <cellStyle name="Normal 24 2 2" xfId="722" xr:uid="{0989E261-8503-4488-8B5D-7E4074976DD9}"/>
    <cellStyle name="Normal 24 3" xfId="456" xr:uid="{00000000-0005-0000-0000-000091000000}"/>
    <cellStyle name="Normal 24 3 2" xfId="875" xr:uid="{0E787FB3-8B91-40D1-8AEF-0502B8B757D9}"/>
    <cellStyle name="Normal 24 4" xfId="550" xr:uid="{93FB607B-4454-4C16-90A6-68102E91F626}"/>
    <cellStyle name="Normal 25" xfId="45" xr:uid="{00000000-0005-0000-0000-000092000000}"/>
    <cellStyle name="Normal 25 2" xfId="271" xr:uid="{00000000-0005-0000-0000-000093000000}"/>
    <cellStyle name="Normal 25 2 2" xfId="723" xr:uid="{48EFE36C-7088-4363-BB38-973C58134B69}"/>
    <cellStyle name="Normal 25 3" xfId="457" xr:uid="{00000000-0005-0000-0000-000094000000}"/>
    <cellStyle name="Normal 25 3 2" xfId="876" xr:uid="{B7F2E4A7-BD8E-44BB-8807-D8A23517E3C8}"/>
    <cellStyle name="Normal 25 4" xfId="551" xr:uid="{95FE436D-4716-4422-A15C-50CAA73E0579}"/>
    <cellStyle name="Normal 26" xfId="46" xr:uid="{00000000-0005-0000-0000-000095000000}"/>
    <cellStyle name="Normal 26 2" xfId="272" xr:uid="{00000000-0005-0000-0000-000096000000}"/>
    <cellStyle name="Normal 26 2 2" xfId="724" xr:uid="{97C4872C-CF02-4058-9AAA-D4876D7F48A4}"/>
    <cellStyle name="Normal 26 3" xfId="458" xr:uid="{00000000-0005-0000-0000-000097000000}"/>
    <cellStyle name="Normal 26 3 2" xfId="877" xr:uid="{1BA84D76-9097-4CFF-A8D3-63DDAFB9D55F}"/>
    <cellStyle name="Normal 26 4" xfId="552" xr:uid="{875B4AD7-7CE0-45DE-9FD9-C05845B801F2}"/>
    <cellStyle name="Normal 27" xfId="241" xr:uid="{00000000-0005-0000-0000-000098000000}"/>
    <cellStyle name="Normal 28" xfId="47" xr:uid="{00000000-0005-0000-0000-000099000000}"/>
    <cellStyle name="Normal 28 2" xfId="273" xr:uid="{00000000-0005-0000-0000-00009A000000}"/>
    <cellStyle name="Normal 28 2 2" xfId="725" xr:uid="{A79EF81E-FEF6-472E-9318-7B747AE93EF5}"/>
    <cellStyle name="Normal 28 3" xfId="459" xr:uid="{00000000-0005-0000-0000-00009B000000}"/>
    <cellStyle name="Normal 28 3 2" xfId="878" xr:uid="{1B4FAB75-FFB9-4862-8736-0B2158047AC4}"/>
    <cellStyle name="Normal 28 4" xfId="553" xr:uid="{FC0638B3-C755-49AD-B7A5-CC70C62B9F6E}"/>
    <cellStyle name="Normal 29" xfId="48" xr:uid="{00000000-0005-0000-0000-00009C000000}"/>
    <cellStyle name="Normal 29 2" xfId="274" xr:uid="{00000000-0005-0000-0000-00009D000000}"/>
    <cellStyle name="Normal 29 2 2" xfId="726" xr:uid="{66269CE7-4142-4594-9363-96F907D42A7B}"/>
    <cellStyle name="Normal 29 3" xfId="460" xr:uid="{00000000-0005-0000-0000-00009E000000}"/>
    <cellStyle name="Normal 29 3 2" xfId="879" xr:uid="{C6AD4FBB-9BAF-4147-8433-0E46A8B51A95}"/>
    <cellStyle name="Normal 29 4" xfId="554" xr:uid="{4C122037-E8B4-456A-9654-2D3AF1D49C74}"/>
    <cellStyle name="Normal 3" xfId="4" xr:uid="{00000000-0005-0000-0000-00009F000000}"/>
    <cellStyle name="Normal 3 2" xfId="49" xr:uid="{00000000-0005-0000-0000-0000A0000000}"/>
    <cellStyle name="Normal 3 2 2" xfId="275" xr:uid="{00000000-0005-0000-0000-0000A1000000}"/>
    <cellStyle name="Normal 3 2 2 2" xfId="727" xr:uid="{C6213D70-CC18-42DC-B71C-2CDC6FFE11A7}"/>
    <cellStyle name="Normal 3 2 3" xfId="461" xr:uid="{00000000-0005-0000-0000-0000A2000000}"/>
    <cellStyle name="Normal 3 2 3 2" xfId="880" xr:uid="{7E8A043A-851C-42EF-92BF-520DDC9CE732}"/>
    <cellStyle name="Normal 3 2 4" xfId="555" xr:uid="{3966C7A5-8819-4CA3-B0BB-12C65FC3AF91}"/>
    <cellStyle name="Normal 3 3" xfId="50" xr:uid="{00000000-0005-0000-0000-0000A3000000}"/>
    <cellStyle name="Normal 3 4" xfId="157" xr:uid="{00000000-0005-0000-0000-0000A4000000}"/>
    <cellStyle name="Normal 3 5" xfId="426" xr:uid="{00000000-0005-0000-0000-0000A5000000}"/>
    <cellStyle name="Normal 3 5 2" xfId="845" xr:uid="{43606725-F1C4-4727-A820-CF02050CCB56}"/>
    <cellStyle name="Normal 3_Attach O, GG, Support -New Method 2-14-11" xfId="390" xr:uid="{00000000-0005-0000-0000-0000A6000000}"/>
    <cellStyle name="Normal 30" xfId="51" xr:uid="{00000000-0005-0000-0000-0000A7000000}"/>
    <cellStyle name="Normal 30 2" xfId="276" xr:uid="{00000000-0005-0000-0000-0000A8000000}"/>
    <cellStyle name="Normal 30 2 2" xfId="728" xr:uid="{43237F90-A2D0-4679-AED5-47CEF2ECC1C4}"/>
    <cellStyle name="Normal 30 3" xfId="462" xr:uid="{00000000-0005-0000-0000-0000A9000000}"/>
    <cellStyle name="Normal 30 3 2" xfId="881" xr:uid="{B3C411CF-2CA9-4DBD-9503-EAF1019EE41D}"/>
    <cellStyle name="Normal 30 4" xfId="556" xr:uid="{BDA8EC01-B53F-4B2C-83EF-F4ED28FA6DC2}"/>
    <cellStyle name="Normal 31" xfId="52" xr:uid="{00000000-0005-0000-0000-0000AA000000}"/>
    <cellStyle name="Normal 31 2" xfId="277" xr:uid="{00000000-0005-0000-0000-0000AB000000}"/>
    <cellStyle name="Normal 31 2 2" xfId="729" xr:uid="{D6A642A3-FF5C-40C2-9795-1054641B7993}"/>
    <cellStyle name="Normal 31 3" xfId="463" xr:uid="{00000000-0005-0000-0000-0000AC000000}"/>
    <cellStyle name="Normal 31 3 2" xfId="882" xr:uid="{063085BB-7A66-4DD7-A97A-EB75463E2C67}"/>
    <cellStyle name="Normal 31 4" xfId="557" xr:uid="{5640F225-E01D-4FED-A230-871FC3D5F710}"/>
    <cellStyle name="Normal 32" xfId="53" xr:uid="{00000000-0005-0000-0000-0000AD000000}"/>
    <cellStyle name="Normal 32 2" xfId="278" xr:uid="{00000000-0005-0000-0000-0000AE000000}"/>
    <cellStyle name="Normal 32 2 2" xfId="730" xr:uid="{061941B6-40E4-43E8-AAE5-6E8C055B0897}"/>
    <cellStyle name="Normal 32 3" xfId="464" xr:uid="{00000000-0005-0000-0000-0000AF000000}"/>
    <cellStyle name="Normal 32 3 2" xfId="883" xr:uid="{E473B052-EC1C-45E1-BC6B-2C609EEC35FE}"/>
    <cellStyle name="Normal 32 4" xfId="558" xr:uid="{CD1B48C7-51ED-4DA6-9B0A-3550951D6534}"/>
    <cellStyle name="Normal 33" xfId="54" xr:uid="{00000000-0005-0000-0000-0000B0000000}"/>
    <cellStyle name="Normal 33 2" xfId="279" xr:uid="{00000000-0005-0000-0000-0000B1000000}"/>
    <cellStyle name="Normal 33 2 2" xfId="731" xr:uid="{5C1C9C42-F363-491A-BDB9-8576C01F185D}"/>
    <cellStyle name="Normal 33 3" xfId="465" xr:uid="{00000000-0005-0000-0000-0000B2000000}"/>
    <cellStyle name="Normal 33 3 2" xfId="884" xr:uid="{2A13D812-E1A3-4923-B647-F887A60C7556}"/>
    <cellStyle name="Normal 33 4" xfId="559" xr:uid="{AADA4094-01CC-4B79-B642-B35CC70B0A10}"/>
    <cellStyle name="Normal 34" xfId="55" xr:uid="{00000000-0005-0000-0000-0000B3000000}"/>
    <cellStyle name="Normal 34 2" xfId="280" xr:uid="{00000000-0005-0000-0000-0000B4000000}"/>
    <cellStyle name="Normal 34 2 2" xfId="732" xr:uid="{8A0B719A-36D0-41CA-91A6-D9498E9C0F2F}"/>
    <cellStyle name="Normal 34 3" xfId="466" xr:uid="{00000000-0005-0000-0000-0000B5000000}"/>
    <cellStyle name="Normal 34 3 2" xfId="885" xr:uid="{31827989-65F1-41DC-9E32-FF256C234E42}"/>
    <cellStyle name="Normal 34 4" xfId="560" xr:uid="{D8DD3087-326A-4D97-8DF2-6D9E35A50932}"/>
    <cellStyle name="Normal 35" xfId="56" xr:uid="{00000000-0005-0000-0000-0000B6000000}"/>
    <cellStyle name="Normal 35 2" xfId="281" xr:uid="{00000000-0005-0000-0000-0000B7000000}"/>
    <cellStyle name="Normal 35 2 2" xfId="733" xr:uid="{3BB92905-6B82-496D-BE83-0D9399350AD5}"/>
    <cellStyle name="Normal 35 3" xfId="467" xr:uid="{00000000-0005-0000-0000-0000B8000000}"/>
    <cellStyle name="Normal 35 3 2" xfId="886" xr:uid="{4321C6E3-8D0D-4393-8C4F-222CB1F8A7D3}"/>
    <cellStyle name="Normal 35 4" xfId="561" xr:uid="{384E3526-CB3B-4959-8F79-478A7BEF1F42}"/>
    <cellStyle name="Normal 36" xfId="57" xr:uid="{00000000-0005-0000-0000-0000B9000000}"/>
    <cellStyle name="Normal 36 2" xfId="282" xr:uid="{00000000-0005-0000-0000-0000BA000000}"/>
    <cellStyle name="Normal 36 2 2" xfId="734" xr:uid="{2ECF9295-D93D-4F1F-9FE3-0F93334CCF19}"/>
    <cellStyle name="Normal 36 3" xfId="468" xr:uid="{00000000-0005-0000-0000-0000BB000000}"/>
    <cellStyle name="Normal 36 3 2" xfId="887" xr:uid="{3ACABF8C-4C87-4E1C-A3A8-5E48294DBC8B}"/>
    <cellStyle name="Normal 36 4" xfId="562" xr:uid="{DD7DE1D2-1DF1-4D23-A5A8-BADC61BF7448}"/>
    <cellStyle name="Normal 37" xfId="58" xr:uid="{00000000-0005-0000-0000-0000BC000000}"/>
    <cellStyle name="Normal 37 2" xfId="283" xr:uid="{00000000-0005-0000-0000-0000BD000000}"/>
    <cellStyle name="Normal 37 2 2" xfId="735" xr:uid="{9A0A18A9-54B3-4D24-A611-66EEA347687F}"/>
    <cellStyle name="Normal 37 3" xfId="469" xr:uid="{00000000-0005-0000-0000-0000BE000000}"/>
    <cellStyle name="Normal 37 3 2" xfId="888" xr:uid="{38DA2B76-8691-4213-9FFF-84E338074C89}"/>
    <cellStyle name="Normal 37 4" xfId="563" xr:uid="{54328E6A-CCD0-4450-A8A6-E9AD763FB2A8}"/>
    <cellStyle name="Normal 38" xfId="59" xr:uid="{00000000-0005-0000-0000-0000BF000000}"/>
    <cellStyle name="Normal 38 2" xfId="284" xr:uid="{00000000-0005-0000-0000-0000C0000000}"/>
    <cellStyle name="Normal 38 2 2" xfId="736" xr:uid="{0CE4995E-6983-48F7-AA25-8B24D1C64075}"/>
    <cellStyle name="Normal 38 3" xfId="470" xr:uid="{00000000-0005-0000-0000-0000C1000000}"/>
    <cellStyle name="Normal 38 3 2" xfId="889" xr:uid="{E36588D0-074F-41A1-AF61-81E482DAB496}"/>
    <cellStyle name="Normal 38 4" xfId="564" xr:uid="{8760B75D-69EC-48E3-A989-AC95C9B9B013}"/>
    <cellStyle name="Normal 39" xfId="60" xr:uid="{00000000-0005-0000-0000-0000C2000000}"/>
    <cellStyle name="Normal 39 2" xfId="285" xr:uid="{00000000-0005-0000-0000-0000C3000000}"/>
    <cellStyle name="Normal 39 2 2" xfId="737" xr:uid="{5D302DF5-B28C-42CE-B0CF-E062E7B35BD3}"/>
    <cellStyle name="Normal 39 3" xfId="471" xr:uid="{00000000-0005-0000-0000-0000C4000000}"/>
    <cellStyle name="Normal 39 3 2" xfId="890" xr:uid="{A12A09B6-300A-4F8A-8B96-549865350717}"/>
    <cellStyle name="Normal 39 4" xfId="565" xr:uid="{5E88B14E-9A83-45B7-82DE-75D08066E905}"/>
    <cellStyle name="Normal 4" xfId="61" xr:uid="{00000000-0005-0000-0000-0000C5000000}"/>
    <cellStyle name="Normal 4 2" xfId="421" xr:uid="{00000000-0005-0000-0000-0000C6000000}"/>
    <cellStyle name="Normal 4 3" xfId="518" xr:uid="{00000000-0005-0000-0000-0000C7000000}"/>
    <cellStyle name="Normal 40" xfId="62" xr:uid="{00000000-0005-0000-0000-0000C8000000}"/>
    <cellStyle name="Normal 40 2" xfId="286" xr:uid="{00000000-0005-0000-0000-0000C9000000}"/>
    <cellStyle name="Normal 40 2 2" xfId="738" xr:uid="{61ABC80F-52AA-47DF-8E26-7F9AD56D0EBA}"/>
    <cellStyle name="Normal 40 3" xfId="472" xr:uid="{00000000-0005-0000-0000-0000CA000000}"/>
    <cellStyle name="Normal 40 3 2" xfId="891" xr:uid="{ECD07DC8-00E4-4BBD-B27F-D8BC2F16D593}"/>
    <cellStyle name="Normal 40 4" xfId="566" xr:uid="{A8429265-6D6B-4F8F-992E-7B2AB40D3CE6}"/>
    <cellStyle name="Normal 41" xfId="63" xr:uid="{00000000-0005-0000-0000-0000CB000000}"/>
    <cellStyle name="Normal 41 2" xfId="287" xr:uid="{00000000-0005-0000-0000-0000CC000000}"/>
    <cellStyle name="Normal 41 2 2" xfId="739" xr:uid="{7122D884-982C-40EA-AC37-0CCE168F62C3}"/>
    <cellStyle name="Normal 41 3" xfId="473" xr:uid="{00000000-0005-0000-0000-0000CD000000}"/>
    <cellStyle name="Normal 41 3 2" xfId="892" xr:uid="{D8DB7DB7-9F5B-4BC7-9C7F-894D0034E251}"/>
    <cellStyle name="Normal 41 4" xfId="567" xr:uid="{02ECBE44-DF62-41A0-9DDF-F96F0F55F9B5}"/>
    <cellStyle name="Normal 42" xfId="64" xr:uid="{00000000-0005-0000-0000-0000CE000000}"/>
    <cellStyle name="Normal 42 2" xfId="288" xr:uid="{00000000-0005-0000-0000-0000CF000000}"/>
    <cellStyle name="Normal 42 2 2" xfId="740" xr:uid="{5DC20F13-3AEA-4940-A7A3-42A7E153E121}"/>
    <cellStyle name="Normal 42 3" xfId="474" xr:uid="{00000000-0005-0000-0000-0000D0000000}"/>
    <cellStyle name="Normal 42 3 2" xfId="893" xr:uid="{908B9755-9874-4CAA-9505-8D5BDEB9AB35}"/>
    <cellStyle name="Normal 42 4" xfId="568" xr:uid="{E4D5BAA6-A1A2-4218-AEDB-548190F8C763}"/>
    <cellStyle name="Normal 43" xfId="65" xr:uid="{00000000-0005-0000-0000-0000D1000000}"/>
    <cellStyle name="Normal 43 2" xfId="289" xr:uid="{00000000-0005-0000-0000-0000D2000000}"/>
    <cellStyle name="Normal 43 2 2" xfId="741" xr:uid="{C85813D8-FD5B-4FA0-9297-BA3AB642C8C0}"/>
    <cellStyle name="Normal 43 3" xfId="475" xr:uid="{00000000-0005-0000-0000-0000D3000000}"/>
    <cellStyle name="Normal 43 3 2" xfId="894" xr:uid="{C7284B65-48C1-4100-9DB0-DC178E34763E}"/>
    <cellStyle name="Normal 43 4" xfId="569" xr:uid="{308BC227-4231-4C0D-829C-6B88444A430D}"/>
    <cellStyle name="Normal 44" xfId="66" xr:uid="{00000000-0005-0000-0000-0000D4000000}"/>
    <cellStyle name="Normal 44 2" xfId="290" xr:uid="{00000000-0005-0000-0000-0000D5000000}"/>
    <cellStyle name="Normal 44 2 2" xfId="742" xr:uid="{D5A42317-A87A-46FD-A211-FDA722584236}"/>
    <cellStyle name="Normal 44 3" xfId="476" xr:uid="{00000000-0005-0000-0000-0000D6000000}"/>
    <cellStyle name="Normal 44 3 2" xfId="895" xr:uid="{798712F1-8100-4417-B8FF-791187352EB5}"/>
    <cellStyle name="Normal 44 4" xfId="570" xr:uid="{A334BC6C-534C-4960-8491-B03685A304C4}"/>
    <cellStyle name="Normal 45" xfId="382" xr:uid="{00000000-0005-0000-0000-0000D7000000}"/>
    <cellStyle name="Normal 45 2" xfId="828" xr:uid="{87C1C4C6-197C-4396-9695-CFC8283E1D12}"/>
    <cellStyle name="Normal 46" xfId="67" xr:uid="{00000000-0005-0000-0000-0000D8000000}"/>
    <cellStyle name="Normal 46 2" xfId="291" xr:uid="{00000000-0005-0000-0000-0000D9000000}"/>
    <cellStyle name="Normal 46 2 2" xfId="743" xr:uid="{5DB52174-DF61-4590-B4CB-2E16F3907B26}"/>
    <cellStyle name="Normal 46 3" xfId="477" xr:uid="{00000000-0005-0000-0000-0000DA000000}"/>
    <cellStyle name="Normal 46 3 2" xfId="896" xr:uid="{DED3871B-9BEE-498E-B99A-1FC935EB61DF}"/>
    <cellStyle name="Normal 46 4" xfId="571" xr:uid="{59EFF4B8-E741-478F-926B-E8D273C2DD42}"/>
    <cellStyle name="Normal 47" xfId="68" xr:uid="{00000000-0005-0000-0000-0000DB000000}"/>
    <cellStyle name="Normal 47 2" xfId="292" xr:uid="{00000000-0005-0000-0000-0000DC000000}"/>
    <cellStyle name="Normal 47 2 2" xfId="744" xr:uid="{71C2F0B1-BCA8-40A9-BD2F-770836BC3D9F}"/>
    <cellStyle name="Normal 47 3" xfId="478" xr:uid="{00000000-0005-0000-0000-0000DD000000}"/>
    <cellStyle name="Normal 47 3 2" xfId="897" xr:uid="{A183E1F0-C284-449A-B5A4-C8875F91328F}"/>
    <cellStyle name="Normal 47 4" xfId="572" xr:uid="{086DC252-1FFF-43D7-9FFE-DCD84565E9E5}"/>
    <cellStyle name="Normal 48" xfId="69" xr:uid="{00000000-0005-0000-0000-0000DE000000}"/>
    <cellStyle name="Normal 48 2" xfId="293" xr:uid="{00000000-0005-0000-0000-0000DF000000}"/>
    <cellStyle name="Normal 48 2 2" xfId="745" xr:uid="{8DEFC685-3290-4888-B4FA-B2790DDAC98E}"/>
    <cellStyle name="Normal 48 3" xfId="479" xr:uid="{00000000-0005-0000-0000-0000E0000000}"/>
    <cellStyle name="Normal 48 3 2" xfId="898" xr:uid="{00D7E557-7347-4E37-AC1D-D47D64317966}"/>
    <cellStyle name="Normal 48 4" xfId="573" xr:uid="{B17ED19B-0752-4E29-96A4-F91BC99546D8}"/>
    <cellStyle name="Normal 49" xfId="70" xr:uid="{00000000-0005-0000-0000-0000E1000000}"/>
    <cellStyle name="Normal 49 2" xfId="294" xr:uid="{00000000-0005-0000-0000-0000E2000000}"/>
    <cellStyle name="Normal 49 2 2" xfId="746" xr:uid="{898643AB-8AE7-41C3-9CD7-92E46F6E26F6}"/>
    <cellStyle name="Normal 49 3" xfId="480" xr:uid="{00000000-0005-0000-0000-0000E3000000}"/>
    <cellStyle name="Normal 49 3 2" xfId="899" xr:uid="{D2063817-04E4-4700-8668-4EA21D1355AD}"/>
    <cellStyle name="Normal 49 4" xfId="574" xr:uid="{AF53E8C9-1B38-478B-8A4F-0DA61AFFCB41}"/>
    <cellStyle name="Normal 5" xfId="71" xr:uid="{00000000-0005-0000-0000-0000E4000000}"/>
    <cellStyle name="Normal 5 2" xfId="72" xr:uid="{00000000-0005-0000-0000-0000E5000000}"/>
    <cellStyle name="Normal 5 3" xfId="73" xr:uid="{00000000-0005-0000-0000-0000E6000000}"/>
    <cellStyle name="Normal 5 3 2" xfId="158" xr:uid="{00000000-0005-0000-0000-0000E7000000}"/>
    <cellStyle name="Normal 5 4" xfId="295" xr:uid="{00000000-0005-0000-0000-0000E8000000}"/>
    <cellStyle name="Normal 5 4 2" xfId="747" xr:uid="{CBBC9AB1-BACD-45C7-90F9-D940DF3A5A79}"/>
    <cellStyle name="Normal 5 5" xfId="481" xr:uid="{00000000-0005-0000-0000-0000E9000000}"/>
    <cellStyle name="Normal 5 5 2" xfId="900" xr:uid="{35B11E78-1EC0-409D-85A4-6C9B7DAA3050}"/>
    <cellStyle name="Normal 5 6" xfId="575" xr:uid="{DD997FB3-D3E6-4080-85AE-AAC4BF940901}"/>
    <cellStyle name="Normal 50" xfId="74" xr:uid="{00000000-0005-0000-0000-0000EA000000}"/>
    <cellStyle name="Normal 50 2" xfId="296" xr:uid="{00000000-0005-0000-0000-0000EB000000}"/>
    <cellStyle name="Normal 50 2 2" xfId="748" xr:uid="{C9EEA1CB-75B9-4F1B-A57B-5CFF634D7FBB}"/>
    <cellStyle name="Normal 50 3" xfId="482" xr:uid="{00000000-0005-0000-0000-0000EC000000}"/>
    <cellStyle name="Normal 50 3 2" xfId="901" xr:uid="{4C59D080-08A8-4C08-8970-EBDEC5AF64EA}"/>
    <cellStyle name="Normal 50 4" xfId="576" xr:uid="{CA73AD70-7D9D-4D4A-812E-B9B9426AAB88}"/>
    <cellStyle name="Normal 51" xfId="75" xr:uid="{00000000-0005-0000-0000-0000ED000000}"/>
    <cellStyle name="Normal 51 2" xfId="297" xr:uid="{00000000-0005-0000-0000-0000EE000000}"/>
    <cellStyle name="Normal 51 2 2" xfId="749" xr:uid="{BF212071-FC4B-44F2-BDDF-3D4B13D39E3C}"/>
    <cellStyle name="Normal 51 3" xfId="483" xr:uid="{00000000-0005-0000-0000-0000EF000000}"/>
    <cellStyle name="Normal 51 3 2" xfId="902" xr:uid="{A9FD9CB5-925E-43F5-9A25-B589832728C7}"/>
    <cellStyle name="Normal 51 4" xfId="577" xr:uid="{159F0B95-0095-4849-A81C-0FD8352AE0E6}"/>
    <cellStyle name="Normal 52" xfId="76" xr:uid="{00000000-0005-0000-0000-0000F0000000}"/>
    <cellStyle name="Normal 52 2" xfId="298" xr:uid="{00000000-0005-0000-0000-0000F1000000}"/>
    <cellStyle name="Normal 52 2 2" xfId="750" xr:uid="{C686EC56-C035-4B2B-ABD4-E2D6004A87DD}"/>
    <cellStyle name="Normal 52 3" xfId="484" xr:uid="{00000000-0005-0000-0000-0000F2000000}"/>
    <cellStyle name="Normal 52 3 2" xfId="903" xr:uid="{4E9A73AE-D091-4D85-BBCB-286E08A10613}"/>
    <cellStyle name="Normal 52 4" xfId="578" xr:uid="{5FBE7B25-B346-4A9B-8722-B906AE5AA97B}"/>
    <cellStyle name="Normal 53" xfId="384" xr:uid="{00000000-0005-0000-0000-0000F3000000}"/>
    <cellStyle name="Normal 53 2" xfId="830" xr:uid="{B14D87C6-683D-42CE-9C71-D5625E48F7E7}"/>
    <cellStyle name="Normal 54" xfId="77" xr:uid="{00000000-0005-0000-0000-0000F4000000}"/>
    <cellStyle name="Normal 54 2" xfId="299" xr:uid="{00000000-0005-0000-0000-0000F5000000}"/>
    <cellStyle name="Normal 54 2 2" xfId="751" xr:uid="{F27693F0-A779-4291-9D62-6941003956BF}"/>
    <cellStyle name="Normal 54 3" xfId="485" xr:uid="{00000000-0005-0000-0000-0000F6000000}"/>
    <cellStyle name="Normal 54 3 2" xfId="904" xr:uid="{E946CBA9-5EA5-4AA5-8618-EE4F45D9A53C}"/>
    <cellStyle name="Normal 54 4" xfId="579" xr:uid="{572D29C2-5F75-4F3C-9131-FD9EDAA78511}"/>
    <cellStyle name="Normal 55" xfId="386" xr:uid="{00000000-0005-0000-0000-0000F7000000}"/>
    <cellStyle name="Normal 55 11" xfId="935" xr:uid="{FCE2FC76-9C62-4AE4-8B5E-955D2314C26E}"/>
    <cellStyle name="Normal 55 2" xfId="832" xr:uid="{3C7896B4-8769-4C4F-8521-5A563573BDED}"/>
    <cellStyle name="Normal 56" xfId="78" xr:uid="{00000000-0005-0000-0000-0000F8000000}"/>
    <cellStyle name="Normal 56 2" xfId="300" xr:uid="{00000000-0005-0000-0000-0000F9000000}"/>
    <cellStyle name="Normal 56 2 2" xfId="752" xr:uid="{91501A1A-0F0F-46EB-BD41-D83DF58EB0A6}"/>
    <cellStyle name="Normal 56 3" xfId="486" xr:uid="{00000000-0005-0000-0000-0000FA000000}"/>
    <cellStyle name="Normal 56 3 2" xfId="905" xr:uid="{532AE015-165F-48B3-8924-6178E1FB6092}"/>
    <cellStyle name="Normal 56 4" xfId="580" xr:uid="{C6192F8B-AFE1-41EC-8BE1-9DC74E30DEFB}"/>
    <cellStyle name="Normal 57" xfId="79" xr:uid="{00000000-0005-0000-0000-0000FB000000}"/>
    <cellStyle name="Normal 57 2" xfId="301" xr:uid="{00000000-0005-0000-0000-0000FC000000}"/>
    <cellStyle name="Normal 57 2 2" xfId="753" xr:uid="{471AD5C7-1EBD-4BA4-9F2D-D3AD57208177}"/>
    <cellStyle name="Normal 57 3" xfId="487" xr:uid="{00000000-0005-0000-0000-0000FD000000}"/>
    <cellStyle name="Normal 57 3 2" xfId="906" xr:uid="{71EA9779-27BE-4F1A-AEF6-16BBAD62B364}"/>
    <cellStyle name="Normal 57 4" xfId="581" xr:uid="{45427754-269E-47C9-A3D5-15E68AD67B97}"/>
    <cellStyle name="Normal 58" xfId="80" xr:uid="{00000000-0005-0000-0000-0000FE000000}"/>
    <cellStyle name="Normal 58 2" xfId="302" xr:uid="{00000000-0005-0000-0000-0000FF000000}"/>
    <cellStyle name="Normal 58 2 2" xfId="754" xr:uid="{2A95972C-ABBD-4ED0-B704-09BB8F2171F3}"/>
    <cellStyle name="Normal 58 3" xfId="488" xr:uid="{00000000-0005-0000-0000-000000010000}"/>
    <cellStyle name="Normal 58 3 2" xfId="907" xr:uid="{2CBC54CE-97ED-4555-B6FC-FAD9A2D09D67}"/>
    <cellStyle name="Normal 58 4" xfId="582" xr:uid="{7E54A5B9-862E-41DF-B042-6AE80D5CD572}"/>
    <cellStyle name="Normal 59" xfId="387" xr:uid="{00000000-0005-0000-0000-000001010000}"/>
    <cellStyle name="Normal 59 13" xfId="947" xr:uid="{4264FE4A-6211-46AA-8DAC-99E1245251BC}"/>
    <cellStyle name="Normal 59 2" xfId="934" xr:uid="{9BD8A0BA-C281-45C2-ADE4-397115C5CE3C}"/>
    <cellStyle name="Normal 59 3" xfId="833" xr:uid="{71B0E618-FF8D-4E16-BB3A-7A2B5C188B9B}"/>
    <cellStyle name="Normal 6" xfId="81" xr:uid="{00000000-0005-0000-0000-000002010000}"/>
    <cellStyle name="Normal 6 2" xfId="242" xr:uid="{00000000-0005-0000-0000-000003010000}"/>
    <cellStyle name="Normal 6 3" xfId="303" xr:uid="{00000000-0005-0000-0000-000004010000}"/>
    <cellStyle name="Normal 6 3 2" xfId="755" xr:uid="{01BFA7D9-4458-4DD1-B3CA-082EAC2EF102}"/>
    <cellStyle name="Normal 6 4" xfId="489" xr:uid="{00000000-0005-0000-0000-000005010000}"/>
    <cellStyle name="Normal 6 4 2" xfId="908" xr:uid="{41D287E7-09BF-4EC5-BEDD-C8897E3B9CC7}"/>
    <cellStyle name="Normal 6 5" xfId="583" xr:uid="{B52E8787-E1A1-4266-ADA0-2F3ED4B31BB2}"/>
    <cellStyle name="Normal 60" xfId="82" xr:uid="{00000000-0005-0000-0000-000006010000}"/>
    <cellStyle name="Normal 60 2" xfId="304" xr:uid="{00000000-0005-0000-0000-000007010000}"/>
    <cellStyle name="Normal 60 2 2" xfId="756" xr:uid="{A2A44CC2-5A92-4924-84BC-2EC57EE4D2B7}"/>
    <cellStyle name="Normal 60 3" xfId="490" xr:uid="{00000000-0005-0000-0000-000008010000}"/>
    <cellStyle name="Normal 60 3 2" xfId="909" xr:uid="{D1EB4B60-95E0-4DB7-BB15-29D5CA1392F7}"/>
    <cellStyle name="Normal 60 4" xfId="584" xr:uid="{6F163EBF-34A3-48E6-B69C-C8D441FD4920}"/>
    <cellStyle name="Normal 61" xfId="83" xr:uid="{00000000-0005-0000-0000-000009010000}"/>
    <cellStyle name="Normal 61 2" xfId="305" xr:uid="{00000000-0005-0000-0000-00000A010000}"/>
    <cellStyle name="Normal 61 2 2" xfId="757" xr:uid="{BD0C5A73-49C9-48C5-8FC8-201BBF90920F}"/>
    <cellStyle name="Normal 61 3" xfId="491" xr:uid="{00000000-0005-0000-0000-00000B010000}"/>
    <cellStyle name="Normal 61 3 2" xfId="910" xr:uid="{0E05AEE2-7E04-41CC-AECB-53A01270E4ED}"/>
    <cellStyle name="Normal 61 4" xfId="585" xr:uid="{B716559B-D51A-4882-A52E-922EDE61B411}"/>
    <cellStyle name="Normal 62" xfId="84" xr:uid="{00000000-0005-0000-0000-00000C010000}"/>
    <cellStyle name="Normal 62 2" xfId="306" xr:uid="{00000000-0005-0000-0000-00000D010000}"/>
    <cellStyle name="Normal 62 2 2" xfId="758" xr:uid="{B1072426-A135-44B1-B81A-01BB57775E26}"/>
    <cellStyle name="Normal 62 3" xfId="492" xr:uid="{00000000-0005-0000-0000-00000E010000}"/>
    <cellStyle name="Normal 62 3 2" xfId="911" xr:uid="{31615B60-A678-4930-9AA1-3A8F4E4F8F36}"/>
    <cellStyle name="Normal 62 4" xfId="586" xr:uid="{7FE9EB1D-A428-411D-92AD-5A49A9382148}"/>
    <cellStyle name="Normal 63" xfId="400" xr:uid="{00000000-0005-0000-0000-00000F010000}"/>
    <cellStyle name="Normal 63 2" xfId="412" xr:uid="{00000000-0005-0000-0000-000010010000}"/>
    <cellStyle name="Normal 63 3" xfId="836" xr:uid="{1CE7C4E6-9132-4243-800F-134D4FA3FE21}"/>
    <cellStyle name="Normal 64" xfId="85" xr:uid="{00000000-0005-0000-0000-000011010000}"/>
    <cellStyle name="Normal 64 2" xfId="307" xr:uid="{00000000-0005-0000-0000-000012010000}"/>
    <cellStyle name="Normal 64 2 2" xfId="759" xr:uid="{9D8491C2-AF66-4E70-B065-05830438D798}"/>
    <cellStyle name="Normal 64 3" xfId="493" xr:uid="{00000000-0005-0000-0000-000013010000}"/>
    <cellStyle name="Normal 64 3 2" xfId="912" xr:uid="{A4CEC71E-B13F-4712-8649-B9107E177DAE}"/>
    <cellStyle name="Normal 64 4" xfId="587" xr:uid="{F4468C7D-86B6-4134-8CFD-65FE4624262C}"/>
    <cellStyle name="Normal 65" xfId="86" xr:uid="{00000000-0005-0000-0000-000014010000}"/>
    <cellStyle name="Normal 65 2" xfId="308" xr:uid="{00000000-0005-0000-0000-000015010000}"/>
    <cellStyle name="Normal 65 2 2" xfId="760" xr:uid="{31E68B08-DF39-4AF3-91E7-5B15D3AF7C64}"/>
    <cellStyle name="Normal 65 3" xfId="494" xr:uid="{00000000-0005-0000-0000-000016010000}"/>
    <cellStyle name="Normal 65 3 2" xfId="913" xr:uid="{173145E6-EB13-46FA-B635-F2EC8AE36E40}"/>
    <cellStyle name="Normal 65 4" xfId="588" xr:uid="{49B25496-0955-4311-BE3A-3047E1B12C2B}"/>
    <cellStyle name="Normal 66" xfId="413" xr:uid="{00000000-0005-0000-0000-000017010000}"/>
    <cellStyle name="Normal 66 2" xfId="414" xr:uid="{00000000-0005-0000-0000-000018010000}"/>
    <cellStyle name="Normal 67" xfId="415" xr:uid="{00000000-0005-0000-0000-000019010000}"/>
    <cellStyle name="Normal 67 2" xfId="416" xr:uid="{00000000-0005-0000-0000-00001A010000}"/>
    <cellStyle name="Normal 68" xfId="87" xr:uid="{00000000-0005-0000-0000-00001B010000}"/>
    <cellStyle name="Normal 68 2" xfId="309" xr:uid="{00000000-0005-0000-0000-00001C010000}"/>
    <cellStyle name="Normal 68 2 2" xfId="761" xr:uid="{941DD69E-2D67-4A06-8478-72223B0DCDA4}"/>
    <cellStyle name="Normal 68 3" xfId="495" xr:uid="{00000000-0005-0000-0000-00001D010000}"/>
    <cellStyle name="Normal 68 3 2" xfId="914" xr:uid="{78097FB4-EF66-4ADE-BECE-C87756A2E755}"/>
    <cellStyle name="Normal 68 4" xfId="589" xr:uid="{D8A20028-A708-4A01-81DB-C57DF7121BEB}"/>
    <cellStyle name="Normal 69" xfId="88" xr:uid="{00000000-0005-0000-0000-00001E010000}"/>
    <cellStyle name="Normal 69 2" xfId="310" xr:uid="{00000000-0005-0000-0000-00001F010000}"/>
    <cellStyle name="Normal 69 2 2" xfId="762" xr:uid="{38C53630-88EB-4D77-95E7-C53CEE4777EA}"/>
    <cellStyle name="Normal 69 3" xfId="496" xr:uid="{00000000-0005-0000-0000-000020010000}"/>
    <cellStyle name="Normal 69 3 2" xfId="915" xr:uid="{45ED7E00-C05B-4F05-BB56-DF8C031302ED}"/>
    <cellStyle name="Normal 69 4" xfId="590" xr:uid="{E11EA567-F08A-4466-9C33-D76010CB1E96}"/>
    <cellStyle name="Normal 7" xfId="89" xr:uid="{00000000-0005-0000-0000-000021010000}"/>
    <cellStyle name="Normal 7 2" xfId="243" xr:uid="{00000000-0005-0000-0000-000022010000}"/>
    <cellStyle name="Normal 7 3" xfId="389" xr:uid="{00000000-0005-0000-0000-000023010000}"/>
    <cellStyle name="Normal 7 4" xfId="497" xr:uid="{00000000-0005-0000-0000-000024010000}"/>
    <cellStyle name="Normal 7 4 2" xfId="916" xr:uid="{7C35ECA1-6853-4E64-B736-9BE083732E5D}"/>
    <cellStyle name="Normal 70" xfId="417" xr:uid="{00000000-0005-0000-0000-000025010000}"/>
    <cellStyle name="Normal 70 2" xfId="418" xr:uid="{00000000-0005-0000-0000-000026010000}"/>
    <cellStyle name="Normal 71" xfId="90" xr:uid="{00000000-0005-0000-0000-000027010000}"/>
    <cellStyle name="Normal 71 2" xfId="311" xr:uid="{00000000-0005-0000-0000-000028010000}"/>
    <cellStyle name="Normal 71 2 2" xfId="763" xr:uid="{0FDFFDC6-7F6D-488A-B72A-46FEE27C4134}"/>
    <cellStyle name="Normal 71 3" xfId="498" xr:uid="{00000000-0005-0000-0000-000029010000}"/>
    <cellStyle name="Normal 71 3 2" xfId="917" xr:uid="{E2AD4E65-69B6-49C0-81B1-1CDC66EB4FE3}"/>
    <cellStyle name="Normal 71 4" xfId="591" xr:uid="{6F5A1A0D-AFDC-427A-B00F-66EA6CC215F3}"/>
    <cellStyle name="Normal 72" xfId="91" xr:uid="{00000000-0005-0000-0000-00002A010000}"/>
    <cellStyle name="Normal 72 2" xfId="312" xr:uid="{00000000-0005-0000-0000-00002B010000}"/>
    <cellStyle name="Normal 72 2 2" xfId="764" xr:uid="{2CA5B218-BCCB-4456-8899-063C23821627}"/>
    <cellStyle name="Normal 72 3" xfId="499" xr:uid="{00000000-0005-0000-0000-00002C010000}"/>
    <cellStyle name="Normal 72 3 2" xfId="918" xr:uid="{57D42C52-BABA-4178-9825-B9CCCE54D817}"/>
    <cellStyle name="Normal 72 4" xfId="592" xr:uid="{80AF3A06-410A-4600-B018-E223C8010944}"/>
    <cellStyle name="Normal 73" xfId="420" xr:uid="{00000000-0005-0000-0000-00002D010000}"/>
    <cellStyle name="Normal 73 2" xfId="519" xr:uid="{00000000-0005-0000-0000-00002E010000}"/>
    <cellStyle name="Normal 74" xfId="423" xr:uid="{00000000-0005-0000-0000-00002F010000}"/>
    <cellStyle name="Normal 74 2" xfId="843" xr:uid="{B1CCB342-754A-4D9F-8B4D-F01B8E29997E}"/>
    <cellStyle name="Normal 75" xfId="427" xr:uid="{00000000-0005-0000-0000-000030010000}"/>
    <cellStyle name="Normal 75 2" xfId="846" xr:uid="{9F25CB3B-105F-492E-983C-A4C1B324E5F9}"/>
    <cellStyle name="Normal 76" xfId="92" xr:uid="{00000000-0005-0000-0000-000031010000}"/>
    <cellStyle name="Normal 76 2" xfId="313" xr:uid="{00000000-0005-0000-0000-000032010000}"/>
    <cellStyle name="Normal 76 2 2" xfId="765" xr:uid="{B9F62CC4-7121-4A6A-8CCF-5BC665F6B18F}"/>
    <cellStyle name="Normal 76 3" xfId="500" xr:uid="{00000000-0005-0000-0000-000033010000}"/>
    <cellStyle name="Normal 76 3 2" xfId="919" xr:uid="{AE7F7A7A-B3B8-4222-81E6-6BA624D678BF}"/>
    <cellStyle name="Normal 76 4" xfId="593" xr:uid="{516740AC-408C-4C5B-8DD5-BE479EF9A63B}"/>
    <cellStyle name="Normal 77" xfId="513" xr:uid="{00000000-0005-0000-0000-000034010000}"/>
    <cellStyle name="Normal 77 2" xfId="933" xr:uid="{C786C3EE-9E41-4D4F-9C1A-B49316BC84E9}"/>
    <cellStyle name="Normal 77 3" xfId="932" xr:uid="{EE8A5925-BA7D-4EED-9BB2-9989B1B233AB}"/>
    <cellStyle name="Normal 78" xfId="936" xr:uid="{A63A0814-C0D3-45FE-A26E-BBD4F496AC18}"/>
    <cellStyle name="Normal 79" xfId="949" xr:uid="{B9CAC486-87A5-49CE-93FC-E5F9DE730A9B}"/>
    <cellStyle name="Normal 79 2" xfId="956" xr:uid="{52FD28C9-50C6-4E2D-9D64-667795604416}"/>
    <cellStyle name="Normal 79 2 2" xfId="961" xr:uid="{37D156BA-3536-4AF2-AA2B-682424A32D70}"/>
    <cellStyle name="Normal 79 2 3" xfId="962" xr:uid="{868CDE6E-4326-44A4-9F72-A695B1BBC82D}"/>
    <cellStyle name="Normal 8" xfId="93" xr:uid="{00000000-0005-0000-0000-000035010000}"/>
    <cellStyle name="Normal 8 2" xfId="244" xr:uid="{00000000-0005-0000-0000-000036010000}"/>
    <cellStyle name="Normal 8 3" xfId="314" xr:uid="{00000000-0005-0000-0000-000037010000}"/>
    <cellStyle name="Normal 8 3 2" xfId="766" xr:uid="{AC5BDADF-54F2-495F-8DB1-218A2A4D4D0C}"/>
    <cellStyle name="Normal 8 4" xfId="501" xr:uid="{00000000-0005-0000-0000-000038010000}"/>
    <cellStyle name="Normal 8 4 2" xfId="920" xr:uid="{598465D5-02AF-48F1-B281-51A22EC24C54}"/>
    <cellStyle name="Normal 8 5" xfId="594" xr:uid="{7D18CD05-184D-4181-BE64-50EC1571DFF4}"/>
    <cellStyle name="Normal 80" xfId="94" xr:uid="{00000000-0005-0000-0000-000039010000}"/>
    <cellStyle name="Normal 80 2" xfId="315" xr:uid="{00000000-0005-0000-0000-00003A010000}"/>
    <cellStyle name="Normal 80 2 2" xfId="767" xr:uid="{D28DC525-9A9F-4636-B8B4-47C494115E28}"/>
    <cellStyle name="Normal 80 3" xfId="502" xr:uid="{00000000-0005-0000-0000-00003B010000}"/>
    <cellStyle name="Normal 80 3 2" xfId="921" xr:uid="{49207FC0-58A4-49E4-A33B-9289DF52363A}"/>
    <cellStyle name="Normal 80 4" xfId="595" xr:uid="{8335A5FF-D154-4223-A6A5-A8F305AA1A3E}"/>
    <cellStyle name="Normal 81" xfId="95" xr:uid="{00000000-0005-0000-0000-00003C010000}"/>
    <cellStyle name="Normal 81 2" xfId="316" xr:uid="{00000000-0005-0000-0000-00003D010000}"/>
    <cellStyle name="Normal 81 2 2" xfId="768" xr:uid="{785A5A68-D17C-4A44-AC72-051D81B8EA6A}"/>
    <cellStyle name="Normal 81 3" xfId="503" xr:uid="{00000000-0005-0000-0000-00003E010000}"/>
    <cellStyle name="Normal 81 3 2" xfId="922" xr:uid="{8F2A9F1A-BC4D-42C9-90CA-03BC8A5F0BC6}"/>
    <cellStyle name="Normal 81 4" xfId="596" xr:uid="{FF585D30-3CAD-4E76-A13D-E8376AD1731B}"/>
    <cellStyle name="Normal 82" xfId="96" xr:uid="{00000000-0005-0000-0000-00003F010000}"/>
    <cellStyle name="Normal 82 2" xfId="317" xr:uid="{00000000-0005-0000-0000-000040010000}"/>
    <cellStyle name="Normal 82 2 2" xfId="769" xr:uid="{24A58E7C-4F77-45D1-AEFD-513BB87C0B25}"/>
    <cellStyle name="Normal 82 3" xfId="504" xr:uid="{00000000-0005-0000-0000-000041010000}"/>
    <cellStyle name="Normal 82 3 2" xfId="923" xr:uid="{3375238F-2196-4B67-984D-B292782BDD98}"/>
    <cellStyle name="Normal 82 4" xfId="597" xr:uid="{6194011A-EDF1-42F7-9C9B-F164196283A7}"/>
    <cellStyle name="Normal 83" xfId="951" xr:uid="{A2E9CDC6-7397-43CB-A3D9-57356BCB6C2E}"/>
    <cellStyle name="Normal 83 2" xfId="958" xr:uid="{488861B8-B4EC-4AD1-9045-C7CC9B0B1B1E}"/>
    <cellStyle name="Normal 84" xfId="97" xr:uid="{00000000-0005-0000-0000-000042010000}"/>
    <cellStyle name="Normal 84 2" xfId="318" xr:uid="{00000000-0005-0000-0000-000043010000}"/>
    <cellStyle name="Normal 84 2 2" xfId="770" xr:uid="{526848D2-05BB-41B8-B86A-4A2797E933AB}"/>
    <cellStyle name="Normal 84 3" xfId="505" xr:uid="{00000000-0005-0000-0000-000044010000}"/>
    <cellStyle name="Normal 84 3 2" xfId="924" xr:uid="{2DB8F66E-D4C6-4372-B960-11C16DA9A05A}"/>
    <cellStyle name="Normal 84 4" xfId="598" xr:uid="{317F8C54-0700-4BD0-9530-11B737E1A147}"/>
    <cellStyle name="Normal 85" xfId="98" xr:uid="{00000000-0005-0000-0000-000045010000}"/>
    <cellStyle name="Normal 85 2" xfId="319" xr:uid="{00000000-0005-0000-0000-000046010000}"/>
    <cellStyle name="Normal 85 2 2" xfId="771" xr:uid="{7F6C3023-29CE-46C1-AD74-5B612C4FB1C3}"/>
    <cellStyle name="Normal 85 3" xfId="506" xr:uid="{00000000-0005-0000-0000-000047010000}"/>
    <cellStyle name="Normal 85 3 2" xfId="925" xr:uid="{F819D853-96AB-4389-8033-38944E2A9A3E}"/>
    <cellStyle name="Normal 85 4" xfId="599" xr:uid="{5FE7C890-F98F-407C-8E4A-B384D133448A}"/>
    <cellStyle name="Normal 86" xfId="99" xr:uid="{00000000-0005-0000-0000-000048010000}"/>
    <cellStyle name="Normal 86 2" xfId="320" xr:uid="{00000000-0005-0000-0000-000049010000}"/>
    <cellStyle name="Normal 86 2 2" xfId="772" xr:uid="{F80CC502-07D4-48A4-B2F4-64870BCB720A}"/>
    <cellStyle name="Normal 86 3" xfId="507" xr:uid="{00000000-0005-0000-0000-00004A010000}"/>
    <cellStyle name="Normal 86 3 2" xfId="926" xr:uid="{26DC5E4A-E39E-4103-AA32-8386115A65AB}"/>
    <cellStyle name="Normal 86 4" xfId="600" xr:uid="{BDCCE6DD-6534-4708-AF8B-37CDCD6265C7}"/>
    <cellStyle name="Normal 87" xfId="953" xr:uid="{E8333160-137A-4140-BF7E-17E263B1C0EC}"/>
    <cellStyle name="Normal 87 2" xfId="959" xr:uid="{2CCD1E82-8D9F-4E6D-BD33-B59AA22CEE86}"/>
    <cellStyle name="Normal 88" xfId="955" xr:uid="{195F7874-7161-4BD1-AEBA-47BB2016D946}"/>
    <cellStyle name="Normal 9" xfId="144" xr:uid="{00000000-0005-0000-0000-00004B010000}"/>
    <cellStyle name="Normal 90" xfId="100" xr:uid="{00000000-0005-0000-0000-00004C010000}"/>
    <cellStyle name="Normal 90 2" xfId="321" xr:uid="{00000000-0005-0000-0000-00004D010000}"/>
    <cellStyle name="Normal 90 2 2" xfId="773" xr:uid="{5F564E9E-526C-42F9-9EC7-40B8F3E9674D}"/>
    <cellStyle name="Normal 90 3" xfId="508" xr:uid="{00000000-0005-0000-0000-00004E010000}"/>
    <cellStyle name="Normal 90 3 2" xfId="927" xr:uid="{6BC9B293-747B-4AB6-9C4F-B58D70426631}"/>
    <cellStyle name="Normal 90 4" xfId="601" xr:uid="{B1B1D39C-981A-4237-B92C-95FE4D47FAFE}"/>
    <cellStyle name="Normal 92" xfId="101" xr:uid="{00000000-0005-0000-0000-00004F010000}"/>
    <cellStyle name="Normal 92 2" xfId="322" xr:uid="{00000000-0005-0000-0000-000050010000}"/>
    <cellStyle name="Normal 92 2 2" xfId="774" xr:uid="{D82CF916-C4A1-4BC2-B8A2-EF58E280544E}"/>
    <cellStyle name="Normal 92 3" xfId="509" xr:uid="{00000000-0005-0000-0000-000051010000}"/>
    <cellStyle name="Normal 92 3 2" xfId="928" xr:uid="{6A9976AC-80BD-471D-B491-B38D5F5905A8}"/>
    <cellStyle name="Normal 92 4" xfId="602" xr:uid="{38DB46DC-5995-4DA1-AFB3-5B1640288016}"/>
    <cellStyle name="Normal 94" xfId="102" xr:uid="{00000000-0005-0000-0000-000052010000}"/>
    <cellStyle name="Normal 94 2" xfId="323" xr:uid="{00000000-0005-0000-0000-000053010000}"/>
    <cellStyle name="Normal 94 2 2" xfId="775" xr:uid="{DBDBB4FE-3327-4963-A547-5CE7E3BF1FEF}"/>
    <cellStyle name="Normal 94 3" xfId="510" xr:uid="{00000000-0005-0000-0000-000054010000}"/>
    <cellStyle name="Normal 94 3 2" xfId="929" xr:uid="{9345048C-D470-4135-9219-47FE78A008BA}"/>
    <cellStyle name="Normal 94 4" xfId="603" xr:uid="{749A4D2C-B460-4DA8-BD14-4B63620C2110}"/>
    <cellStyle name="Normal 97" xfId="103" xr:uid="{00000000-0005-0000-0000-000055010000}"/>
    <cellStyle name="Normal 97 2" xfId="324" xr:uid="{00000000-0005-0000-0000-000056010000}"/>
    <cellStyle name="Normal 97 2 2" xfId="776" xr:uid="{C5CEEF95-1909-4997-827A-F0104E34E277}"/>
    <cellStyle name="Normal 97 3" xfId="511" xr:uid="{00000000-0005-0000-0000-000057010000}"/>
    <cellStyle name="Normal 97 3 2" xfId="930" xr:uid="{C66B3632-DE21-43D7-8BDC-31DB801C07F8}"/>
    <cellStyle name="Normal 97 4" xfId="604" xr:uid="{34890BB5-C696-4613-9CA2-95D8754AE9EE}"/>
    <cellStyle name="Normal 98" xfId="104" xr:uid="{00000000-0005-0000-0000-000058010000}"/>
    <cellStyle name="Normal 98 2" xfId="325" xr:uid="{00000000-0005-0000-0000-000059010000}"/>
    <cellStyle name="Normal 98 2 2" xfId="777" xr:uid="{CF613C0B-EA5A-4373-A4C3-246CB62745E1}"/>
    <cellStyle name="Normal 98 3" xfId="512" xr:uid="{00000000-0005-0000-0000-00005A010000}"/>
    <cellStyle name="Normal 98 3 2" xfId="931" xr:uid="{602EE81D-6108-4A4E-AA24-36CEEB152C57}"/>
    <cellStyle name="Normal 98 4" xfId="605" xr:uid="{6B28C1DE-EF23-4460-A039-EADFC155FC40}"/>
    <cellStyle name="Normal_21 Exh B" xfId="399" xr:uid="{00000000-0005-0000-0000-00005B010000}"/>
    <cellStyle name="Normal_Attachment GG Example 8 26 09" xfId="396" xr:uid="{00000000-0005-0000-0000-00005C010000}"/>
    <cellStyle name="Normal_Attachment GG Template ER11-28 11-18-10" xfId="393" xr:uid="{00000000-0005-0000-0000-00005D010000}"/>
    <cellStyle name="Normal_Attachment O Support - 2004 True-up" xfId="398" xr:uid="{00000000-0005-0000-0000-00005E010000}"/>
    <cellStyle name="Normal_Attachment Os for 2002 True-up" xfId="394" xr:uid="{00000000-0005-0000-0000-00005F010000}"/>
    <cellStyle name="Normal_statem~1" xfId="5" xr:uid="{00000000-0005-0000-0000-000060010000}"/>
    <cellStyle name="Normal_statem~4" xfId="6" xr:uid="{00000000-0005-0000-0000-000061010000}"/>
    <cellStyle name="Number" xfId="422" xr:uid="{00000000-0005-0000-0000-000062010000}"/>
    <cellStyle name="Percent" xfId="148" builtinId="5"/>
    <cellStyle name="Percent 2" xfId="7" xr:uid="{00000000-0005-0000-0000-000064010000}"/>
    <cellStyle name="Percent 2 2" xfId="159" xr:uid="{00000000-0005-0000-0000-000065010000}"/>
    <cellStyle name="Percent 2 3" xfId="392" xr:uid="{00000000-0005-0000-0000-000066010000}"/>
    <cellStyle name="Percent 3" xfId="105" xr:uid="{00000000-0005-0000-0000-000067010000}"/>
    <cellStyle name="Percent 4" xfId="146" xr:uid="{00000000-0005-0000-0000-000068010000}"/>
    <cellStyle name="Percent 5" xfId="150" xr:uid="{00000000-0005-0000-0000-000069010000}"/>
    <cellStyle name="Percent 5 2" xfId="359" xr:uid="{00000000-0005-0000-0000-00006A010000}"/>
    <cellStyle name="Percent 5 2 2" xfId="810" xr:uid="{7DDEC90C-F6E9-4024-A696-34500E6F0E7B}"/>
    <cellStyle name="Percent 5 3" xfId="641" xr:uid="{C8AEB4A2-DD5A-4490-8BFC-6476B7C1F12B}"/>
    <cellStyle name="Percent 6" xfId="153" xr:uid="{00000000-0005-0000-0000-00006B010000}"/>
    <cellStyle name="Percent 6 2" xfId="362" xr:uid="{00000000-0005-0000-0000-00006C010000}"/>
    <cellStyle name="Percent 6 2 2" xfId="813" xr:uid="{6058BC2E-3862-4DD6-8EA9-7C7C7D6A6C31}"/>
    <cellStyle name="Percent 6 3" xfId="644" xr:uid="{D5CBE28C-7600-4881-B36A-4BD30B974245}"/>
    <cellStyle name="Percent 7" xfId="419" xr:uid="{00000000-0005-0000-0000-00006D010000}"/>
    <cellStyle name="SAPBEXaggData" xfId="106" xr:uid="{00000000-0005-0000-0000-00006E010000}"/>
    <cellStyle name="SAPBEXaggData 2" xfId="199" xr:uid="{00000000-0005-0000-0000-00006F010000}"/>
    <cellStyle name="SAPBEXaggData 2 2" xfId="662" xr:uid="{9A591527-24EB-49F1-8A6E-E69735F5FBD0}"/>
    <cellStyle name="SAPBEXaggData 2 3" xfId="1013" xr:uid="{16AF6D83-13C6-4174-AAA2-04C9B43365F0}"/>
    <cellStyle name="SAPBEXaggData 3" xfId="326" xr:uid="{00000000-0005-0000-0000-000070010000}"/>
    <cellStyle name="SAPBEXaggData 3 2" xfId="778" xr:uid="{DD550DEC-9A91-4CE2-B572-EEB4F8755E3E}"/>
    <cellStyle name="SAPBEXaggData 3 3" xfId="1047" xr:uid="{1D8022E1-0A5B-47D6-8ABC-33CF2E739239}"/>
    <cellStyle name="SAPBEXaggData 4" xfId="406" xr:uid="{00000000-0005-0000-0000-000071010000}"/>
    <cellStyle name="SAPBEXaggData 4 2" xfId="841" xr:uid="{391A9C57-6904-4B81-B4E6-7B285307EFC1}"/>
    <cellStyle name="SAPBEXaggData 4 3" xfId="1096" xr:uid="{B40196D2-E7C4-4D36-BF9A-9B9699AD999A}"/>
    <cellStyle name="SAPBEXaggData 5" xfId="937" xr:uid="{2B6917FD-B08B-4DD7-AC05-6C39F836733E}"/>
    <cellStyle name="SAPBEXaggData 5 2" xfId="1101" xr:uid="{21EE6FB8-5771-45F5-AD9E-FB72A67FCD38}"/>
    <cellStyle name="SAPBEXaggData 6" xfId="606" xr:uid="{338BC5FD-753D-4475-8446-A7F08FB4B40A}"/>
    <cellStyle name="SAPBEXaggData 7" xfId="963" xr:uid="{FA5D22AC-B42A-4DFD-B5D5-000EDF4915DC}"/>
    <cellStyle name="SAPBEXaggDataEmph" xfId="107" xr:uid="{00000000-0005-0000-0000-000072010000}"/>
    <cellStyle name="SAPBEXaggDataEmph 2" xfId="200" xr:uid="{00000000-0005-0000-0000-000073010000}"/>
    <cellStyle name="SAPBEXaggDataEmph 2 2" xfId="663" xr:uid="{26D118DF-9E5E-42EC-B98B-226E9CD9C468}"/>
    <cellStyle name="SAPBEXaggDataEmph 2 3" xfId="1014" xr:uid="{DAD936E0-A10C-482A-81E2-CAD48B49921D}"/>
    <cellStyle name="SAPBEXaggDataEmph 3" xfId="327" xr:uid="{00000000-0005-0000-0000-000074010000}"/>
    <cellStyle name="SAPBEXaggDataEmph 3 2" xfId="779" xr:uid="{37BEBE49-D126-464C-B54D-8C1F1BD8DA40}"/>
    <cellStyle name="SAPBEXaggDataEmph 3 3" xfId="1048" xr:uid="{5143BB56-7E76-4307-AF68-552AF9BD567A}"/>
    <cellStyle name="SAPBEXaggDataEmph 4" xfId="607" xr:uid="{722C0BF8-A39C-4A62-B3FF-AAA1187D8637}"/>
    <cellStyle name="SAPBEXaggDataEmph 5" xfId="964" xr:uid="{D3C9BACE-52B4-4763-B0E8-7E8294DF05A2}"/>
    <cellStyle name="SAPBEXaggItem" xfId="108" xr:uid="{00000000-0005-0000-0000-000075010000}"/>
    <cellStyle name="SAPBEXaggItem 2" xfId="201" xr:uid="{00000000-0005-0000-0000-000076010000}"/>
    <cellStyle name="SAPBEXaggItem 2 2" xfId="939" xr:uid="{FB1BE46E-DDB6-4453-AAB5-F026D200E214}"/>
    <cellStyle name="SAPBEXaggItem 2 2 2" xfId="1103" xr:uid="{34063E6F-F2D1-4325-96F2-11E9D72632E5}"/>
    <cellStyle name="SAPBEXaggItem 2 3" xfId="664" xr:uid="{778CC7BE-A501-41AC-AFEF-EBC417E8BE33}"/>
    <cellStyle name="SAPBEXaggItem 2 4" xfId="1015" xr:uid="{65313E2F-ED7F-4A9D-ACE7-159142D16671}"/>
    <cellStyle name="SAPBEXaggItem 3" xfId="328" xr:uid="{00000000-0005-0000-0000-000077010000}"/>
    <cellStyle name="SAPBEXaggItem 3 2" xfId="780" xr:uid="{D150941E-74DD-4FC5-9E76-34432CF004C5}"/>
    <cellStyle name="SAPBEXaggItem 3 3" xfId="1049" xr:uid="{FEDDF9A9-A428-450F-8BC2-F3FFEEFF847F}"/>
    <cellStyle name="SAPBEXaggItem 4" xfId="409" xr:uid="{00000000-0005-0000-0000-000078010000}"/>
    <cellStyle name="SAPBEXaggItem 4 2" xfId="945" xr:uid="{061ABFBC-F0C4-4A5F-8142-AA49ACEC2247}"/>
    <cellStyle name="SAPBEXaggItem 4 2 2" xfId="1107" xr:uid="{40D44553-3943-4D7E-A398-07E08B88B205}"/>
    <cellStyle name="SAPBEXaggItem 4 3" xfId="842" xr:uid="{A6C9808D-9980-497D-8E67-44834053CB1B}"/>
    <cellStyle name="SAPBEXaggItem 4 4" xfId="1097" xr:uid="{72E3241C-C591-4CD2-B3A1-348DB799CF65}"/>
    <cellStyle name="SAPBEXaggItem 5" xfId="608" xr:uid="{60BF1FE2-3DAB-4B54-8AB3-C7CBEBCA0CB6}"/>
    <cellStyle name="SAPBEXaggItem 6" xfId="965" xr:uid="{C9B1D32F-C414-4D40-B80B-D0BC425E26E3}"/>
    <cellStyle name="SAPBEXaggItemX" xfId="109" xr:uid="{00000000-0005-0000-0000-000079010000}"/>
    <cellStyle name="SAPBEXaggItemX 2" xfId="202" xr:uid="{00000000-0005-0000-0000-00007A010000}"/>
    <cellStyle name="SAPBEXaggItemX 2 2" xfId="665" xr:uid="{ADF6FA39-3C31-4FB8-9270-6DE9B7A70667}"/>
    <cellStyle name="SAPBEXaggItemX 2 3" xfId="1016" xr:uid="{4FEB3CA5-3834-48C4-94A9-9828421F2616}"/>
    <cellStyle name="SAPBEXaggItemX 3" xfId="234" xr:uid="{00000000-0005-0000-0000-00007B010000}"/>
    <cellStyle name="SAPBEXaggItemX 3 2" xfId="695" xr:uid="{E95956DB-211D-4DFD-91F5-D375E8167D7F}"/>
    <cellStyle name="SAPBEXaggItemX 3 3" xfId="1044" xr:uid="{4CEE645C-CF15-4C15-B737-B41F5FBE34C2}"/>
    <cellStyle name="SAPBEXaggItemX 4" xfId="403" xr:uid="{00000000-0005-0000-0000-00007C010000}"/>
    <cellStyle name="SAPBEXaggItemX 4 2" xfId="839" xr:uid="{3E9D2C84-7EA7-498C-8F7C-783C13A515D8}"/>
    <cellStyle name="SAPBEXaggItemX 4 3" xfId="1093" xr:uid="{BBB0556A-05D9-41EC-800B-51FBCFAAFA72}"/>
    <cellStyle name="SAPBEXaggItemX 5" xfId="609" xr:uid="{DAE0A750-46C6-4800-9F8D-EB6151427925}"/>
    <cellStyle name="SAPBEXaggItemX 6" xfId="966" xr:uid="{5F2C0418-D1A2-4D50-89A1-B92204AE2250}"/>
    <cellStyle name="SAPBEXchaText" xfId="110" xr:uid="{00000000-0005-0000-0000-00007D010000}"/>
    <cellStyle name="SAPBEXchaText 2" xfId="165" xr:uid="{00000000-0005-0000-0000-00007E010000}"/>
    <cellStyle name="SAPBEXchaText 2 2" xfId="236" xr:uid="{00000000-0005-0000-0000-00007F010000}"/>
    <cellStyle name="SAPBEXchaText 2 2 2" xfId="697" xr:uid="{0323F94E-D8FB-473B-95E5-3408355C49B6}"/>
    <cellStyle name="SAPBEXchaText 2 2 3" xfId="1046" xr:uid="{3B24BFA6-A5B1-4CA2-B5F1-73DE16CC90FF}"/>
    <cellStyle name="SAPBEXchaText 2 3" xfId="647" xr:uid="{94AF5CE9-5CBE-441E-912B-90806F185383}"/>
    <cellStyle name="SAPBEXchaText 2 4" xfId="1000" xr:uid="{4AF5B674-A92E-495B-B63F-12396EF69382}"/>
    <cellStyle name="SAPBEXchaText 3" xfId="203" xr:uid="{00000000-0005-0000-0000-000080010000}"/>
    <cellStyle name="SAPBEXchaText 4" xfId="401" xr:uid="{00000000-0005-0000-0000-000081010000}"/>
    <cellStyle name="SAPBEXchaText 4 2" xfId="946" xr:uid="{D5E79F84-21E6-4635-B7A8-2E5E9C232BA2}"/>
    <cellStyle name="SAPBEXchaText 4 2 2" xfId="1108" xr:uid="{C273618E-79E7-45F7-BF9B-8B443BF38717}"/>
    <cellStyle name="SAPBEXchaText 4 3" xfId="837" xr:uid="{C579D8B3-3E44-4D20-B5D1-13351DFD949E}"/>
    <cellStyle name="SAPBEXchaText 4 4" xfId="1091" xr:uid="{11CC131F-730C-42AC-9EA7-ABE18CCCCE44}"/>
    <cellStyle name="SAPBEXchaText 5" xfId="944" xr:uid="{F42366EF-9287-4E4E-B81E-9EC5CF2D1E12}"/>
    <cellStyle name="SAPBEXchaText 5 2" xfId="1106" xr:uid="{0B824893-52E2-4ECA-8A29-ECE0BF0B5B8F}"/>
    <cellStyle name="SAPBEXchaText 6" xfId="610" xr:uid="{B60A515E-3297-4918-B495-A683553B1AF3}"/>
    <cellStyle name="SAPBEXchaText 7" xfId="967" xr:uid="{671A1E28-9FCC-4921-8268-B4FB298EE0F5}"/>
    <cellStyle name="SAPBEXchaText_10-28-10" xfId="166" xr:uid="{00000000-0005-0000-0000-000082010000}"/>
    <cellStyle name="SAPBEXexcBad7" xfId="111" xr:uid="{00000000-0005-0000-0000-000083010000}"/>
    <cellStyle name="SAPBEXexcBad7 2" xfId="204" xr:uid="{00000000-0005-0000-0000-000084010000}"/>
    <cellStyle name="SAPBEXexcBad7 2 2" xfId="666" xr:uid="{6B189512-9A87-4464-B2B0-AA49A4A6CD49}"/>
    <cellStyle name="SAPBEXexcBad7 2 3" xfId="1017" xr:uid="{28DB2243-C5EA-469F-8EBE-F4555D889B1A}"/>
    <cellStyle name="SAPBEXexcBad7 3" xfId="329" xr:uid="{00000000-0005-0000-0000-000085010000}"/>
    <cellStyle name="SAPBEXexcBad7 3 2" xfId="781" xr:uid="{61722EFD-9E99-4945-B8BD-5370C8FE878E}"/>
    <cellStyle name="SAPBEXexcBad7 3 3" xfId="1050" xr:uid="{31831652-9F88-4D5A-A944-BF9FEBE846B7}"/>
    <cellStyle name="SAPBEXexcBad7 4" xfId="611" xr:uid="{158E6077-DD31-4DF7-A84A-E277A0FAC931}"/>
    <cellStyle name="SAPBEXexcBad7 5" xfId="968" xr:uid="{A4A424BD-C34F-4B2B-827A-F8028810D053}"/>
    <cellStyle name="SAPBEXexcBad8" xfId="112" xr:uid="{00000000-0005-0000-0000-000086010000}"/>
    <cellStyle name="SAPBEXexcBad8 2" xfId="205" xr:uid="{00000000-0005-0000-0000-000087010000}"/>
    <cellStyle name="SAPBEXexcBad8 2 2" xfId="667" xr:uid="{745FC9AB-F428-456A-A061-0EC8B5B5EB74}"/>
    <cellStyle name="SAPBEXexcBad8 2 3" xfId="1018" xr:uid="{EAA088DD-E43B-4C96-A467-35B12F57C513}"/>
    <cellStyle name="SAPBEXexcBad8 3" xfId="330" xr:uid="{00000000-0005-0000-0000-000088010000}"/>
    <cellStyle name="SAPBEXexcBad8 3 2" xfId="782" xr:uid="{35496386-85B6-4135-BB89-D6F23EA6721D}"/>
    <cellStyle name="SAPBEXexcBad8 3 3" xfId="1051" xr:uid="{849BFCD0-4BEA-4BF3-9D61-E1581E4A7E20}"/>
    <cellStyle name="SAPBEXexcBad8 4" xfId="612" xr:uid="{D4EDA779-BE82-4FC3-A131-62A8E50E8C98}"/>
    <cellStyle name="SAPBEXexcBad8 5" xfId="969" xr:uid="{734CC5CE-0252-4755-8DEB-B71316409DFC}"/>
    <cellStyle name="SAPBEXexcBad9" xfId="113" xr:uid="{00000000-0005-0000-0000-000089010000}"/>
    <cellStyle name="SAPBEXexcBad9 2" xfId="206" xr:uid="{00000000-0005-0000-0000-00008A010000}"/>
    <cellStyle name="SAPBEXexcBad9 2 2" xfId="668" xr:uid="{5F6CBF78-D1C7-425B-B5A3-9CA8359B3CF7}"/>
    <cellStyle name="SAPBEXexcBad9 2 3" xfId="1019" xr:uid="{39BC1D77-250F-4A4B-8FB6-3B5CD46306B8}"/>
    <cellStyle name="SAPBEXexcBad9 3" xfId="331" xr:uid="{00000000-0005-0000-0000-00008B010000}"/>
    <cellStyle name="SAPBEXexcBad9 3 2" xfId="783" xr:uid="{0BDAB0DB-249C-4E79-8EFE-ABD44F4FD0C6}"/>
    <cellStyle name="SAPBEXexcBad9 3 3" xfId="1052" xr:uid="{B96D2C3B-FBB7-48E5-A98E-97F9F8A9805B}"/>
    <cellStyle name="SAPBEXexcBad9 4" xfId="613" xr:uid="{9E72114B-50F3-4F34-864C-38176F239436}"/>
    <cellStyle name="SAPBEXexcBad9 5" xfId="970" xr:uid="{B95F10AA-51A1-4B84-A0A9-7E9298DC9B03}"/>
    <cellStyle name="SAPBEXexcCritical4" xfId="114" xr:uid="{00000000-0005-0000-0000-00008C010000}"/>
    <cellStyle name="SAPBEXexcCritical4 2" xfId="207" xr:uid="{00000000-0005-0000-0000-00008D010000}"/>
    <cellStyle name="SAPBEXexcCritical4 2 2" xfId="669" xr:uid="{F93E74AD-FF7F-477A-9D9B-1093EE263575}"/>
    <cellStyle name="SAPBEXexcCritical4 2 3" xfId="1020" xr:uid="{5042AD98-C048-4403-BCBC-CD96B5BA0F32}"/>
    <cellStyle name="SAPBEXexcCritical4 3" xfId="332" xr:uid="{00000000-0005-0000-0000-00008E010000}"/>
    <cellStyle name="SAPBEXexcCritical4 3 2" xfId="784" xr:uid="{3CDC52C7-6BBA-4C44-88FC-65CECF9199CD}"/>
    <cellStyle name="SAPBEXexcCritical4 3 3" xfId="1053" xr:uid="{57B3BF0D-D3C3-4684-9C85-118F0706C6BB}"/>
    <cellStyle name="SAPBEXexcCritical4 4" xfId="614" xr:uid="{2BDA298E-4EAF-498D-BED1-493D22E51D48}"/>
    <cellStyle name="SAPBEXexcCritical4 5" xfId="971" xr:uid="{834CBBE9-EC88-49D8-9836-ED6FB978CC23}"/>
    <cellStyle name="SAPBEXexcCritical5" xfId="115" xr:uid="{00000000-0005-0000-0000-00008F010000}"/>
    <cellStyle name="SAPBEXexcCritical5 2" xfId="208" xr:uid="{00000000-0005-0000-0000-000090010000}"/>
    <cellStyle name="SAPBEXexcCritical5 2 2" xfId="670" xr:uid="{16E0E621-E86E-4495-94FB-1C8DF1B2C230}"/>
    <cellStyle name="SAPBEXexcCritical5 2 3" xfId="1021" xr:uid="{F17E8F72-6959-4DF3-9FFE-4EA5516F4408}"/>
    <cellStyle name="SAPBEXexcCritical5 3" xfId="333" xr:uid="{00000000-0005-0000-0000-000091010000}"/>
    <cellStyle name="SAPBEXexcCritical5 3 2" xfId="785" xr:uid="{FB570F81-C677-4973-91D3-E633F9D095D4}"/>
    <cellStyle name="SAPBEXexcCritical5 3 3" xfId="1054" xr:uid="{9368D548-3440-41B8-9C37-B11E661650FF}"/>
    <cellStyle name="SAPBEXexcCritical5 4" xfId="615" xr:uid="{54D4A5EE-C814-47E2-BB54-A12FA1143A45}"/>
    <cellStyle name="SAPBEXexcCritical5 5" xfId="972" xr:uid="{9A75249A-712F-43BA-83E1-DB477960234D}"/>
    <cellStyle name="SAPBEXexcCritical6" xfId="116" xr:uid="{00000000-0005-0000-0000-000092010000}"/>
    <cellStyle name="SAPBEXexcCritical6 2" xfId="209" xr:uid="{00000000-0005-0000-0000-000093010000}"/>
    <cellStyle name="SAPBEXexcCritical6 2 2" xfId="671" xr:uid="{269E44FD-3295-4566-B42C-993678A8040B}"/>
    <cellStyle name="SAPBEXexcCritical6 2 3" xfId="1022" xr:uid="{A5B64A88-C832-485B-A0BF-61E7C52E7DE1}"/>
    <cellStyle name="SAPBEXexcCritical6 3" xfId="334" xr:uid="{00000000-0005-0000-0000-000094010000}"/>
    <cellStyle name="SAPBEXexcCritical6 3 2" xfId="786" xr:uid="{B01D6CB3-154A-4846-98F3-4BF566DCFAA4}"/>
    <cellStyle name="SAPBEXexcCritical6 3 3" xfId="1055" xr:uid="{4024FE57-4E5E-4D6B-B3ED-1EF239D34447}"/>
    <cellStyle name="SAPBEXexcCritical6 4" xfId="616" xr:uid="{E359754F-83C4-4225-AF93-D4AA5B4830CE}"/>
    <cellStyle name="SAPBEXexcCritical6 5" xfId="973" xr:uid="{5DCB0DE8-7314-4EF7-A59B-052F79C9F3DB}"/>
    <cellStyle name="SAPBEXexcGood1" xfId="117" xr:uid="{00000000-0005-0000-0000-000095010000}"/>
    <cellStyle name="SAPBEXexcGood1 2" xfId="210" xr:uid="{00000000-0005-0000-0000-000096010000}"/>
    <cellStyle name="SAPBEXexcGood1 2 2" xfId="672" xr:uid="{A2CE9796-74D1-40CA-A6C2-0BBFC420BC17}"/>
    <cellStyle name="SAPBEXexcGood1 2 3" xfId="1023" xr:uid="{B2DD60CC-8268-4F2F-A3E6-5553036E153F}"/>
    <cellStyle name="SAPBEXexcGood1 3" xfId="335" xr:uid="{00000000-0005-0000-0000-000097010000}"/>
    <cellStyle name="SAPBEXexcGood1 3 2" xfId="787" xr:uid="{05573E45-5B3C-48B9-8C4D-C4472B8F94AB}"/>
    <cellStyle name="SAPBEXexcGood1 3 3" xfId="1056" xr:uid="{B9B2B382-2F5F-422E-AF77-2B176D325B91}"/>
    <cellStyle name="SAPBEXexcGood1 4" xfId="617" xr:uid="{2EC56BE8-C596-4FF4-B9FF-9ADB3769615D}"/>
    <cellStyle name="SAPBEXexcGood1 5" xfId="974" xr:uid="{066975DC-E156-4BEB-A083-EED08618651E}"/>
    <cellStyle name="SAPBEXexcGood2" xfId="118" xr:uid="{00000000-0005-0000-0000-000098010000}"/>
    <cellStyle name="SAPBEXexcGood2 2" xfId="211" xr:uid="{00000000-0005-0000-0000-000099010000}"/>
    <cellStyle name="SAPBEXexcGood2 2 2" xfId="673" xr:uid="{557B9177-2DE0-4836-B91C-E0CF484810C0}"/>
    <cellStyle name="SAPBEXexcGood2 2 3" xfId="1024" xr:uid="{563A1225-32D0-4E83-8746-DC06C5809B42}"/>
    <cellStyle name="SAPBEXexcGood2 3" xfId="336" xr:uid="{00000000-0005-0000-0000-00009A010000}"/>
    <cellStyle name="SAPBEXexcGood2 3 2" xfId="788" xr:uid="{FBEC91E7-1BF5-446D-93AE-4F79632F1B04}"/>
    <cellStyle name="SAPBEXexcGood2 3 3" xfId="1057" xr:uid="{922783A0-25C6-4E2E-9B27-2142C15F9A8D}"/>
    <cellStyle name="SAPBEXexcGood2 4" xfId="618" xr:uid="{4236DB08-BBCC-4294-BF29-7AD21EFE1AA0}"/>
    <cellStyle name="SAPBEXexcGood2 5" xfId="975" xr:uid="{B56728A3-4B97-42A3-A008-06D1F50E02F9}"/>
    <cellStyle name="SAPBEXexcGood3" xfId="119" xr:uid="{00000000-0005-0000-0000-00009B010000}"/>
    <cellStyle name="SAPBEXexcGood3 2" xfId="212" xr:uid="{00000000-0005-0000-0000-00009C010000}"/>
    <cellStyle name="SAPBEXexcGood3 2 2" xfId="674" xr:uid="{74EA45E8-76FB-46C0-A83B-4F59E1AF4F38}"/>
    <cellStyle name="SAPBEXexcGood3 2 3" xfId="1025" xr:uid="{B8E07F6E-9B03-4B94-A1E7-D7AB53A73CA6}"/>
    <cellStyle name="SAPBEXexcGood3 3" xfId="337" xr:uid="{00000000-0005-0000-0000-00009D010000}"/>
    <cellStyle name="SAPBEXexcGood3 3 2" xfId="789" xr:uid="{44FC9F5C-88B2-4A83-BBD9-C08B88E0F520}"/>
    <cellStyle name="SAPBEXexcGood3 3 3" xfId="1058" xr:uid="{6F9E0EF4-B6AD-46ED-BD10-66CB912B161F}"/>
    <cellStyle name="SAPBEXexcGood3 4" xfId="619" xr:uid="{50200275-E552-42FD-AF9F-590486DA9659}"/>
    <cellStyle name="SAPBEXexcGood3 5" xfId="976" xr:uid="{D8F98935-1C3B-4931-BAB9-32D757CC7966}"/>
    <cellStyle name="SAPBEXfilterDrill" xfId="120" xr:uid="{00000000-0005-0000-0000-00009E010000}"/>
    <cellStyle name="SAPBEXfilterDrill 2" xfId="213" xr:uid="{00000000-0005-0000-0000-00009F010000}"/>
    <cellStyle name="SAPBEXfilterDrill 2 2" xfId="675" xr:uid="{5D56034A-A861-4DE5-BF8B-12F3F7EB4583}"/>
    <cellStyle name="SAPBEXfilterDrill 3" xfId="338" xr:uid="{00000000-0005-0000-0000-0000A0010000}"/>
    <cellStyle name="SAPBEXfilterDrill 3 2" xfId="790" xr:uid="{A9D31FE7-CF9F-4D00-8071-AFC74DF7AD8F}"/>
    <cellStyle name="SAPBEXfilterDrill 3 3" xfId="1059" xr:uid="{0CF36F0B-7471-4DD6-A979-24F7AB225B97}"/>
    <cellStyle name="SAPBEXfilterDrill 4" xfId="620" xr:uid="{126677F4-187F-4708-B4BC-075A370FD9E2}"/>
    <cellStyle name="SAPBEXfilterDrill 5" xfId="977" xr:uid="{0F5C8580-85C3-41EA-AE09-7315AE29523C}"/>
    <cellStyle name="SAPBEXfilterItem" xfId="121" xr:uid="{00000000-0005-0000-0000-0000A1010000}"/>
    <cellStyle name="SAPBEXfilterItem 2" xfId="214" xr:uid="{00000000-0005-0000-0000-0000A2010000}"/>
    <cellStyle name="SAPBEXfilterItem 3" xfId="621" xr:uid="{24601C5C-BA03-4A10-A516-911B1BEE820A}"/>
    <cellStyle name="SAPBEXfilterItem 4" xfId="978" xr:uid="{D0ABD91D-4E52-4481-95A6-EFD729FCBF47}"/>
    <cellStyle name="SAPBEXfilterText" xfId="122" xr:uid="{00000000-0005-0000-0000-0000A3010000}"/>
    <cellStyle name="SAPBEXfilterText 2" xfId="167" xr:uid="{00000000-0005-0000-0000-0000A4010000}"/>
    <cellStyle name="SAPBEXformats" xfId="123" xr:uid="{00000000-0005-0000-0000-0000A5010000}"/>
    <cellStyle name="SAPBEXformats 2" xfId="168" xr:uid="{00000000-0005-0000-0000-0000A6010000}"/>
    <cellStyle name="SAPBEXformats 2 2" xfId="367" xr:uid="{00000000-0005-0000-0000-0000A7010000}"/>
    <cellStyle name="SAPBEXformats 2 2 2" xfId="816" xr:uid="{8DF91350-681E-407A-BFD0-BF64DCE3DF09}"/>
    <cellStyle name="SAPBEXformats 2 2 3" xfId="1079" xr:uid="{38D4F3C7-5D90-4A41-8893-1731B963077C}"/>
    <cellStyle name="SAPBEXformats 2 3" xfId="648" xr:uid="{9428DD5D-FAA3-4663-A907-A08A2809B32E}"/>
    <cellStyle name="SAPBEXformats 2 4" xfId="1001" xr:uid="{D81C681B-9AAC-4E64-AAD5-8F8D6B677A87}"/>
    <cellStyle name="SAPBEXformats 3" xfId="215" xr:uid="{00000000-0005-0000-0000-0000A8010000}"/>
    <cellStyle name="SAPBEXformats 3 2" xfId="676" xr:uid="{5E3C60DB-6D2B-401D-80EC-11278CAF8081}"/>
    <cellStyle name="SAPBEXformats 3 3" xfId="1026" xr:uid="{08927F7D-E96C-47B7-8C8D-EB0AECEE740F}"/>
    <cellStyle name="SAPBEXformats 4" xfId="339" xr:uid="{00000000-0005-0000-0000-0000A9010000}"/>
    <cellStyle name="SAPBEXformats 4 2" xfId="791" xr:uid="{E25F40BE-6AC7-441B-BE75-EBC9C6AA5E08}"/>
    <cellStyle name="SAPBEXformats 4 3" xfId="1060" xr:uid="{0368B3D1-9B8B-4682-82EB-270DA06036E0}"/>
    <cellStyle name="SAPBEXformats 5" xfId="622" xr:uid="{2CEF7065-1FF1-435B-A7C9-C0E42BEE754E}"/>
    <cellStyle name="SAPBEXformats 6" xfId="979" xr:uid="{63A9C660-6812-4107-B5D2-583CF6F284CC}"/>
    <cellStyle name="SAPBEXformats_10-28-10" xfId="169" xr:uid="{00000000-0005-0000-0000-0000AA010000}"/>
    <cellStyle name="SAPBEXheaderItem" xfId="124" xr:uid="{00000000-0005-0000-0000-0000AB010000}"/>
    <cellStyle name="SAPBEXheaderItem 2" xfId="170" xr:uid="{00000000-0005-0000-0000-0000AC010000}"/>
    <cellStyle name="SAPBEXheaderItem 2 2" xfId="368" xr:uid="{00000000-0005-0000-0000-0000AD010000}"/>
    <cellStyle name="SAPBEXheaderItem 2 2 2" xfId="817" xr:uid="{AB5F2776-EAED-43E7-9070-7E2C2548DAF0}"/>
    <cellStyle name="SAPBEXheaderItem 2 2 3" xfId="1080" xr:uid="{456F53D8-BB16-441E-8915-6164C12F4DC8}"/>
    <cellStyle name="SAPBEXheaderItem 2 3" xfId="649" xr:uid="{2E9ECAB2-673C-4935-A97C-E1279DEDD208}"/>
    <cellStyle name="SAPBEXheaderItem 2 4" xfId="1002" xr:uid="{8150DE29-4D20-4B28-91DE-1A16B4C370D5}"/>
    <cellStyle name="SAPBEXheaderItem 3" xfId="340" xr:uid="{00000000-0005-0000-0000-0000AE010000}"/>
    <cellStyle name="SAPBEXheaderItem 3 2" xfId="792" xr:uid="{490E0B40-73C1-4E1E-A5CC-9579D4BDCBE9}"/>
    <cellStyle name="SAPBEXheaderItem 3 3" xfId="1061" xr:uid="{82F9B40B-C5CF-4F34-946B-3193BB2FCE30}"/>
    <cellStyle name="SAPBEXheaderItem 4" xfId="623" xr:uid="{E644FDB6-53E0-4872-8BAD-9811CE99D04C}"/>
    <cellStyle name="SAPBEXheaderItem 5" xfId="980" xr:uid="{F9CC231D-53FD-4496-B635-6ADF36B0FE09}"/>
    <cellStyle name="SAPBEXheaderText" xfId="125" xr:uid="{00000000-0005-0000-0000-0000AF010000}"/>
    <cellStyle name="SAPBEXheaderText 2" xfId="171" xr:uid="{00000000-0005-0000-0000-0000B0010000}"/>
    <cellStyle name="SAPBEXheaderText 2 2" xfId="369" xr:uid="{00000000-0005-0000-0000-0000B1010000}"/>
    <cellStyle name="SAPBEXheaderText 2 2 2" xfId="818" xr:uid="{00225CD3-01CA-4167-BD92-3731585D32D2}"/>
    <cellStyle name="SAPBEXheaderText 2 2 3" xfId="1081" xr:uid="{3A85D0CD-EC88-4578-8FBD-2C0E1707AF6F}"/>
    <cellStyle name="SAPBEXheaderText 2 3" xfId="650" xr:uid="{EA0C5B29-67FF-4489-93F9-2522F80B5BA8}"/>
    <cellStyle name="SAPBEXheaderText 2 4" xfId="1003" xr:uid="{0F78A87E-B2EE-4421-A68A-90869FD6B6E0}"/>
    <cellStyle name="SAPBEXheaderText 3" xfId="341" xr:uid="{00000000-0005-0000-0000-0000B2010000}"/>
    <cellStyle name="SAPBEXheaderText 3 2" xfId="793" xr:uid="{FA845A5B-CA47-4580-A13E-182A8C17ED27}"/>
    <cellStyle name="SAPBEXheaderText 3 3" xfId="1062" xr:uid="{A74EEE81-2E97-4502-8E89-8958099535B3}"/>
    <cellStyle name="SAPBEXheaderText 4" xfId="624" xr:uid="{1A8D319B-5FAB-4385-BADD-F446E80B5697}"/>
    <cellStyle name="SAPBEXheaderText 5" xfId="981" xr:uid="{8A7EBDF6-A14E-4BB6-8719-C34292D216BB}"/>
    <cellStyle name="SAPBEXHLevel0" xfId="126" xr:uid="{00000000-0005-0000-0000-0000B3010000}"/>
    <cellStyle name="SAPBEXHLevel0 2" xfId="172" xr:uid="{00000000-0005-0000-0000-0000B4010000}"/>
    <cellStyle name="SAPBEXHLevel0 2 2" xfId="370" xr:uid="{00000000-0005-0000-0000-0000B5010000}"/>
    <cellStyle name="SAPBEXHLevel0 2 2 2" xfId="819" xr:uid="{E48452A3-A9DD-4DA6-9CED-4A7BD18ABB08}"/>
    <cellStyle name="SAPBEXHLevel0 2 2 3" xfId="1082" xr:uid="{7DDD210F-7128-4165-8081-DFB975702A69}"/>
    <cellStyle name="SAPBEXHLevel0 2 3" xfId="651" xr:uid="{4DB136CD-DE22-4353-89C7-5B9F66FC3477}"/>
    <cellStyle name="SAPBEXHLevel0 2 4" xfId="1004" xr:uid="{E923879A-B4B3-4BAD-8E4D-FD42DF8F5221}"/>
    <cellStyle name="SAPBEXHLevel0 3" xfId="216" xr:uid="{00000000-0005-0000-0000-0000B6010000}"/>
    <cellStyle name="SAPBEXHLevel0 3 2" xfId="677" xr:uid="{58D5BC9B-3627-4E8B-A758-B8EC4EC4F21C}"/>
    <cellStyle name="SAPBEXHLevel0 3 3" xfId="1027" xr:uid="{27F91FBF-173A-4FBD-9909-6DC93D4D71C0}"/>
    <cellStyle name="SAPBEXHLevel0 4" xfId="342" xr:uid="{00000000-0005-0000-0000-0000B7010000}"/>
    <cellStyle name="SAPBEXHLevel0 4 2" xfId="794" xr:uid="{3CD9F66C-6ECB-45FC-BC54-857D7712409F}"/>
    <cellStyle name="SAPBEXHLevel0 4 3" xfId="1063" xr:uid="{B92E9583-1D89-421D-85E0-B954AF8B8729}"/>
    <cellStyle name="SAPBEXHLevel0 5" xfId="625" xr:uid="{E79FE4E5-9D60-40C8-AE2C-D926DC9EEDBD}"/>
    <cellStyle name="SAPBEXHLevel0 6" xfId="982" xr:uid="{CF2F7D6D-A77E-49DF-ACD1-7D7D1B51E2DA}"/>
    <cellStyle name="SAPBEXHLevel0_10-28-10" xfId="173" xr:uid="{00000000-0005-0000-0000-0000B8010000}"/>
    <cellStyle name="SAPBEXHLevel0X" xfId="127" xr:uid="{00000000-0005-0000-0000-0000B9010000}"/>
    <cellStyle name="SAPBEXHLevel0X 2" xfId="174" xr:uid="{00000000-0005-0000-0000-0000BA010000}"/>
    <cellStyle name="SAPBEXHLevel0X 2 2" xfId="371" xr:uid="{00000000-0005-0000-0000-0000BB010000}"/>
    <cellStyle name="SAPBEXHLevel0X 2 2 2" xfId="820" xr:uid="{765015DB-8581-4C2F-90B5-AB87DD81ECB4}"/>
    <cellStyle name="SAPBEXHLevel0X 2 2 3" xfId="1083" xr:uid="{1BD060FF-567F-4B94-AE4A-95759C02F5A9}"/>
    <cellStyle name="SAPBEXHLevel0X 2 3" xfId="652" xr:uid="{B886C453-C4FD-434E-BCC8-028F8F783854}"/>
    <cellStyle name="SAPBEXHLevel0X 2 4" xfId="1005" xr:uid="{A12569B1-ECCB-45CC-AF64-FCF3270AE10B}"/>
    <cellStyle name="SAPBEXHLevel0X 3" xfId="217" xr:uid="{00000000-0005-0000-0000-0000BC010000}"/>
    <cellStyle name="SAPBEXHLevel0X 3 2" xfId="678" xr:uid="{25C7B80B-DB8F-48B2-BCE2-14ED1EA6BC2A}"/>
    <cellStyle name="SAPBEXHLevel0X 3 3" xfId="1028" xr:uid="{48B1805B-7915-4EC8-8776-99B3FA6C636E}"/>
    <cellStyle name="SAPBEXHLevel0X 4" xfId="343" xr:uid="{00000000-0005-0000-0000-0000BD010000}"/>
    <cellStyle name="SAPBEXHLevel0X 4 2" xfId="795" xr:uid="{4CA4352D-BA84-4BBD-8677-3C58FFB85A53}"/>
    <cellStyle name="SAPBEXHLevel0X 4 3" xfId="1064" xr:uid="{BEB9655C-741C-40AB-80CA-33C88A010419}"/>
    <cellStyle name="SAPBEXHLevel0X 5" xfId="626" xr:uid="{0BD1B408-9CA3-44A6-A488-AF87D22C9152}"/>
    <cellStyle name="SAPBEXHLevel0X 6" xfId="983" xr:uid="{ACF52144-5B59-4B84-A4A5-B2CBA3E09C25}"/>
    <cellStyle name="SAPBEXHLevel0X_10-28-10" xfId="175" xr:uid="{00000000-0005-0000-0000-0000BE010000}"/>
    <cellStyle name="SAPBEXHLevel1" xfId="128" xr:uid="{00000000-0005-0000-0000-0000BF010000}"/>
    <cellStyle name="SAPBEXHLevel1 2" xfId="176" xr:uid="{00000000-0005-0000-0000-0000C0010000}"/>
    <cellStyle name="SAPBEXHLevel1 2 2" xfId="372" xr:uid="{00000000-0005-0000-0000-0000C1010000}"/>
    <cellStyle name="SAPBEXHLevel1 2 2 2" xfId="821" xr:uid="{680B4E2D-3C3A-4FBE-959B-A5150183967F}"/>
    <cellStyle name="SAPBEXHLevel1 2 2 3" xfId="1084" xr:uid="{B4025A85-B13C-4CD1-B8CF-3170ED873BEB}"/>
    <cellStyle name="SAPBEXHLevel1 2 3" xfId="653" xr:uid="{DF9DD4F7-5B77-465C-B77F-73D0C92E139D}"/>
    <cellStyle name="SAPBEXHLevel1 2 4" xfId="1006" xr:uid="{CBD932C5-8DCF-444E-B9F5-D53024E56C4D}"/>
    <cellStyle name="SAPBEXHLevel1 3" xfId="218" xr:uid="{00000000-0005-0000-0000-0000C2010000}"/>
    <cellStyle name="SAPBEXHLevel1 3 2" xfId="679" xr:uid="{601E7E73-CC98-4A1D-945B-9AF15D39CD68}"/>
    <cellStyle name="SAPBEXHLevel1 3 3" xfId="1029" xr:uid="{DC3BEFE5-3CEB-41FF-9E5D-5B76E9C4B7BC}"/>
    <cellStyle name="SAPBEXHLevel1 4" xfId="344" xr:uid="{00000000-0005-0000-0000-0000C3010000}"/>
    <cellStyle name="SAPBEXHLevel1 4 2" xfId="796" xr:uid="{A485C293-ACC3-4E13-8077-41B2D63344D5}"/>
    <cellStyle name="SAPBEXHLevel1 4 3" xfId="1065" xr:uid="{B6EA1BEB-D7DF-448D-BD5E-BB64E59BDD65}"/>
    <cellStyle name="SAPBEXHLevel1 5" xfId="627" xr:uid="{6011D738-61EF-4048-A660-0A3A64C015B1}"/>
    <cellStyle name="SAPBEXHLevel1 6" xfId="984" xr:uid="{01E28CBC-E723-4595-A720-0AAC4D7099FA}"/>
    <cellStyle name="SAPBEXHLevel1_10-28-10" xfId="177" xr:uid="{00000000-0005-0000-0000-0000C4010000}"/>
    <cellStyle name="SAPBEXHLevel1X" xfId="129" xr:uid="{00000000-0005-0000-0000-0000C5010000}"/>
    <cellStyle name="SAPBEXHLevel1X 2" xfId="178" xr:uid="{00000000-0005-0000-0000-0000C6010000}"/>
    <cellStyle name="SAPBEXHLevel1X 2 2" xfId="373" xr:uid="{00000000-0005-0000-0000-0000C7010000}"/>
    <cellStyle name="SAPBEXHLevel1X 2 2 2" xfId="822" xr:uid="{84E0ED56-FAA7-4392-82AF-4D80BC60C97C}"/>
    <cellStyle name="SAPBEXHLevel1X 2 2 3" xfId="1085" xr:uid="{AE211B46-97F3-4713-8624-EBEE9D4BC727}"/>
    <cellStyle name="SAPBEXHLevel1X 2 3" xfId="654" xr:uid="{F876BF0C-EF0C-4E79-89B2-B2B87779A4C3}"/>
    <cellStyle name="SAPBEXHLevel1X 2 4" xfId="1007" xr:uid="{AA636CE3-1BC0-4EE4-9CE9-4FD4C57FA449}"/>
    <cellStyle name="SAPBEXHLevel1X 3" xfId="219" xr:uid="{00000000-0005-0000-0000-0000C8010000}"/>
    <cellStyle name="SAPBEXHLevel1X 3 2" xfId="680" xr:uid="{08A05852-8235-49CC-AF5B-4F2C42524409}"/>
    <cellStyle name="SAPBEXHLevel1X 3 3" xfId="1030" xr:uid="{A00CA6C8-1ED3-4366-AA09-1F353FF269A6}"/>
    <cellStyle name="SAPBEXHLevel1X 4" xfId="345" xr:uid="{00000000-0005-0000-0000-0000C9010000}"/>
    <cellStyle name="SAPBEXHLevel1X 4 2" xfId="797" xr:uid="{AFD077D9-31F4-41A0-B545-191A756F59E5}"/>
    <cellStyle name="SAPBEXHLevel1X 4 3" xfId="1066" xr:uid="{46E41BCE-DCD0-458E-9620-0BD1F37B75F2}"/>
    <cellStyle name="SAPBEXHLevel1X 5" xfId="628" xr:uid="{3697068A-84C7-4F96-BD91-FE9E2C81EAA1}"/>
    <cellStyle name="SAPBEXHLevel1X 6" xfId="985" xr:uid="{EC2DCD81-BA48-4635-92EF-7D219D47BB7B}"/>
    <cellStyle name="SAPBEXHLevel1X_10-28-10" xfId="179" xr:uid="{00000000-0005-0000-0000-0000CA010000}"/>
    <cellStyle name="SAPBEXHLevel2" xfId="130" xr:uid="{00000000-0005-0000-0000-0000CB010000}"/>
    <cellStyle name="SAPBEXHLevel2 2" xfId="180" xr:uid="{00000000-0005-0000-0000-0000CC010000}"/>
    <cellStyle name="SAPBEXHLevel2 2 2" xfId="374" xr:uid="{00000000-0005-0000-0000-0000CD010000}"/>
    <cellStyle name="SAPBEXHLevel2 2 2 2" xfId="823" xr:uid="{88C3AE16-FB01-46B2-A50F-555C705DADD5}"/>
    <cellStyle name="SAPBEXHLevel2 2 2 3" xfId="1086" xr:uid="{CFAA02FB-35C8-4B1D-8F7E-F5F2DCFF3630}"/>
    <cellStyle name="SAPBEXHLevel2 2 3" xfId="655" xr:uid="{6C062901-3522-41AA-BB38-DD554D0EF5E9}"/>
    <cellStyle name="SAPBEXHLevel2 2 4" xfId="1008" xr:uid="{57BBB561-9A3C-4D14-81E7-BEFB737C771F}"/>
    <cellStyle name="SAPBEXHLevel2 3" xfId="220" xr:uid="{00000000-0005-0000-0000-0000CE010000}"/>
    <cellStyle name="SAPBEXHLevel2 3 2" xfId="681" xr:uid="{C4BA9F3B-FEDE-450B-B8F9-93516EBEAC56}"/>
    <cellStyle name="SAPBEXHLevel2 3 3" xfId="1031" xr:uid="{2C4A86A4-1FDE-479A-B1CB-76BCFBFC22D0}"/>
    <cellStyle name="SAPBEXHLevel2 4" xfId="346" xr:uid="{00000000-0005-0000-0000-0000CF010000}"/>
    <cellStyle name="SAPBEXHLevel2 4 2" xfId="798" xr:uid="{C8E1CF31-38F8-4408-BC27-AE7702319007}"/>
    <cellStyle name="SAPBEXHLevel2 4 3" xfId="1067" xr:uid="{CC0A1F58-6E1E-48BC-A9F9-6E31E439E207}"/>
    <cellStyle name="SAPBEXHLevel2 5" xfId="629" xr:uid="{49A18A0E-0347-4F93-B75B-93276716BF2D}"/>
    <cellStyle name="SAPBEXHLevel2 6" xfId="986" xr:uid="{5281EA0A-6D0E-4089-B5D4-8585E5664231}"/>
    <cellStyle name="SAPBEXHLevel2_10-28-10" xfId="181" xr:uid="{00000000-0005-0000-0000-0000D0010000}"/>
    <cellStyle name="SAPBEXHLevel2X" xfId="131" xr:uid="{00000000-0005-0000-0000-0000D1010000}"/>
    <cellStyle name="SAPBEXHLevel2X 2" xfId="182" xr:uid="{00000000-0005-0000-0000-0000D2010000}"/>
    <cellStyle name="SAPBEXHLevel2X 2 2" xfId="375" xr:uid="{00000000-0005-0000-0000-0000D3010000}"/>
    <cellStyle name="SAPBEXHLevel2X 2 2 2" xfId="824" xr:uid="{ECB01A89-7A4E-421C-941A-9D572EB92E2B}"/>
    <cellStyle name="SAPBEXHLevel2X 2 2 3" xfId="1087" xr:uid="{D694B51C-91EC-4530-8169-E4645A42A5B7}"/>
    <cellStyle name="SAPBEXHLevel2X 2 3" xfId="656" xr:uid="{BDEEF00B-B5B7-45E7-812E-B1742614632A}"/>
    <cellStyle name="SAPBEXHLevel2X 2 4" xfId="1009" xr:uid="{3D875842-1B2F-4ECA-9C26-A12BE7328897}"/>
    <cellStyle name="SAPBEXHLevel2X 3" xfId="221" xr:uid="{00000000-0005-0000-0000-0000D4010000}"/>
    <cellStyle name="SAPBEXHLevel2X 3 2" xfId="682" xr:uid="{C25B9434-6546-4F4C-950F-CD1D04F67000}"/>
    <cellStyle name="SAPBEXHLevel2X 3 3" xfId="1032" xr:uid="{E6BB1F07-F0D8-4D11-9B05-0C10BCA26398}"/>
    <cellStyle name="SAPBEXHLevel2X 4" xfId="347" xr:uid="{00000000-0005-0000-0000-0000D5010000}"/>
    <cellStyle name="SAPBEXHLevel2X 4 2" xfId="799" xr:uid="{E0FB862C-39EA-4B62-8632-73F3C15CA442}"/>
    <cellStyle name="SAPBEXHLevel2X 4 3" xfId="1068" xr:uid="{64D69549-169D-4C6A-82C7-FA6E2287FBFC}"/>
    <cellStyle name="SAPBEXHLevel2X 5" xfId="630" xr:uid="{BDCEA0DF-EF81-4F11-BDAC-6DBAE2468257}"/>
    <cellStyle name="SAPBEXHLevel2X 6" xfId="987" xr:uid="{E1390E2B-3C2B-4FBA-8C2A-34A1A25B6AB5}"/>
    <cellStyle name="SAPBEXHLevel2X_10-28-10" xfId="183" xr:uid="{00000000-0005-0000-0000-0000D6010000}"/>
    <cellStyle name="SAPBEXHLevel3" xfId="132" xr:uid="{00000000-0005-0000-0000-0000D7010000}"/>
    <cellStyle name="SAPBEXHLevel3 2" xfId="184" xr:uid="{00000000-0005-0000-0000-0000D8010000}"/>
    <cellStyle name="SAPBEXHLevel3 2 2" xfId="376" xr:uid="{00000000-0005-0000-0000-0000D9010000}"/>
    <cellStyle name="SAPBEXHLevel3 2 2 2" xfId="825" xr:uid="{7117BDB0-EECA-4A56-B78F-2768B1EBA419}"/>
    <cellStyle name="SAPBEXHLevel3 2 2 3" xfId="1088" xr:uid="{500551DC-A222-488B-BA3C-FA4C5ECCAB4D}"/>
    <cellStyle name="SAPBEXHLevel3 2 3" xfId="657" xr:uid="{3852FF33-8E2E-4EC4-B9D2-F1FAF390CB82}"/>
    <cellStyle name="SAPBEXHLevel3 2 4" xfId="1010" xr:uid="{F408E032-EC02-490B-8583-E8E82B8F39B1}"/>
    <cellStyle name="SAPBEXHLevel3 3" xfId="222" xr:uid="{00000000-0005-0000-0000-0000DA010000}"/>
    <cellStyle name="SAPBEXHLevel3 3 2" xfId="683" xr:uid="{18BC26E0-D2CB-4AD9-8E29-A35005F35E0F}"/>
    <cellStyle name="SAPBEXHLevel3 3 3" xfId="1033" xr:uid="{3EBD87A5-59C1-4B2D-BBF4-8499B6F3A55B}"/>
    <cellStyle name="SAPBEXHLevel3 4" xfId="348" xr:uid="{00000000-0005-0000-0000-0000DB010000}"/>
    <cellStyle name="SAPBEXHLevel3 4 2" xfId="800" xr:uid="{A3E0883B-4CD7-4F51-AD5A-71F5056CAEC0}"/>
    <cellStyle name="SAPBEXHLevel3 4 3" xfId="1069" xr:uid="{BAB67620-40A5-4A5D-95B9-DF1D2F88D391}"/>
    <cellStyle name="SAPBEXHLevel3 5" xfId="631" xr:uid="{BF272B10-A8B2-49AA-8CE4-B3F31848422E}"/>
    <cellStyle name="SAPBEXHLevel3 6" xfId="988" xr:uid="{E9FCAED1-EF25-44C8-B8EF-7A8EE47EFE5C}"/>
    <cellStyle name="SAPBEXHLevel3_10-28-10" xfId="185" xr:uid="{00000000-0005-0000-0000-0000DC010000}"/>
    <cellStyle name="SAPBEXHLevel3X" xfId="133" xr:uid="{00000000-0005-0000-0000-0000DD010000}"/>
    <cellStyle name="SAPBEXHLevel3X 2" xfId="186" xr:uid="{00000000-0005-0000-0000-0000DE010000}"/>
    <cellStyle name="SAPBEXHLevel3X 2 2" xfId="377" xr:uid="{00000000-0005-0000-0000-0000DF010000}"/>
    <cellStyle name="SAPBEXHLevel3X 2 2 2" xfId="826" xr:uid="{63BD6DEF-62C3-45EE-99D0-3ADA840D6CF0}"/>
    <cellStyle name="SAPBEXHLevel3X 2 2 3" xfId="1089" xr:uid="{997D540A-2638-460F-A529-3BEBB7BDDF1A}"/>
    <cellStyle name="SAPBEXHLevel3X 2 3" xfId="658" xr:uid="{176CB9DB-9AB6-42F6-BC4F-68242D987BDB}"/>
    <cellStyle name="SAPBEXHLevel3X 2 4" xfId="1011" xr:uid="{CA49BFFA-7EB5-4B2D-AE9D-0DAA8B9DB13E}"/>
    <cellStyle name="SAPBEXHLevel3X 3" xfId="223" xr:uid="{00000000-0005-0000-0000-0000E0010000}"/>
    <cellStyle name="SAPBEXHLevel3X 3 2" xfId="684" xr:uid="{9E736599-E0B9-4C03-93B4-86A1F48A19DF}"/>
    <cellStyle name="SAPBEXHLevel3X 3 3" xfId="1034" xr:uid="{71E662C0-1E43-44C3-AEB5-87C042277CE1}"/>
    <cellStyle name="SAPBEXHLevel3X 4" xfId="349" xr:uid="{00000000-0005-0000-0000-0000E1010000}"/>
    <cellStyle name="SAPBEXHLevel3X 4 2" xfId="801" xr:uid="{989E5EEC-3545-4DEA-9465-F06579E9D758}"/>
    <cellStyle name="SAPBEXHLevel3X 4 3" xfId="1070" xr:uid="{46AE6C1A-84AA-467C-AEAD-30DD531D572A}"/>
    <cellStyle name="SAPBEXHLevel3X 5" xfId="632" xr:uid="{B77F98BB-1417-4F03-8969-83AAC94D432F}"/>
    <cellStyle name="SAPBEXHLevel3X 6" xfId="989" xr:uid="{7102FF84-98C8-4974-AB70-051FE8E8AC48}"/>
    <cellStyle name="SAPBEXHLevel3X_10-28-10" xfId="187" xr:uid="{00000000-0005-0000-0000-0000E2010000}"/>
    <cellStyle name="SAPBEXresData" xfId="134" xr:uid="{00000000-0005-0000-0000-0000E3010000}"/>
    <cellStyle name="SAPBEXresData 2" xfId="224" xr:uid="{00000000-0005-0000-0000-0000E4010000}"/>
    <cellStyle name="SAPBEXresData 2 2" xfId="685" xr:uid="{DCCE1039-7F9F-4971-A072-CD0AB24FD26D}"/>
    <cellStyle name="SAPBEXresData 2 3" xfId="1035" xr:uid="{9E5C2133-294E-475F-B1A9-1685896BA443}"/>
    <cellStyle name="SAPBEXresData 3" xfId="350" xr:uid="{00000000-0005-0000-0000-0000E5010000}"/>
    <cellStyle name="SAPBEXresData 3 2" xfId="802" xr:uid="{B61314DA-0811-44DE-A40E-E7EA803F3192}"/>
    <cellStyle name="SAPBEXresData 3 3" xfId="1071" xr:uid="{0BA92028-FEE1-492C-9FB0-ACC36617A974}"/>
    <cellStyle name="SAPBEXresData 4" xfId="633" xr:uid="{17F5C3DE-77F7-4DE8-B7E8-542DCB8C47E1}"/>
    <cellStyle name="SAPBEXresData 5" xfId="990" xr:uid="{6D110B27-2B1D-4B3B-A4C2-B29DFDC1D1DA}"/>
    <cellStyle name="SAPBEXresDataEmph" xfId="135" xr:uid="{00000000-0005-0000-0000-0000E6010000}"/>
    <cellStyle name="SAPBEXresDataEmph 2" xfId="225" xr:uid="{00000000-0005-0000-0000-0000E7010000}"/>
    <cellStyle name="SAPBEXresDataEmph 2 2" xfId="686" xr:uid="{9F1FAC38-93D6-43E5-ABCB-E96D8EBD9B62}"/>
    <cellStyle name="SAPBEXresDataEmph 2 3" xfId="1036" xr:uid="{CD19BB60-84AF-4F9C-887C-26ADD80EECA9}"/>
    <cellStyle name="SAPBEXresDataEmph 3" xfId="351" xr:uid="{00000000-0005-0000-0000-0000E8010000}"/>
    <cellStyle name="SAPBEXresDataEmph 3 2" xfId="803" xr:uid="{4416B1C9-6BF8-4365-8F72-30EA57643EDE}"/>
    <cellStyle name="SAPBEXresDataEmph 3 3" xfId="1072" xr:uid="{E89B6C99-F149-4A3B-9489-6FADC6F165F1}"/>
    <cellStyle name="SAPBEXresDataEmph 4" xfId="634" xr:uid="{E5C1EC51-13A8-46A4-9F3F-447BFADA2A94}"/>
    <cellStyle name="SAPBEXresDataEmph 5" xfId="991" xr:uid="{159202F8-F864-4A4F-B567-E92F80BD2229}"/>
    <cellStyle name="SAPBEXresItem" xfId="136" xr:uid="{00000000-0005-0000-0000-0000E9010000}"/>
    <cellStyle name="SAPBEXresItem 2" xfId="226" xr:uid="{00000000-0005-0000-0000-0000EA010000}"/>
    <cellStyle name="SAPBEXresItem 2 2" xfId="687" xr:uid="{158B15D3-A188-469D-873B-E0CACF5E2BB0}"/>
    <cellStyle name="SAPBEXresItem 2 3" xfId="1037" xr:uid="{42B7E0B5-DDE1-44BB-A2D5-8933EB60EA24}"/>
    <cellStyle name="SAPBEXresItem 3" xfId="352" xr:uid="{00000000-0005-0000-0000-0000EB010000}"/>
    <cellStyle name="SAPBEXresItem 3 2" xfId="804" xr:uid="{073955EB-8596-4F43-84DC-C64E92EC9DE5}"/>
    <cellStyle name="SAPBEXresItem 3 3" xfId="1073" xr:uid="{1D363C93-E53B-4BF1-943B-D6054CC099E1}"/>
    <cellStyle name="SAPBEXresItem 4" xfId="635" xr:uid="{548FC2C3-05E9-44F1-B4ED-64981885DC49}"/>
    <cellStyle name="SAPBEXresItem 5" xfId="992" xr:uid="{10621D9B-E947-4313-B4DD-68B8D7172030}"/>
    <cellStyle name="SAPBEXresItemX" xfId="137" xr:uid="{00000000-0005-0000-0000-0000EC010000}"/>
    <cellStyle name="SAPBEXresItemX 2" xfId="227" xr:uid="{00000000-0005-0000-0000-0000ED010000}"/>
    <cellStyle name="SAPBEXresItemX 2 2" xfId="688" xr:uid="{A8C1FE9F-D471-4AD1-8B46-77C2546E0CA7}"/>
    <cellStyle name="SAPBEXresItemX 2 3" xfId="1038" xr:uid="{95A86D05-9B0F-4511-9D8E-6B03141ACC25}"/>
    <cellStyle name="SAPBEXresItemX 3" xfId="353" xr:uid="{00000000-0005-0000-0000-0000EE010000}"/>
    <cellStyle name="SAPBEXresItemX 3 2" xfId="805" xr:uid="{6F0B5F42-F0B5-4558-987C-67E268C823DB}"/>
    <cellStyle name="SAPBEXresItemX 3 3" xfId="1074" xr:uid="{1C9154B4-4873-4AAA-9916-C01A01661E17}"/>
    <cellStyle name="SAPBEXresItemX 4" xfId="636" xr:uid="{0311A0B7-CAAD-44EF-B24A-C0412BF3077D}"/>
    <cellStyle name="SAPBEXresItemX 5" xfId="993" xr:uid="{750859FF-664F-4C0A-A53A-A608FB08978B}"/>
    <cellStyle name="SAPBEXstdData" xfId="138" xr:uid="{00000000-0005-0000-0000-0000EF010000}"/>
    <cellStyle name="SAPBEXstdData 2" xfId="228" xr:uid="{00000000-0005-0000-0000-0000F0010000}"/>
    <cellStyle name="SAPBEXstdData 2 2" xfId="689" xr:uid="{78D84EDA-F9CF-4F8F-9C0A-2AB8C18841BE}"/>
    <cellStyle name="SAPBEXstdData 2 3" xfId="1039" xr:uid="{C31E513C-B4BE-4CB4-9650-7500AE7D9E99}"/>
    <cellStyle name="SAPBEXstdData 3" xfId="354" xr:uid="{00000000-0005-0000-0000-0000F1010000}"/>
    <cellStyle name="SAPBEXstdData 3 2" xfId="1075" xr:uid="{C4F0DBDD-DFD2-434C-943A-112211A7C1E7}"/>
    <cellStyle name="SAPBEXstdData 3 6" xfId="523" xr:uid="{00000000-0005-0000-0000-0000F2010000}"/>
    <cellStyle name="SAPBEXstdData 4" xfId="405" xr:uid="{00000000-0005-0000-0000-0000F3010000}"/>
    <cellStyle name="SAPBEXstdData 4 2" xfId="840" xr:uid="{20DCBA06-BE57-48E0-998F-A9BA4187F821}"/>
    <cellStyle name="SAPBEXstdData 4 3" xfId="1095" xr:uid="{C6CA11EB-54EE-40E6-81CB-603B4D86DB9B}"/>
    <cellStyle name="SAPBEXstdData 5" xfId="938" xr:uid="{1D84D9D2-20E7-4283-B836-ECA7E2C6FC96}"/>
    <cellStyle name="SAPBEXstdData 5 2" xfId="1102" xr:uid="{68013675-2807-4191-A265-28B3631EA326}"/>
    <cellStyle name="SAPBEXstdData 6" xfId="994" xr:uid="{EE736626-C24C-4155-BC97-5FC97A56B921}"/>
    <cellStyle name="SAPBEXstdDataEmph" xfId="139" xr:uid="{00000000-0005-0000-0000-0000F4010000}"/>
    <cellStyle name="SAPBEXstdDataEmph 2" xfId="229" xr:uid="{00000000-0005-0000-0000-0000F5010000}"/>
    <cellStyle name="SAPBEXstdDataEmph 2 2" xfId="690" xr:uid="{D1C82262-F11D-4EC1-881C-8F827F8B7EB5}"/>
    <cellStyle name="SAPBEXstdDataEmph 2 3" xfId="1040" xr:uid="{46CD9D3C-1F39-4E46-B85D-EF09949D9703}"/>
    <cellStyle name="SAPBEXstdDataEmph 3" xfId="355" xr:uid="{00000000-0005-0000-0000-0000F6010000}"/>
    <cellStyle name="SAPBEXstdDataEmph 3 2" xfId="806" xr:uid="{7E5B10BD-1640-4742-840B-837EA8F94FB2}"/>
    <cellStyle name="SAPBEXstdDataEmph 3 3" xfId="1076" xr:uid="{33FB909A-B225-43F6-B42C-49F0D3B077D4}"/>
    <cellStyle name="SAPBEXstdDataEmph 4" xfId="637" xr:uid="{F4125F59-9F9B-43FC-92DC-96A9B97F99D6}"/>
    <cellStyle name="SAPBEXstdDataEmph 5" xfId="995" xr:uid="{AC05195D-42B9-4026-B40C-3B652CBD9724}"/>
    <cellStyle name="SAPBEXstdItem" xfId="140" xr:uid="{00000000-0005-0000-0000-0000F7010000}"/>
    <cellStyle name="SAPBEXstdItem 2" xfId="164" xr:uid="{00000000-0005-0000-0000-0000F8010000}"/>
    <cellStyle name="SAPBEXstdItem 2 2" xfId="378" xr:uid="{00000000-0005-0000-0000-0000F9010000}"/>
    <cellStyle name="SAPBEXstdItem 2 2 2" xfId="1090" xr:uid="{F36CD6B2-D1D5-43FE-BB4B-CDF29463DE66}"/>
    <cellStyle name="SAPBEXstdItem 2 2 6" xfId="520" xr:uid="{00000000-0005-0000-0000-0000FA010000}"/>
    <cellStyle name="SAPBEXstdItem 2 3" xfId="942" xr:uid="{CC2ABBD9-DA11-4A1A-A734-F61EBAEC45B6}"/>
    <cellStyle name="SAPBEXstdItem 2 3 2" xfId="1105" xr:uid="{0ACE9320-15E8-49CA-A9A3-6D5893389E92}"/>
    <cellStyle name="SAPBEXstdItem 2 4" xfId="999" xr:uid="{DC4EC1A1-9EFF-4340-B24B-EFA4B1499C50}"/>
    <cellStyle name="SAPBEXstdItem 3" xfId="230" xr:uid="{00000000-0005-0000-0000-0000FB010000}"/>
    <cellStyle name="SAPBEXstdItem 3 2" xfId="691" xr:uid="{2AF3B5DB-AFFE-409B-8A85-CF7A8F5DFD3A}"/>
    <cellStyle name="SAPBEXstdItem 3 3" xfId="1041" xr:uid="{435B82A1-7620-4234-BB4D-93A999C338FB}"/>
    <cellStyle name="SAPBEXstdItem 4" xfId="356" xr:uid="{00000000-0005-0000-0000-0000FC010000}"/>
    <cellStyle name="SAPBEXstdItem 4 2" xfId="807" xr:uid="{46C74BAC-2DFC-436F-9D43-E1A112C1BD87}"/>
    <cellStyle name="SAPBEXstdItem 4 3" xfId="1077" xr:uid="{6A8C2B13-35DF-4CDC-99F1-F4D5C988483D}"/>
    <cellStyle name="SAPBEXstdItem 5" xfId="404" xr:uid="{00000000-0005-0000-0000-0000FD010000}"/>
    <cellStyle name="SAPBEXstdItem 5 2" xfId="1094" xr:uid="{DAC9A903-7F4F-42AA-9F1E-6F1F2D914581}"/>
    <cellStyle name="SAPBEXstdItem 5 6" xfId="521" xr:uid="{00000000-0005-0000-0000-0000FE010000}"/>
    <cellStyle name="SAPBEXstdItem 5 6 2" xfId="1100" xr:uid="{74039B74-2CCA-405E-82E3-4DB709E41BC2}"/>
    <cellStyle name="SAPBEXstdItem 6" xfId="940" xr:uid="{06570024-77BC-459B-89AE-3CADAD620F4C}"/>
    <cellStyle name="SAPBEXstdItem 6 2" xfId="1104" xr:uid="{A3FEDDC5-5681-4D54-9B41-1D2B032B2924}"/>
    <cellStyle name="SAPBEXstdItem 7" xfId="996" xr:uid="{CB513B20-489C-4811-92F3-2FB7A47CF741}"/>
    <cellStyle name="SAPBEXstdItem_10-28-10" xfId="188" xr:uid="{00000000-0005-0000-0000-0000FF010000}"/>
    <cellStyle name="SAPBEXstdItemX" xfId="141" xr:uid="{00000000-0005-0000-0000-000000020000}"/>
    <cellStyle name="SAPBEXstdItemX 2" xfId="189" xr:uid="{00000000-0005-0000-0000-000001020000}"/>
    <cellStyle name="SAPBEXstdItemX 2 2" xfId="235" xr:uid="{00000000-0005-0000-0000-000002020000}"/>
    <cellStyle name="SAPBEXstdItemX 2 2 2" xfId="696" xr:uid="{89529504-EA53-47B0-9337-CE4CBFAD9A80}"/>
    <cellStyle name="SAPBEXstdItemX 2 2 3" xfId="1045" xr:uid="{F069FC5E-5E7A-450D-A8F0-A12201EDF546}"/>
    <cellStyle name="SAPBEXstdItemX 2 3" xfId="659" xr:uid="{74B7E19A-8C7E-412B-95AA-7DACDDC081B1}"/>
    <cellStyle name="SAPBEXstdItemX 2 4" xfId="1012" xr:uid="{41BF5AAC-F73D-4561-994F-5D092085E8A4}"/>
    <cellStyle name="SAPBEXstdItemX 3" xfId="231" xr:uid="{00000000-0005-0000-0000-000003020000}"/>
    <cellStyle name="SAPBEXstdItemX 3 2" xfId="692" xr:uid="{277F5047-FD22-42CB-AB00-196F8EA9390A}"/>
    <cellStyle name="SAPBEXstdItemX 3 3" xfId="1042" xr:uid="{9ED63EFC-C221-4074-A8C3-D3B8C35A7B4B}"/>
    <cellStyle name="SAPBEXstdItemX 4" xfId="402" xr:uid="{00000000-0005-0000-0000-000004020000}"/>
    <cellStyle name="SAPBEXstdItemX 4 2" xfId="838" xr:uid="{38A4DA43-4460-4954-8558-144B8798C4B3}"/>
    <cellStyle name="SAPBEXstdItemX 4 3" xfId="1092" xr:uid="{1E99893E-1B6F-4D4B-A570-1A19E7295F88}"/>
    <cellStyle name="SAPBEXstdItemX 5" xfId="638" xr:uid="{07F199AC-E0AC-4DA7-BA71-4493C244A627}"/>
    <cellStyle name="SAPBEXstdItemX 6" xfId="997" xr:uid="{3B240411-18E4-4848-A105-042391C4829C}"/>
    <cellStyle name="SAPBEXstdItemX_10-28-10" xfId="190" xr:uid="{00000000-0005-0000-0000-000005020000}"/>
    <cellStyle name="SAPBEXtitle" xfId="142" xr:uid="{00000000-0005-0000-0000-000006020000}"/>
    <cellStyle name="SAPBEXtitle 2" xfId="191" xr:uid="{00000000-0005-0000-0000-000007020000}"/>
    <cellStyle name="SAPBEXundefined" xfId="143" xr:uid="{00000000-0005-0000-0000-000008020000}"/>
    <cellStyle name="SAPBEXundefined 2" xfId="232" xr:uid="{00000000-0005-0000-0000-000009020000}"/>
    <cellStyle name="SAPBEXundefined 2 2" xfId="693" xr:uid="{B7813495-4894-43A2-BD37-F9298EFB36E0}"/>
    <cellStyle name="SAPBEXundefined 2 3" xfId="1043" xr:uid="{079FF8C3-D46D-4A3D-9532-53D07D753699}"/>
    <cellStyle name="SAPBEXundefined 3" xfId="357" xr:uid="{00000000-0005-0000-0000-00000A020000}"/>
    <cellStyle name="SAPBEXundefined 3 2" xfId="808" xr:uid="{AB2AFA34-22E8-435C-A75F-40387493DA2B}"/>
    <cellStyle name="SAPBEXundefined 3 3" xfId="1078" xr:uid="{6CE54A64-3F26-4A4D-BA2E-46D0322DD2C3}"/>
    <cellStyle name="SAPBEXundefined 4" xfId="639" xr:uid="{6614B1C7-321B-47BC-8390-C61EFE3BC486}"/>
    <cellStyle name="SAPBEXundefined 5" xfId="998" xr:uid="{B0F49245-7A3D-40FD-926E-8DDB9E6CE9CF}"/>
    <cellStyle name="Single Border" xfId="517" xr:uid="{00000000-0005-0000-0000-00000B020000}"/>
    <cellStyle name="Single Border 2" xfId="1099" xr:uid="{94C9C6D5-AE86-4417-B982-72D5B078D79A}"/>
  </cellStyles>
  <dxfs count="0"/>
  <tableStyles count="0" defaultTableStyle="TableStyleMedium9" defaultPivotStyle="PivotStyleLight16"/>
  <colors>
    <mruColors>
      <color rgb="FFFFFF66"/>
      <color rgb="FFFFFF99"/>
      <color rgb="FFFF99CC"/>
      <color rgb="FFFFCCCC"/>
      <color rgb="FF9966FF"/>
      <color rgb="FF0033CC"/>
      <color rgb="FFFFFFCC"/>
      <color rgb="FF99FF66"/>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image" Target="../media/image2.gif"/><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flipH="1">
          <a:off x="0" y="155864"/>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flipH="1">
          <a:off x="0" y="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0" y="165100"/>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0" y="200025"/>
          <a:ext cx="2095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13</xdr:row>
      <xdr:rowOff>0</xdr:rowOff>
    </xdr:from>
    <xdr:to>
      <xdr:col>50</xdr:col>
      <xdr:colOff>0</xdr:colOff>
      <xdr:row>75</xdr:row>
      <xdr:rowOff>0</xdr:rowOff>
    </xdr:to>
    <xdr:pic>
      <xdr:nvPicPr>
        <xdr:cNvPr id="4" name="BExKI2T1D11014DREFDGSMJ45J9W" hidden="1">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47675"/>
          <a:ext cx="43916600" cy="11249025"/>
        </a:xfrm>
        <a:prstGeom prst="rect">
          <a:avLst/>
        </a:prstGeom>
      </xdr:spPr>
    </xdr:pic>
    <xdr:clientData/>
  </xdr:twoCellAnchor>
  <xdr:twoCellAnchor>
    <xdr:from>
      <xdr:col>1</xdr:col>
      <xdr:colOff>0</xdr:colOff>
      <xdr:row>1</xdr:row>
      <xdr:rowOff>0</xdr:rowOff>
    </xdr:from>
    <xdr:to>
      <xdr:col>2</xdr:col>
      <xdr:colOff>0</xdr:colOff>
      <xdr:row>1</xdr:row>
      <xdr:rowOff>244475</xdr:rowOff>
    </xdr:to>
    <xdr:pic>
      <xdr:nvPicPr>
        <xdr:cNvPr id="5" name="BExD92FPK3REG9B5YYM52BQW2UUC" hidden="1">
          <a:extLst>
            <a:ext uri="{FF2B5EF4-FFF2-40B4-BE49-F238E27FC236}">
              <a16:creationId xmlns:a16="http://schemas.microsoft.com/office/drawing/2014/main" id="{00000000-0008-0000-0F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416175" cy="244475"/>
        </a:xfrm>
        <a:prstGeom prst="rect">
          <a:avLst/>
        </a:prstGeom>
      </xdr:spPr>
    </xdr:pic>
    <xdr:clientData/>
  </xdr:twoCellAnchor>
  <xdr:twoCellAnchor>
    <xdr:from>
      <xdr:col>1</xdr:col>
      <xdr:colOff>0</xdr:colOff>
      <xdr:row>10</xdr:row>
      <xdr:rowOff>0</xdr:rowOff>
    </xdr:from>
    <xdr:to>
      <xdr:col>2</xdr:col>
      <xdr:colOff>0</xdr:colOff>
      <xdr:row>10</xdr:row>
      <xdr:rowOff>244475</xdr:rowOff>
    </xdr:to>
    <xdr:pic>
      <xdr:nvPicPr>
        <xdr:cNvPr id="6" name="BExD92FPK3REG9B5YYM52BQW2UUC" hidden="1">
          <a:extLst>
            <a:ext uri="{FF2B5EF4-FFF2-40B4-BE49-F238E27FC236}">
              <a16:creationId xmlns:a16="http://schemas.microsoft.com/office/drawing/2014/main" id="{00000000-0008-0000-0F00-000006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714500" cy="244475"/>
        </a:xfrm>
        <a:prstGeom prst="rect">
          <a:avLst/>
        </a:prstGeom>
      </xdr:spPr>
    </xdr:pic>
    <xdr:clientData/>
  </xdr:twoCellAnchor>
  <xdr:twoCellAnchor>
    <xdr:from>
      <xdr:col>1</xdr:col>
      <xdr:colOff>63498</xdr:colOff>
      <xdr:row>2</xdr:row>
      <xdr:rowOff>74081</xdr:rowOff>
    </xdr:from>
    <xdr:to>
      <xdr:col>1</xdr:col>
      <xdr:colOff>396873</xdr:colOff>
      <xdr:row>3</xdr:row>
      <xdr:rowOff>26456</xdr:rowOff>
    </xdr:to>
    <xdr:sp macro="" textlink="">
      <xdr:nvSpPr>
        <xdr:cNvPr id="8" name="Right Arrow 7">
          <a:hlinkClick xmlns:r="http://schemas.openxmlformats.org/officeDocument/2006/relationships" r:id="rId3"/>
          <a:extLst>
            <a:ext uri="{FF2B5EF4-FFF2-40B4-BE49-F238E27FC236}">
              <a16:creationId xmlns:a16="http://schemas.microsoft.com/office/drawing/2014/main" id="{00000000-0008-0000-0F00-000008000000}"/>
            </a:ext>
          </a:extLst>
        </xdr:cNvPr>
        <xdr:cNvSpPr/>
      </xdr:nvSpPr>
      <xdr:spPr>
        <a:xfrm flipH="1">
          <a:off x="63498" y="51858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238124</xdr:colOff>
      <xdr:row>2</xdr:row>
      <xdr:rowOff>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flipH="1">
          <a:off x="0" y="200025"/>
          <a:ext cx="419099" cy="15240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0</xdr:col>
      <xdr:colOff>0</xdr:colOff>
      <xdr:row>0</xdr:row>
      <xdr:rowOff>0</xdr:rowOff>
    </xdr:from>
    <xdr:to>
      <xdr:col>1</xdr:col>
      <xdr:colOff>0</xdr:colOff>
      <xdr:row>0</xdr:row>
      <xdr:rowOff>244475</xdr:rowOff>
    </xdr:to>
    <xdr:pic>
      <xdr:nvPicPr>
        <xdr:cNvPr id="3" name="BExD92FPK3REG9B5YYM52BQW2UUC" hidden="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190500"/>
          <a:ext cx="1190625" cy="2349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243416</xdr:colOff>
      <xdr:row>2</xdr:row>
      <xdr:rowOff>21167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flipH="1">
          <a:off x="0" y="201083"/>
          <a:ext cx="370416" cy="16933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466724</xdr:colOff>
      <xdr:row>2</xdr:row>
      <xdr:rowOff>19050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flipH="1">
          <a:off x="0" y="200025"/>
          <a:ext cx="466724" cy="1714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243415</xdr:colOff>
      <xdr:row>2</xdr:row>
      <xdr:rowOff>10583</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flipH="1">
          <a:off x="0" y="201083"/>
          <a:ext cx="359832"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flipH="1">
          <a:off x="25400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flipH="1">
          <a:off x="0" y="202406"/>
          <a:ext cx="404812" cy="178594"/>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flipH="1">
          <a:off x="0" y="158750"/>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123825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flipH="1">
          <a:off x="1038225" y="152400"/>
          <a:ext cx="1162050"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33618</xdr:colOff>
      <xdr:row>1</xdr:row>
      <xdr:rowOff>56030</xdr:rowOff>
    </xdr:from>
    <xdr:to>
      <xdr:col>6</xdr:col>
      <xdr:colOff>366993</xdr:colOff>
      <xdr:row>1</xdr:row>
      <xdr:rowOff>198905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flipH="1">
          <a:off x="190500" y="324971"/>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0</xdr:colOff>
      <xdr:row>1</xdr:row>
      <xdr:rowOff>81642</xdr:rowOff>
    </xdr:from>
    <xdr:to>
      <xdr:col>2</xdr:col>
      <xdr:colOff>333375</xdr:colOff>
      <xdr:row>1</xdr:row>
      <xdr:rowOff>224517</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flipH="1">
          <a:off x="0" y="44903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444499</xdr:colOff>
      <xdr:row>1</xdr:row>
      <xdr:rowOff>158750</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flipH="1">
          <a:off x="0" y="201083"/>
          <a:ext cx="444499" cy="158750"/>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71437</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95250</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107172</xdr:colOff>
      <xdr:row>1</xdr:row>
      <xdr:rowOff>59526</xdr:rowOff>
    </xdr:from>
    <xdr:to>
      <xdr:col>0</xdr:col>
      <xdr:colOff>440547</xdr:colOff>
      <xdr:row>1</xdr:row>
      <xdr:rowOff>202401</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flipH="1">
          <a:off x="107172" y="261932"/>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285749</xdr:colOff>
      <xdr:row>2</xdr:row>
      <xdr:rowOff>23812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flipH="1">
          <a:off x="0" y="200025"/>
          <a:ext cx="838199" cy="176212"/>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flipH="1">
          <a:off x="0" y="204107"/>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flipH="1">
          <a:off x="0" y="201083"/>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flipH="1">
          <a:off x="180975"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00000000-0008-0000-2700-000003000000}"/>
            </a:ext>
          </a:extLst>
        </xdr:cNvPr>
        <xdr:cNvSpPr/>
      </xdr:nvSpPr>
      <xdr:spPr>
        <a:xfrm flipH="1">
          <a:off x="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702694-E260-4350-8304-CAD30D3EF97A}"/>
            </a:ext>
          </a:extLst>
        </xdr:cNvPr>
        <xdr:cNvSpPr/>
      </xdr:nvSpPr>
      <xdr:spPr>
        <a:xfrm flipH="1">
          <a:off x="0" y="152400"/>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265043</xdr:rowOff>
    </xdr:from>
    <xdr:to>
      <xdr:col>2</xdr:col>
      <xdr:colOff>23813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flipH="1">
          <a:off x="66261" y="265043"/>
          <a:ext cx="40481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271463</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flipH="1">
          <a:off x="0" y="161925"/>
          <a:ext cx="271463"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71437</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flipH="1">
          <a:off x="0"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flipH="1">
          <a:off x="190500" y="166688"/>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flipH="1">
          <a:off x="190500" y="200025"/>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333375</xdr:colOff>
      <xdr:row>1</xdr:row>
      <xdr:rowOff>142875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flipH="1">
          <a:off x="309563" y="202406"/>
          <a:ext cx="333375" cy="142875"/>
        </a:xfrm>
        <a:prstGeom prst="rightArrow">
          <a:avLst>
            <a:gd name="adj1" fmla="val 50000"/>
            <a:gd name="adj2" fmla="val 75714"/>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pofs002\CorpFinance$\Work%20Stuff\Nevada%20Energy\Very%20Final%20Numbers\Final%20Final%20(9-26-12)\Ex%20NPC%20-%2012%20Per%20I%20Final%20(9-26-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pofs002\CorpFinance$\Documents%20and%20Settings\wtarnem\Local%20Settings\Temporary%20Internet%20Files\Content.Outlook\2SLD9MX9\2011%20Transm_COS_FERC_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sheetName val="AB"/>
      <sheetName val="AC"/>
      <sheetName val="AD"/>
      <sheetName val="AE"/>
      <sheetName val="AF"/>
      <sheetName val="AF_WP1"/>
      <sheetName val="AF WP2"/>
      <sheetName val="AG"/>
      <sheetName val="AG WP1"/>
      <sheetName val="AG WP2"/>
      <sheetName val="AH"/>
      <sheetName val="AI"/>
      <sheetName val="AJ"/>
      <sheetName val="AK"/>
      <sheetName val="AL"/>
      <sheetName val="AL WP1 "/>
      <sheetName val="AM"/>
      <sheetName val="AN"/>
      <sheetName val="AO"/>
      <sheetName val="AP"/>
      <sheetName val="AQ"/>
      <sheetName val="AQ WP1"/>
      <sheetName val="AQ WP2"/>
      <sheetName val="AR"/>
      <sheetName val="AR WP1"/>
      <sheetName val="AS"/>
      <sheetName val="AT"/>
      <sheetName val="AU"/>
      <sheetName val="AU WP1"/>
      <sheetName val="AV"/>
      <sheetName val="AV WP1"/>
      <sheetName val="AV WP2"/>
      <sheetName val="AW"/>
      <sheetName val="AX"/>
      <sheetName val="AY"/>
      <sheetName val="BA"/>
      <sheetName val="BB"/>
      <sheetName val="BC"/>
      <sheetName val="BD"/>
      <sheetName val="BE"/>
      <sheetName val="BF"/>
      <sheetName val="BG BH"/>
      <sheetName val="BI"/>
      <sheetName val="BJ"/>
      <sheetName val="BK"/>
      <sheetName val="BL"/>
      <sheetName val="B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62">
          <cell r="J462">
            <v>0.45782146347604424</v>
          </cell>
          <cell r="L462">
            <v>0.1529761887456722</v>
          </cell>
          <cell r="N462">
            <v>0.38920234777828361</v>
          </cell>
        </row>
        <row r="464">
          <cell r="J464">
            <v>0.44939965638234436</v>
          </cell>
          <cell r="L464">
            <v>0.15948868536199054</v>
          </cell>
          <cell r="N464">
            <v>0.39111165825566507</v>
          </cell>
        </row>
      </sheetData>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AA-Bal_Sht"/>
      <sheetName val="AB-Inc_Stmnt"/>
      <sheetName val="AC-Ret_Earn"/>
      <sheetName val="AD-EPIS"/>
      <sheetName val="AE-Acc_Depr"/>
      <sheetName val="AH-O&amp;M"/>
      <sheetName val="AI-Wages_Sal"/>
      <sheetName val="AJ-Depr-Exps"/>
      <sheetName val="AL-Work_Cap"/>
      <sheetName val="AM-CWIP"/>
      <sheetName val="AO-AFUDC"/>
      <sheetName val="AP-Int_Exps"/>
      <sheetName val="BK-Cost_Of_Svc"/>
      <sheetName val="BJ-Sum_Data"/>
      <sheetName val="AV-Cap_Struc"/>
      <sheetName val="Rev_Req"/>
      <sheetName val="Rate_Design"/>
      <sheetName val="Notes_Pay"/>
      <sheetName val="AR"/>
      <sheetName val="AS"/>
      <sheetName val="AT"/>
      <sheetName val="AU"/>
      <sheetName val="AK"/>
      <sheetName val="AW"/>
      <sheetName val="AX"/>
      <sheetName val="AY"/>
      <sheetName val="BA"/>
      <sheetName val="BB"/>
      <sheetName val="BD"/>
      <sheetName val="BC"/>
      <sheetName val="BE"/>
      <sheetName val="BF"/>
      <sheetName val="BH"/>
      <sheetName val="BI"/>
      <sheetName val="Summary"/>
      <sheetName val="AG"/>
      <sheetName val="AF"/>
      <sheetName val="A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6">
          <cell r="L56">
            <v>187774.82787102528</v>
          </cell>
        </row>
        <row r="595">
          <cell r="F595">
            <v>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8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G50"/>
  <sheetViews>
    <sheetView view="pageBreakPreview" zoomScale="80" zoomScaleNormal="100" zoomScaleSheetLayoutView="80" workbookViewId="0">
      <selection activeCell="I31" sqref="I31"/>
    </sheetView>
  </sheetViews>
  <sheetFormatPr defaultColWidth="8.77734375" defaultRowHeight="13.2"/>
  <cols>
    <col min="1" max="1" width="2.33203125" style="827" customWidth="1"/>
    <col min="2" max="2" width="21.44140625" style="827" customWidth="1"/>
    <col min="3" max="3" width="5.77734375" style="827" customWidth="1"/>
    <col min="4" max="4" width="96.44140625" style="827" bestFit="1" customWidth="1"/>
    <col min="5" max="10" width="8.77734375" style="827"/>
    <col min="11" max="11" width="29.109375" style="827" customWidth="1"/>
    <col min="12" max="16384" width="8.77734375" style="827"/>
  </cols>
  <sheetData>
    <row r="1" spans="1:6" ht="15.6">
      <c r="A1" s="848" t="s">
        <v>843</v>
      </c>
      <c r="B1" s="849"/>
      <c r="C1" s="850"/>
      <c r="D1" s="850"/>
      <c r="E1" s="851"/>
      <c r="F1" s="851"/>
    </row>
    <row r="2" spans="1:6">
      <c r="A2" s="850"/>
      <c r="B2" s="849"/>
      <c r="C2" s="850"/>
      <c r="D2" s="850"/>
      <c r="E2" s="851"/>
      <c r="F2" s="851"/>
    </row>
    <row r="3" spans="1:6" ht="15.6">
      <c r="A3" s="234"/>
      <c r="B3" s="234"/>
      <c r="C3" s="234"/>
      <c r="D3" s="234"/>
      <c r="E3" s="851"/>
      <c r="F3" s="851"/>
    </row>
    <row r="4" spans="1:6" ht="15.6">
      <c r="A4" s="851"/>
      <c r="B4" s="1979" t="s">
        <v>294</v>
      </c>
      <c r="C4" s="1979"/>
      <c r="D4" s="1979"/>
      <c r="E4" s="851"/>
      <c r="F4" s="851"/>
    </row>
    <row r="5" spans="1:6" ht="15.6">
      <c r="A5" s="851"/>
      <c r="B5" s="1979" t="s">
        <v>199</v>
      </c>
      <c r="C5" s="1979"/>
      <c r="D5" s="1979"/>
      <c r="E5" s="851"/>
      <c r="F5" s="851"/>
    </row>
    <row r="6" spans="1:6" ht="15.6">
      <c r="A6" s="851"/>
      <c r="B6" s="1979" t="s">
        <v>103</v>
      </c>
      <c r="C6" s="1979"/>
      <c r="D6" s="1979"/>
      <c r="E6" s="851"/>
      <c r="F6" s="851"/>
    </row>
    <row r="7" spans="1:6" ht="15.6">
      <c r="A7" s="234"/>
      <c r="B7" s="234"/>
      <c r="C7" s="234"/>
      <c r="D7" s="234"/>
      <c r="E7" s="851"/>
      <c r="F7" s="851"/>
    </row>
    <row r="8" spans="1:6" ht="15.6">
      <c r="A8" s="818"/>
      <c r="B8" s="818"/>
      <c r="C8" s="818"/>
      <c r="D8" s="818"/>
      <c r="E8" s="851"/>
      <c r="F8" s="851"/>
    </row>
    <row r="9" spans="1:6">
      <c r="A9" s="850"/>
      <c r="B9" s="849"/>
      <c r="C9" s="850"/>
      <c r="D9" s="850"/>
      <c r="E9" s="851"/>
      <c r="F9" s="851"/>
    </row>
    <row r="10" spans="1:6" ht="16.2" thickBot="1">
      <c r="A10" s="852"/>
      <c r="B10" s="853" t="s">
        <v>330</v>
      </c>
      <c r="C10" s="854"/>
      <c r="D10" s="855" t="s">
        <v>104</v>
      </c>
      <c r="E10" s="851"/>
      <c r="F10" s="851"/>
    </row>
    <row r="11" spans="1:6" ht="15.6" thickTop="1">
      <c r="A11" s="856"/>
      <c r="B11" s="857" t="s">
        <v>331</v>
      </c>
      <c r="C11" s="856"/>
      <c r="D11" s="858" t="s">
        <v>351</v>
      </c>
      <c r="E11" s="851"/>
      <c r="F11" s="851"/>
    </row>
    <row r="12" spans="1:6" ht="15">
      <c r="A12" s="856"/>
      <c r="B12" s="857" t="s">
        <v>1032</v>
      </c>
      <c r="C12" s="856"/>
      <c r="D12" s="858" t="s">
        <v>202</v>
      </c>
      <c r="E12" s="851"/>
      <c r="F12" s="851"/>
    </row>
    <row r="13" spans="1:6" ht="15">
      <c r="A13" s="856"/>
      <c r="B13" s="857" t="s">
        <v>1033</v>
      </c>
      <c r="C13" s="856"/>
      <c r="D13" s="858" t="s">
        <v>201</v>
      </c>
      <c r="E13" s="851"/>
      <c r="F13" s="851"/>
    </row>
    <row r="14" spans="1:6" ht="15">
      <c r="A14" s="856"/>
      <c r="B14" s="857" t="s">
        <v>1034</v>
      </c>
      <c r="C14" s="856"/>
      <c r="D14" s="858" t="s">
        <v>203</v>
      </c>
      <c r="E14" s="851"/>
      <c r="F14" s="851"/>
    </row>
    <row r="15" spans="1:6" ht="15">
      <c r="A15" s="856"/>
      <c r="B15" s="857" t="s">
        <v>1038</v>
      </c>
      <c r="C15" s="856"/>
      <c r="D15" s="858" t="s">
        <v>205</v>
      </c>
      <c r="E15" s="851"/>
      <c r="F15" s="851"/>
    </row>
    <row r="16" spans="1:6" ht="15">
      <c r="A16" s="856"/>
      <c r="B16" s="857" t="s">
        <v>1039</v>
      </c>
      <c r="C16" s="856"/>
      <c r="D16" s="858" t="s">
        <v>599</v>
      </c>
      <c r="E16" s="851"/>
      <c r="F16" s="851"/>
    </row>
    <row r="17" spans="1:7" ht="15">
      <c r="A17" s="856"/>
      <c r="B17" s="857" t="s">
        <v>1035</v>
      </c>
      <c r="C17" s="856"/>
      <c r="D17" s="858" t="s">
        <v>204</v>
      </c>
      <c r="E17" s="851"/>
      <c r="F17" s="851"/>
    </row>
    <row r="18" spans="1:7" ht="15">
      <c r="A18" s="856"/>
      <c r="B18" s="857" t="s">
        <v>1036</v>
      </c>
      <c r="C18" s="856"/>
      <c r="D18" s="858" t="s">
        <v>747</v>
      </c>
      <c r="E18" s="851"/>
      <c r="F18" s="851"/>
    </row>
    <row r="19" spans="1:7" ht="15">
      <c r="A19" s="856"/>
      <c r="B19" s="857" t="s">
        <v>1711</v>
      </c>
      <c r="C19" s="856"/>
      <c r="D19" s="858" t="s">
        <v>1705</v>
      </c>
      <c r="E19" s="851"/>
      <c r="F19" s="851"/>
    </row>
    <row r="20" spans="1:7" ht="15">
      <c r="A20" s="856"/>
      <c r="B20" s="857" t="s">
        <v>1037</v>
      </c>
      <c r="C20" s="856"/>
      <c r="D20" s="858" t="s">
        <v>748</v>
      </c>
      <c r="E20" s="851"/>
      <c r="F20" s="851"/>
    </row>
    <row r="21" spans="1:7" ht="15">
      <c r="A21" s="856"/>
      <c r="B21" s="857" t="s">
        <v>884</v>
      </c>
      <c r="C21" s="856"/>
      <c r="D21" s="858" t="s">
        <v>596</v>
      </c>
      <c r="E21" s="851"/>
      <c r="F21" s="851"/>
    </row>
    <row r="22" spans="1:7" ht="15">
      <c r="A22" s="856"/>
      <c r="B22" s="857" t="s">
        <v>934</v>
      </c>
      <c r="C22" s="856"/>
      <c r="D22" s="858" t="s">
        <v>597</v>
      </c>
      <c r="E22" s="859"/>
      <c r="F22" s="859"/>
      <c r="G22" s="860"/>
    </row>
    <row r="23" spans="1:7" ht="15">
      <c r="A23" s="856"/>
      <c r="B23" s="857" t="s">
        <v>942</v>
      </c>
      <c r="C23" s="856"/>
      <c r="D23" s="858" t="s">
        <v>598</v>
      </c>
      <c r="E23" s="851"/>
      <c r="F23" s="851"/>
    </row>
    <row r="24" spans="1:7" ht="15">
      <c r="A24" s="856"/>
      <c r="B24" s="857" t="s">
        <v>1043</v>
      </c>
      <c r="C24" s="856"/>
      <c r="D24" s="858" t="s">
        <v>730</v>
      </c>
      <c r="E24" s="851"/>
      <c r="F24" s="851"/>
    </row>
    <row r="25" spans="1:7" ht="15">
      <c r="A25" s="856"/>
      <c r="B25" s="857" t="s">
        <v>1044</v>
      </c>
      <c r="C25" s="856"/>
      <c r="D25" s="858" t="s">
        <v>731</v>
      </c>
      <c r="E25" s="851"/>
      <c r="F25" s="851"/>
    </row>
    <row r="26" spans="1:7" ht="15">
      <c r="A26" s="856"/>
      <c r="B26" s="857" t="s">
        <v>1055</v>
      </c>
      <c r="C26" s="856"/>
      <c r="D26" s="858" t="s">
        <v>779</v>
      </c>
      <c r="E26" s="851"/>
      <c r="F26" s="851"/>
    </row>
    <row r="27" spans="1:7" ht="15">
      <c r="A27" s="856"/>
      <c r="B27" s="857" t="s">
        <v>1057</v>
      </c>
      <c r="C27" s="856"/>
      <c r="D27" s="858" t="s">
        <v>780</v>
      </c>
      <c r="E27" s="851"/>
      <c r="F27" s="851"/>
    </row>
    <row r="28" spans="1:7" ht="15">
      <c r="A28" s="856"/>
      <c r="B28" s="857" t="s">
        <v>1062</v>
      </c>
      <c r="C28" s="850"/>
      <c r="D28" s="858" t="s">
        <v>757</v>
      </c>
      <c r="E28" s="851"/>
      <c r="F28" s="851"/>
    </row>
    <row r="29" spans="1:7" ht="15">
      <c r="A29" s="856"/>
      <c r="B29" s="857" t="s">
        <v>1056</v>
      </c>
      <c r="C29" s="850"/>
      <c r="D29" s="858" t="s">
        <v>824</v>
      </c>
      <c r="E29" s="851"/>
      <c r="F29" s="851"/>
    </row>
    <row r="30" spans="1:7" ht="15">
      <c r="A30" s="856"/>
      <c r="B30" s="857" t="s">
        <v>1059</v>
      </c>
      <c r="C30" s="850"/>
      <c r="D30" s="858" t="s">
        <v>335</v>
      </c>
      <c r="E30" s="851"/>
      <c r="F30" s="851"/>
    </row>
    <row r="31" spans="1:7" ht="15">
      <c r="A31" s="856"/>
      <c r="B31" s="857" t="s">
        <v>1060</v>
      </c>
      <c r="C31" s="850"/>
      <c r="D31" s="858" t="s">
        <v>344</v>
      </c>
      <c r="E31" s="851"/>
      <c r="F31" s="851"/>
    </row>
    <row r="32" spans="1:7" ht="15">
      <c r="A32" s="856"/>
      <c r="B32" s="857" t="s">
        <v>1058</v>
      </c>
      <c r="C32" s="850"/>
      <c r="D32" s="858" t="s">
        <v>781</v>
      </c>
      <c r="E32" s="851"/>
      <c r="F32" s="851"/>
    </row>
    <row r="33" spans="1:6" ht="15">
      <c r="A33" s="856"/>
      <c r="B33" s="857" t="s">
        <v>1047</v>
      </c>
      <c r="C33" s="856"/>
      <c r="D33" s="858" t="s">
        <v>257</v>
      </c>
      <c r="E33" s="851"/>
      <c r="F33" s="851"/>
    </row>
    <row r="34" spans="1:6" ht="15">
      <c r="A34" s="856"/>
      <c r="B34" s="857" t="s">
        <v>1041</v>
      </c>
      <c r="C34" s="856"/>
      <c r="D34" s="858" t="s">
        <v>732</v>
      </c>
      <c r="E34" s="851"/>
      <c r="F34" s="851"/>
    </row>
    <row r="35" spans="1:6" ht="15">
      <c r="A35" s="856"/>
      <c r="B35" s="857" t="s">
        <v>1040</v>
      </c>
      <c r="C35" s="856"/>
      <c r="D35" s="858" t="s">
        <v>735</v>
      </c>
      <c r="E35" s="851"/>
      <c r="F35" s="851"/>
    </row>
    <row r="36" spans="1:6" ht="15">
      <c r="A36" s="856"/>
      <c r="B36" s="857" t="s">
        <v>1053</v>
      </c>
      <c r="C36" s="856"/>
      <c r="D36" s="858" t="s">
        <v>600</v>
      </c>
      <c r="E36" s="851"/>
      <c r="F36" s="851"/>
    </row>
    <row r="37" spans="1:6" ht="15">
      <c r="A37" s="856"/>
      <c r="B37" s="857" t="s">
        <v>1051</v>
      </c>
      <c r="C37" s="856"/>
      <c r="D37" s="858" t="s">
        <v>289</v>
      </c>
      <c r="E37" s="851"/>
      <c r="F37" s="851"/>
    </row>
    <row r="38" spans="1:6" ht="15">
      <c r="A38" s="856"/>
      <c r="B38" s="857" t="s">
        <v>1049</v>
      </c>
      <c r="C38" s="856"/>
      <c r="D38" s="858" t="s">
        <v>370</v>
      </c>
      <c r="E38" s="851"/>
      <c r="F38" s="851"/>
    </row>
    <row r="39" spans="1:6" ht="15">
      <c r="A39" s="856"/>
      <c r="B39" s="857" t="s">
        <v>1050</v>
      </c>
      <c r="C39" s="856"/>
      <c r="D39" s="858" t="s">
        <v>252</v>
      </c>
      <c r="E39" s="851"/>
      <c r="F39" s="851"/>
    </row>
    <row r="40" spans="1:6" ht="15">
      <c r="A40" s="850"/>
      <c r="B40" s="857" t="s">
        <v>1048</v>
      </c>
      <c r="C40" s="856"/>
      <c r="D40" s="858" t="s">
        <v>1075</v>
      </c>
      <c r="E40" s="851"/>
      <c r="F40" s="851"/>
    </row>
    <row r="41" spans="1:6" ht="15">
      <c r="A41" s="850"/>
      <c r="B41" s="857" t="s">
        <v>1061</v>
      </c>
      <c r="C41" s="850"/>
      <c r="D41" s="858" t="s">
        <v>704</v>
      </c>
      <c r="E41" s="851"/>
      <c r="F41" s="851"/>
    </row>
    <row r="42" spans="1:6" ht="15">
      <c r="A42" s="850"/>
      <c r="B42" s="857" t="s">
        <v>1052</v>
      </c>
      <c r="C42" s="856"/>
      <c r="D42" s="858" t="s">
        <v>290</v>
      </c>
      <c r="E42" s="851"/>
      <c r="F42" s="851"/>
    </row>
    <row r="43" spans="1:6" ht="15">
      <c r="A43" s="850"/>
      <c r="B43" s="857" t="s">
        <v>1054</v>
      </c>
      <c r="C43" s="856"/>
      <c r="D43" s="858" t="s">
        <v>283</v>
      </c>
      <c r="E43" s="851"/>
      <c r="F43" s="851"/>
    </row>
    <row r="44" spans="1:6" ht="15">
      <c r="A44" s="856"/>
      <c r="B44" s="857" t="s">
        <v>1046</v>
      </c>
      <c r="C44" s="856"/>
      <c r="D44" s="858" t="s">
        <v>288</v>
      </c>
      <c r="E44" s="851"/>
      <c r="F44" s="851"/>
    </row>
    <row r="45" spans="1:6" ht="15">
      <c r="A45" s="850"/>
      <c r="B45" s="857" t="s">
        <v>1086</v>
      </c>
      <c r="C45" s="856"/>
      <c r="D45" s="858" t="s">
        <v>287</v>
      </c>
      <c r="E45" s="851"/>
      <c r="F45" s="851"/>
    </row>
    <row r="46" spans="1:6" ht="15">
      <c r="A46" s="850"/>
      <c r="B46" s="857" t="s">
        <v>1045</v>
      </c>
      <c r="C46" s="856"/>
      <c r="D46" s="858" t="s">
        <v>256</v>
      </c>
      <c r="E46" s="851"/>
      <c r="F46" s="851"/>
    </row>
    <row r="47" spans="1:6" ht="15">
      <c r="A47" s="856"/>
      <c r="B47" s="857" t="s">
        <v>1042</v>
      </c>
      <c r="C47" s="856"/>
      <c r="D47" s="858" t="s">
        <v>1082</v>
      </c>
      <c r="E47" s="851"/>
      <c r="F47" s="851"/>
    </row>
    <row r="48" spans="1:6" ht="15">
      <c r="A48" s="856"/>
      <c r="B48" s="857" t="s">
        <v>1076</v>
      </c>
      <c r="C48" s="856"/>
      <c r="D48" s="858" t="s">
        <v>1083</v>
      </c>
      <c r="E48" s="851"/>
      <c r="F48" s="851"/>
    </row>
    <row r="49" spans="1:6" ht="15">
      <c r="A49" s="856"/>
      <c r="B49" s="857" t="s">
        <v>1077</v>
      </c>
      <c r="C49" s="856"/>
      <c r="D49" s="858" t="s">
        <v>1084</v>
      </c>
      <c r="E49" s="851"/>
      <c r="F49" s="851"/>
    </row>
    <row r="50" spans="1:6" ht="15">
      <c r="A50" s="850"/>
      <c r="B50" s="857" t="s">
        <v>1063</v>
      </c>
      <c r="C50" s="850"/>
      <c r="D50" s="858" t="s">
        <v>857</v>
      </c>
      <c r="E50" s="851"/>
      <c r="F50" s="851"/>
    </row>
  </sheetData>
  <sheetProtection algorithmName="SHA-512" hashValue="bWACTPGHgXqv52NZx0UN79UDWE16IHAGKopmF9LUMa1k9cSAoiLfQjYvYsowU05PCuMwlTU9FjRRQBdK1PLjTQ==" saltValue="UGM9QNhS/MKMXbHRSyrE+g==" spinCount="100000" sheet="1" objects="1" scenarios="1"/>
  <sortState xmlns:xlrd2="http://schemas.microsoft.com/office/spreadsheetml/2017/richdata2" ref="B23:D50">
    <sortCondition ref="B23"/>
  </sortState>
  <customSheetViews>
    <customSheetView guid="{B321D76C-CDE5-48BB-9CDE-80FF97D58FCF}" showPageBreaks="1" fitToPage="1" printArea="1" view="pageBreakPreview" topLeftCell="A34">
      <selection activeCell="D33" sqref="D33"/>
      <pageMargins left="0.7" right="0.7" top="0.75" bottom="0.75" header="0.3" footer="0.3"/>
      <pageSetup scale="73" orientation="portrait" r:id="rId1"/>
    </customSheetView>
  </customSheetViews>
  <mergeCells count="3">
    <mergeCell ref="B4:D4"/>
    <mergeCell ref="B5:D5"/>
    <mergeCell ref="B6:D6"/>
  </mergeCells>
  <hyperlinks>
    <hyperlink ref="B11" location="SUMMARY!A1" display="Cost-of-Service Summary" xr:uid="{00000000-0004-0000-0000-000000000000}"/>
    <hyperlink ref="B12" location="'A1-O&amp;M'!A1" display="Schedule A" xr:uid="{00000000-0004-0000-0000-000001000000}"/>
    <hyperlink ref="B13" location="'A2-A&amp;G'!A1" display="Schedule A2" xr:uid="{00000000-0004-0000-0000-000002000000}"/>
    <hyperlink ref="B14" location="'B1-Depn'!A1" display="Schedule B1" xr:uid="{00000000-0004-0000-0000-000003000000}"/>
    <hyperlink ref="B17" location="'C1-Rate Base'!A1" display="Schedule C1" xr:uid="{00000000-0004-0000-0000-000004000000}"/>
    <hyperlink ref="B18" location="'D1-Cap Structure'!A1" display="Schedule D1" xr:uid="{00000000-0004-0000-0000-000005000000}"/>
    <hyperlink ref="B20" location="'E1-Labor Ratio'!A1" display="Schedule E1" xr:uid="{00000000-0004-0000-0000-000006000000}"/>
    <hyperlink ref="B15" location="'B2-Plant'!A1" display="Schedule B2" xr:uid="{00000000-0004-0000-0000-000007000000}"/>
    <hyperlink ref="B21" location="'F1-Proj RR'!A1" display="Schedule F1" xr:uid="{00000000-0004-0000-0000-000008000000}"/>
    <hyperlink ref="B22" location="'F2-Incentives'!A1" display="Schedule F2" xr:uid="{00000000-0004-0000-0000-000009000000}"/>
    <hyperlink ref="B23" location="'F3-True-Up'!A1" display="Schedule F3" xr:uid="{00000000-0004-0000-0000-00000A000000}"/>
    <hyperlink ref="B16" location="'B3-Depn Rates'!A1" display="Schedule B3" xr:uid="{00000000-0004-0000-0000-00000B000000}"/>
    <hyperlink ref="B34" location="'WP-BB'!A1" display="Work Paper-BB" xr:uid="{00000000-0004-0000-0000-00000C000000}"/>
    <hyperlink ref="B35" location="'WP-BC'!A1" display="Work Paper-BC" xr:uid="{00000000-0004-0000-0000-00000D000000}"/>
    <hyperlink ref="B47" location="'WP-AR-IS'!A1" display="Work Paper-AR-IS" xr:uid="{00000000-0004-0000-0000-00000E000000}"/>
    <hyperlink ref="B48" location="'WP-AR-BS'!A1" display="Work Paper-AR-BS" xr:uid="{00000000-0004-0000-0000-00000F000000}"/>
    <hyperlink ref="B49" location="'WP-AR-Cap Assets'!A1" display="Work Paper-AR-Cap Assets" xr:uid="{00000000-0004-0000-0000-000010000000}"/>
    <hyperlink ref="B24" location="'WP-AA'!A1" display="Work Paper-AA" xr:uid="{00000000-0004-0000-0000-000011000000}"/>
    <hyperlink ref="B25" location="'WP-AB'!A1" display="Work Paper-AB" xr:uid="{00000000-0004-0000-0000-000012000000}"/>
    <hyperlink ref="B46" location="'WP-EA'!A1" display="Work Paper-EA" xr:uid="{00000000-0004-0000-0000-000013000000}"/>
    <hyperlink ref="B45" location="'WP-DB'!A1" display="Work Paper-D1" xr:uid="{00000000-0004-0000-0000-000014000000}"/>
    <hyperlink ref="B44" location="'WP-DA'!A1" display="Work Paper-DA" xr:uid="{00000000-0004-0000-0000-000015000000}"/>
    <hyperlink ref="B33" location="'WP-BA'!A1" display="Work Paper-BA" xr:uid="{00000000-0004-0000-0000-000016000000}"/>
    <hyperlink ref="B40" location="'WP-BH'!A1" display="Work Paper-BH" xr:uid="{00000000-0004-0000-0000-000017000000}"/>
    <hyperlink ref="B38" location="'WP-BF'!A1" display="Work Paper-BF" xr:uid="{00000000-0004-0000-0000-000018000000}"/>
    <hyperlink ref="B39" location="'WP-BG'!A1" display="Work Paper-BG" xr:uid="{00000000-0004-0000-0000-000019000000}"/>
    <hyperlink ref="B37" location="'WP-BE'!A1" display="Work Paper-BE" xr:uid="{00000000-0004-0000-0000-00001A000000}"/>
    <hyperlink ref="B42" location="'WP-CA'!A1" display="Work Paper-CA" xr:uid="{00000000-0004-0000-0000-00001B000000}"/>
    <hyperlink ref="B36" location="'WP-BD'!A1" display="Work Paper-BD" xr:uid="{00000000-0004-0000-0000-00001C000000}"/>
    <hyperlink ref="B43" location="'WP-CB'!A1" display="Work Paper-CB" xr:uid="{00000000-0004-0000-0000-00001D000000}"/>
    <hyperlink ref="B27" location="'WP-AD'!A1" display="Work Paper-AD" xr:uid="{00000000-0004-0000-0000-00001E000000}"/>
    <hyperlink ref="B30" location="'WP-AG'!A1" display="Work Paper-AG" xr:uid="{00000000-0004-0000-0000-00001F000000}"/>
    <hyperlink ref="B41" location="'WP-BI'!A1" display="Work Paper-BI" xr:uid="{00000000-0004-0000-0000-000020000000}"/>
    <hyperlink ref="B26" location="'WP-AC'!A1" display="Work Paper-AC" xr:uid="{00000000-0004-0000-0000-000021000000}"/>
    <hyperlink ref="B32" location="'WP-AI'!A1" display="Work Paper-AI" xr:uid="{00000000-0004-0000-0000-000022000000}"/>
    <hyperlink ref="B31" location="'WP-AH'!A1" display="Work Paper-AH" xr:uid="{00000000-0004-0000-0000-000023000000}"/>
    <hyperlink ref="B29" location="'WP-AF'!A1" display="Work Paper-AF" xr:uid="{00000000-0004-0000-0000-000024000000}"/>
    <hyperlink ref="B28" location="'WP-AE'!A1" display="Work Paper-AE" xr:uid="{00000000-0004-0000-0000-000025000000}"/>
    <hyperlink ref="B50" location="'WP-Reconciliations'!A1" display="Work Paper-Reconciliations " xr:uid="{00000000-0004-0000-0000-000026000000}"/>
    <hyperlink ref="B19" location="'D2-Project Cap Structures'!A1" display="Schedule D2" xr:uid="{00000000-0004-0000-0000-000027000000}"/>
  </hyperlinks>
  <pageMargins left="0.7" right="0.7" top="0.75" bottom="0.75" header="0.3" footer="0.3"/>
  <pageSetup scale="6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rgb="FF7030A0"/>
    <pageSetUpPr fitToPage="1"/>
  </sheetPr>
  <dimension ref="A1:L69"/>
  <sheetViews>
    <sheetView showGridLines="0" defaultGridColor="0" view="pageBreakPreview" colorId="22" zoomScale="80" zoomScaleNormal="70" zoomScaleSheetLayoutView="80" workbookViewId="0">
      <selection activeCell="O66" sqref="O66"/>
    </sheetView>
  </sheetViews>
  <sheetFormatPr defaultColWidth="9.44140625" defaultRowHeight="12"/>
  <cols>
    <col min="1" max="1" width="2.44140625" style="12" customWidth="1"/>
    <col min="2" max="2" width="9.44140625" style="12" customWidth="1"/>
    <col min="3" max="3" width="30.44140625" style="12" bestFit="1" customWidth="1"/>
    <col min="4" max="4" width="26.44140625" style="12" bestFit="1" customWidth="1"/>
    <col min="5" max="5" width="6.77734375" style="12" customWidth="1"/>
    <col min="6" max="6" width="14.44140625" style="12" bestFit="1" customWidth="1"/>
    <col min="7" max="7" width="6.109375" style="12" customWidth="1"/>
    <col min="8" max="8" width="16.109375" style="12" customWidth="1"/>
    <col min="9" max="9" width="5" style="12" customWidth="1"/>
    <col min="10" max="10" width="35.21875" style="12" customWidth="1"/>
    <col min="11" max="11" width="29.109375" style="12" customWidth="1"/>
    <col min="12" max="12" width="10.77734375" style="12" customWidth="1"/>
    <col min="13" max="16384" width="9.44140625" style="12"/>
  </cols>
  <sheetData>
    <row r="1" spans="1:12" s="85" customFormat="1" ht="15.6">
      <c r="A1" s="126" t="s">
        <v>1710</v>
      </c>
      <c r="B1" s="122"/>
      <c r="C1" s="86"/>
      <c r="J1" s="122"/>
      <c r="L1" s="87"/>
    </row>
    <row r="2" spans="1:12" ht="15.6">
      <c r="A2" s="19"/>
      <c r="C2" s="13"/>
      <c r="D2" s="19"/>
      <c r="E2" s="19"/>
      <c r="F2" s="19"/>
      <c r="G2" s="19"/>
      <c r="H2" s="19"/>
    </row>
    <row r="3" spans="1:12" ht="15">
      <c r="A3" s="19"/>
      <c r="B3" s="19"/>
      <c r="D3" s="19"/>
      <c r="E3" s="19"/>
      <c r="F3" s="19"/>
      <c r="G3" s="19"/>
      <c r="H3" s="19"/>
      <c r="I3" s="19"/>
      <c r="J3" s="19"/>
    </row>
    <row r="6" spans="1:12" ht="15.6">
      <c r="A6" s="1995" t="s">
        <v>199</v>
      </c>
      <c r="B6" s="1995"/>
      <c r="C6" s="1995"/>
      <c r="D6" s="1995"/>
      <c r="E6" s="1995"/>
      <c r="F6" s="1995"/>
      <c r="G6" s="1995"/>
      <c r="H6" s="1995"/>
      <c r="I6" s="1995"/>
      <c r="J6" s="1995"/>
      <c r="K6" s="1995"/>
      <c r="L6" s="1995"/>
    </row>
    <row r="7" spans="1:12" ht="15.6">
      <c r="A7" s="1995" t="s">
        <v>103</v>
      </c>
      <c r="B7" s="1995"/>
      <c r="C7" s="1995"/>
      <c r="D7" s="1995"/>
      <c r="E7" s="1995"/>
      <c r="F7" s="1995"/>
      <c r="G7" s="1995"/>
      <c r="H7" s="1995"/>
      <c r="I7" s="1995"/>
      <c r="J7" s="1995"/>
      <c r="K7" s="1995"/>
      <c r="L7" s="1995"/>
    </row>
    <row r="8" spans="1:12" ht="15.6">
      <c r="A8" s="1981" t="str">
        <f>SUMMARY!A7</f>
        <v>YEAR ENDING DECEMBER 31, 2021</v>
      </c>
      <c r="B8" s="1981"/>
      <c r="C8" s="1981"/>
      <c r="D8" s="1981"/>
      <c r="E8" s="1981"/>
      <c r="F8" s="1981"/>
      <c r="G8" s="1981"/>
      <c r="H8" s="1981"/>
      <c r="I8" s="1981"/>
      <c r="J8" s="1981"/>
      <c r="K8" s="1981"/>
      <c r="L8" s="1981"/>
    </row>
    <row r="9" spans="1:12" ht="15.6">
      <c r="A9" s="817"/>
      <c r="B9" s="817"/>
      <c r="C9" s="817"/>
      <c r="D9" s="817"/>
      <c r="E9" s="817"/>
      <c r="F9" s="817"/>
      <c r="G9" s="817"/>
      <c r="H9" s="817"/>
      <c r="I9" s="817"/>
      <c r="J9" s="817"/>
      <c r="K9" s="817"/>
      <c r="L9" s="817"/>
    </row>
    <row r="10" spans="1:12" ht="15.6">
      <c r="A10" s="1979" t="s">
        <v>1704</v>
      </c>
      <c r="B10" s="1979"/>
      <c r="C10" s="1979"/>
      <c r="D10" s="1979"/>
      <c r="E10" s="1979"/>
      <c r="F10" s="1979"/>
      <c r="G10" s="1979"/>
      <c r="H10" s="1979"/>
      <c r="I10" s="1979"/>
      <c r="J10" s="1979"/>
      <c r="K10" s="1979"/>
      <c r="L10" s="1979"/>
    </row>
    <row r="11" spans="1:12" s="163" customFormat="1" ht="15.6">
      <c r="A11" s="1996" t="s">
        <v>1800</v>
      </c>
      <c r="B11" s="1996"/>
      <c r="C11" s="1996"/>
      <c r="D11" s="1996"/>
      <c r="E11" s="1996"/>
      <c r="F11" s="1996"/>
      <c r="G11" s="1996"/>
      <c r="H11" s="1996"/>
      <c r="I11" s="1996"/>
      <c r="J11" s="1996"/>
      <c r="K11" s="1996"/>
      <c r="L11" s="1996"/>
    </row>
    <row r="12" spans="1:12" ht="15.6">
      <c r="A12" s="1995"/>
      <c r="B12" s="1995"/>
      <c r="C12" s="1995"/>
      <c r="D12" s="1995"/>
      <c r="E12" s="1995"/>
      <c r="F12" s="1995"/>
      <c r="G12" s="1995"/>
      <c r="H12" s="1995"/>
      <c r="I12" s="1995"/>
      <c r="J12" s="1995"/>
      <c r="K12" s="1995"/>
      <c r="L12" s="1995"/>
    </row>
    <row r="14" spans="1:12" s="25" customFormat="1" ht="13.2"/>
    <row r="15" spans="1:12" s="25" customFormat="1" ht="15.6">
      <c r="H15" s="817"/>
    </row>
    <row r="16" spans="1:12" s="509" customFormat="1" ht="15.6">
      <c r="A16" s="20"/>
      <c r="B16" s="20"/>
      <c r="C16" s="20"/>
      <c r="D16" s="817" t="s">
        <v>833</v>
      </c>
      <c r="E16" s="20"/>
      <c r="F16" s="817" t="s">
        <v>834</v>
      </c>
      <c r="G16" s="20"/>
      <c r="H16" s="557" t="s">
        <v>836</v>
      </c>
      <c r="I16" s="20"/>
      <c r="J16" s="558"/>
    </row>
    <row r="17" spans="1:10" s="509" customFormat="1" ht="15.6">
      <c r="A17" s="20"/>
      <c r="B17" s="471" t="s">
        <v>1</v>
      </c>
      <c r="C17" s="471" t="s">
        <v>54</v>
      </c>
      <c r="D17" s="471" t="s">
        <v>922</v>
      </c>
      <c r="E17" s="582"/>
      <c r="F17" s="471" t="s">
        <v>923</v>
      </c>
      <c r="G17" s="582"/>
      <c r="H17" s="558" t="s">
        <v>835</v>
      </c>
      <c r="I17" s="582"/>
      <c r="J17" s="558" t="s">
        <v>55</v>
      </c>
    </row>
    <row r="18" spans="1:10" s="25" customFormat="1" ht="15.6">
      <c r="A18" s="19"/>
      <c r="C18" s="19"/>
      <c r="D18" s="559" t="s">
        <v>192</v>
      </c>
      <c r="E18" s="19"/>
      <c r="F18" s="559" t="s">
        <v>193</v>
      </c>
      <c r="G18" s="19"/>
      <c r="H18" s="559" t="s">
        <v>194</v>
      </c>
      <c r="I18" s="19"/>
      <c r="J18" s="559" t="s">
        <v>195</v>
      </c>
    </row>
    <row r="19" spans="1:10" s="25" customFormat="1" ht="13.2">
      <c r="C19" s="639"/>
      <c r="H19" s="535"/>
    </row>
    <row r="20" spans="1:10" s="25" customFormat="1" ht="13.2">
      <c r="C20" s="639"/>
    </row>
    <row r="21" spans="1:10" s="25" customFormat="1" ht="13.2">
      <c r="B21" s="25" t="s">
        <v>1717</v>
      </c>
      <c r="C21" s="639"/>
    </row>
    <row r="22" spans="1:10">
      <c r="C22" s="640"/>
    </row>
    <row r="23" spans="1:10" ht="15.6">
      <c r="B23" s="817">
        <v>1</v>
      </c>
      <c r="C23" s="502" t="s">
        <v>1105</v>
      </c>
      <c r="D23" s="560">
        <f>1-D25</f>
        <v>0.47</v>
      </c>
      <c r="E23" s="186" t="s">
        <v>360</v>
      </c>
      <c r="F23" s="684">
        <f>'WP-DA'!M14</f>
        <v>4.0559341100642764E-2</v>
      </c>
      <c r="G23" s="714"/>
      <c r="H23" s="561">
        <f>D23*F23</f>
        <v>1.9062890317302097E-2</v>
      </c>
      <c r="I23" s="19"/>
      <c r="J23" s="19" t="s">
        <v>749</v>
      </c>
    </row>
    <row r="24" spans="1:10" ht="15">
      <c r="B24" s="20"/>
      <c r="C24" s="481"/>
      <c r="D24" s="562"/>
      <c r="E24" s="186"/>
      <c r="F24" s="683"/>
      <c r="G24" s="186"/>
      <c r="H24" s="563"/>
      <c r="I24" s="19"/>
      <c r="J24" s="19"/>
    </row>
    <row r="25" spans="1:10" ht="15.6">
      <c r="B25" s="817">
        <v>2</v>
      </c>
      <c r="C25" s="668" t="s">
        <v>56</v>
      </c>
      <c r="D25" s="564">
        <f>MIN(53%,'WP-DA'!G18)</f>
        <v>0.53</v>
      </c>
      <c r="E25" s="186" t="s">
        <v>360</v>
      </c>
      <c r="F25" s="684">
        <f>'WP-DA'!M18</f>
        <v>9.4500000000000001E-2</v>
      </c>
      <c r="G25" s="186" t="s">
        <v>361</v>
      </c>
      <c r="H25" s="758">
        <f>D25*F25</f>
        <v>5.0085000000000005E-2</v>
      </c>
      <c r="I25" s="19"/>
      <c r="J25" s="19" t="s">
        <v>749</v>
      </c>
    </row>
    <row r="26" spans="1:10" ht="15">
      <c r="B26" s="20"/>
      <c r="C26" s="481"/>
      <c r="D26" s="562"/>
      <c r="E26" s="19"/>
      <c r="F26" s="19"/>
      <c r="G26" s="19"/>
      <c r="H26" s="707"/>
      <c r="I26" s="19"/>
      <c r="J26" s="19"/>
    </row>
    <row r="27" spans="1:10" ht="15.6">
      <c r="B27" s="817">
        <v>3</v>
      </c>
      <c r="C27" s="502" t="s">
        <v>57</v>
      </c>
      <c r="D27" s="560">
        <f>SUM(D23:D25)</f>
        <v>1</v>
      </c>
      <c r="E27" s="19"/>
      <c r="F27" s="19"/>
      <c r="G27" s="19"/>
      <c r="H27" s="750">
        <f>SUM(H23:H25)</f>
        <v>6.9147890317302105E-2</v>
      </c>
      <c r="I27" s="19"/>
      <c r="J27" s="19" t="s">
        <v>750</v>
      </c>
    </row>
    <row r="28" spans="1:10">
      <c r="C28" s="640"/>
      <c r="D28" s="713"/>
    </row>
    <row r="29" spans="1:10" ht="15.6">
      <c r="B29" s="817">
        <v>4</v>
      </c>
      <c r="C29" s="502" t="s">
        <v>1706</v>
      </c>
      <c r="H29" s="867">
        <f>'F1-Proj RR'!I48</f>
        <v>45122139.5</v>
      </c>
      <c r="J29" s="19"/>
    </row>
    <row r="30" spans="1:10" ht="15.6">
      <c r="C30" s="502"/>
      <c r="H30" s="561"/>
    </row>
    <row r="31" spans="1:10" ht="15.6">
      <c r="B31" s="817">
        <v>5</v>
      </c>
      <c r="C31" s="502" t="s">
        <v>1707</v>
      </c>
      <c r="H31" s="669">
        <f>'WP-DA'!O20*H29</f>
        <v>3047083.2149606436</v>
      </c>
      <c r="J31" s="19" t="s">
        <v>1767</v>
      </c>
    </row>
    <row r="32" spans="1:10" ht="15.6">
      <c r="B32" s="817"/>
      <c r="C32" s="640"/>
      <c r="H32" s="669"/>
    </row>
    <row r="33" spans="2:10" ht="15.6">
      <c r="B33" s="817">
        <v>6</v>
      </c>
      <c r="C33" s="502" t="s">
        <v>1708</v>
      </c>
      <c r="H33" s="669">
        <f>+H27*H29</f>
        <v>3120100.7530280049</v>
      </c>
      <c r="J33" s="19" t="s">
        <v>1768</v>
      </c>
    </row>
    <row r="34" spans="2:10" ht="15.6">
      <c r="C34" s="640"/>
      <c r="H34" s="669"/>
    </row>
    <row r="35" spans="2:10" ht="15.6">
      <c r="B35" s="817" t="s">
        <v>456</v>
      </c>
      <c r="C35" s="502" t="s">
        <v>1709</v>
      </c>
      <c r="H35" s="669">
        <f>+H33-H31</f>
        <v>73017.53806736134</v>
      </c>
      <c r="J35" s="19" t="s">
        <v>1812</v>
      </c>
    </row>
    <row r="36" spans="2:10" ht="15.6">
      <c r="B36" s="817"/>
      <c r="C36" s="502"/>
      <c r="H36" s="669"/>
      <c r="J36" s="19"/>
    </row>
    <row r="37" spans="2:10" s="25" customFormat="1" ht="13.2">
      <c r="B37" s="25" t="s">
        <v>2085</v>
      </c>
      <c r="C37" s="639"/>
    </row>
    <row r="38" spans="2:10" s="25" customFormat="1" ht="13.2">
      <c r="C38" s="639"/>
    </row>
    <row r="39" spans="2:10" ht="15.6">
      <c r="B39" s="785">
        <v>1</v>
      </c>
      <c r="C39" s="786" t="s">
        <v>1105</v>
      </c>
      <c r="D39" s="787">
        <v>0.5</v>
      </c>
      <c r="E39" s="788"/>
      <c r="F39" s="684">
        <f>'WP-DA'!M14</f>
        <v>4.0559341100642764E-2</v>
      </c>
      <c r="G39" s="789"/>
      <c r="H39" s="561">
        <f>D39*F39</f>
        <v>2.0279670550321382E-2</v>
      </c>
      <c r="I39" s="790"/>
      <c r="J39" s="790" t="s">
        <v>749</v>
      </c>
    </row>
    <row r="40" spans="2:10" ht="15">
      <c r="B40" s="791"/>
      <c r="C40" s="792"/>
      <c r="D40" s="793"/>
      <c r="E40" s="788"/>
      <c r="F40" s="683"/>
      <c r="G40" s="788"/>
      <c r="H40" s="563"/>
      <c r="I40" s="790"/>
      <c r="J40" s="790"/>
    </row>
    <row r="41" spans="2:10" ht="15.6">
      <c r="B41" s="785">
        <v>2</v>
      </c>
      <c r="C41" s="794" t="s">
        <v>56</v>
      </c>
      <c r="D41" s="795">
        <v>0.5</v>
      </c>
      <c r="E41" s="788"/>
      <c r="F41" s="684">
        <v>9.9500000000000005E-2</v>
      </c>
      <c r="G41" s="788"/>
      <c r="H41" s="758">
        <f>D41*F41</f>
        <v>4.9750000000000003E-2</v>
      </c>
      <c r="I41" s="790"/>
      <c r="J41" s="790" t="s">
        <v>749</v>
      </c>
    </row>
    <row r="42" spans="2:10" ht="15">
      <c r="B42" s="791"/>
      <c r="C42" s="792"/>
      <c r="D42" s="793"/>
      <c r="E42" s="790"/>
      <c r="F42" s="790"/>
      <c r="G42" s="790"/>
      <c r="H42" s="796"/>
      <c r="I42" s="790"/>
      <c r="J42" s="790"/>
    </row>
    <row r="43" spans="2:10" ht="15.6">
      <c r="B43" s="785">
        <v>3</v>
      </c>
      <c r="C43" s="786" t="s">
        <v>57</v>
      </c>
      <c r="D43" s="787">
        <f>SUM(D39:D41)</f>
        <v>1</v>
      </c>
      <c r="E43" s="790"/>
      <c r="F43" s="790"/>
      <c r="G43" s="790"/>
      <c r="H43" s="797">
        <f>SUM(H39:H41)</f>
        <v>7.0029670550321388E-2</v>
      </c>
      <c r="I43" s="790"/>
      <c r="J43" s="790" t="s">
        <v>750</v>
      </c>
    </row>
    <row r="44" spans="2:10">
      <c r="C44" s="640"/>
      <c r="D44" s="373"/>
    </row>
    <row r="45" spans="2:10" ht="15.6">
      <c r="B45" s="785">
        <v>4</v>
      </c>
      <c r="C45" s="786" t="s">
        <v>1706</v>
      </c>
      <c r="H45" s="868">
        <f>'F1-Proj RR'!I49</f>
        <v>75657945</v>
      </c>
      <c r="J45" s="790"/>
    </row>
    <row r="46" spans="2:10" ht="15.6">
      <c r="C46" s="786"/>
      <c r="H46" s="561"/>
    </row>
    <row r="47" spans="2:10" ht="15.6">
      <c r="B47" s="785">
        <v>5</v>
      </c>
      <c r="C47" s="786" t="s">
        <v>1707</v>
      </c>
      <c r="H47" s="798">
        <f>'WP-DA'!O20*H45</f>
        <v>5109156.1003643349</v>
      </c>
      <c r="J47" s="790" t="s">
        <v>1767</v>
      </c>
    </row>
    <row r="48" spans="2:10" ht="15.6">
      <c r="B48" s="785"/>
      <c r="C48" s="640"/>
      <c r="H48" s="798"/>
    </row>
    <row r="49" spans="2:11" ht="15.6">
      <c r="B49" s="785">
        <v>6</v>
      </c>
      <c r="C49" s="786" t="s">
        <v>1708</v>
      </c>
      <c r="H49" s="798">
        <f>H43*H45</f>
        <v>5298300.9628643356</v>
      </c>
      <c r="J49" s="790" t="s">
        <v>1768</v>
      </c>
    </row>
    <row r="50" spans="2:11" ht="15.6">
      <c r="C50" s="640"/>
      <c r="H50" s="798"/>
    </row>
    <row r="51" spans="2:11" ht="15.6">
      <c r="B51" s="785" t="s">
        <v>457</v>
      </c>
      <c r="C51" s="786" t="s">
        <v>1709</v>
      </c>
      <c r="H51" s="798">
        <f>+H49-H47</f>
        <v>189144.86250000075</v>
      </c>
      <c r="J51" s="790" t="s">
        <v>1812</v>
      </c>
    </row>
    <row r="52" spans="2:11" customFormat="1"/>
    <row r="53" spans="2:11" customFormat="1">
      <c r="H53" s="12"/>
    </row>
    <row r="54" spans="2:11" ht="15.6">
      <c r="B54" s="817"/>
      <c r="C54" s="502" t="s">
        <v>2002</v>
      </c>
      <c r="H54" s="798">
        <f>H51+H35</f>
        <v>262162.40056736208</v>
      </c>
      <c r="J54" s="19"/>
    </row>
    <row r="55" spans="2:11" ht="15.6">
      <c r="B55" s="817"/>
      <c r="C55" s="502"/>
      <c r="H55" s="669"/>
      <c r="J55" s="19"/>
    </row>
    <row r="56" spans="2:11">
      <c r="B56" s="869" t="s">
        <v>1797</v>
      </c>
      <c r="C56" s="869"/>
      <c r="D56" s="869"/>
      <c r="E56" s="869"/>
      <c r="F56" s="869"/>
      <c r="G56" s="869"/>
      <c r="H56" s="869"/>
      <c r="I56" s="869"/>
      <c r="J56" s="869"/>
      <c r="K56" s="869"/>
    </row>
    <row r="57" spans="2:11">
      <c r="B57" s="869"/>
      <c r="C57" s="869"/>
      <c r="D57" s="869"/>
      <c r="E57" s="869"/>
      <c r="F57" s="869"/>
      <c r="G57" s="869"/>
      <c r="H57" s="869"/>
      <c r="I57" s="869"/>
      <c r="J57" s="869"/>
      <c r="K57" s="869"/>
    </row>
    <row r="58" spans="2:11" ht="15">
      <c r="B58" s="481" t="s">
        <v>341</v>
      </c>
    </row>
    <row r="59" spans="2:11" s="163" customFormat="1"/>
    <row r="60" spans="2:11" s="163" customFormat="1"/>
    <row r="61" spans="2:11" ht="15">
      <c r="B61" s="481" t="s">
        <v>1798</v>
      </c>
    </row>
    <row r="62" spans="2:11" s="82" customFormat="1" ht="15">
      <c r="B62" s="82" t="s">
        <v>1780</v>
      </c>
    </row>
    <row r="63" spans="2:11" ht="15">
      <c r="B63" s="481" t="s">
        <v>1799</v>
      </c>
    </row>
    <row r="64" spans="2:11" s="82" customFormat="1" ht="15.75" customHeight="1">
      <c r="B64" s="82" t="s">
        <v>1778</v>
      </c>
    </row>
    <row r="65" spans="2:12" ht="15">
      <c r="B65" s="484" t="s">
        <v>1808</v>
      </c>
      <c r="C65" s="163"/>
      <c r="D65" s="163"/>
      <c r="E65" s="163"/>
      <c r="F65" s="163"/>
      <c r="G65" s="163"/>
      <c r="H65" s="163"/>
      <c r="I65" s="163"/>
      <c r="J65" s="163"/>
      <c r="K65" s="163"/>
    </row>
    <row r="66" spans="2:12" ht="15">
      <c r="B66" s="647" t="s">
        <v>1809</v>
      </c>
      <c r="C66" s="163"/>
      <c r="D66" s="163"/>
      <c r="E66" s="163"/>
      <c r="F66" s="163"/>
      <c r="G66" s="163"/>
      <c r="H66" s="163"/>
      <c r="I66" s="163"/>
      <c r="J66" s="163"/>
      <c r="K66" s="163"/>
    </row>
    <row r="67" spans="2:12" ht="15">
      <c r="B67" s="647" t="s">
        <v>2099</v>
      </c>
      <c r="C67" s="163"/>
      <c r="D67" s="163"/>
      <c r="E67" s="163"/>
      <c r="F67" s="163"/>
      <c r="G67" s="163"/>
      <c r="H67" s="163"/>
      <c r="I67" s="163"/>
      <c r="J67" s="163"/>
      <c r="K67" s="163"/>
    </row>
    <row r="68" spans="2:12" ht="15">
      <c r="B68" s="647" t="s">
        <v>2100</v>
      </c>
      <c r="C68" s="163"/>
      <c r="D68" s="163"/>
      <c r="E68" s="163"/>
      <c r="F68" s="163"/>
      <c r="G68" s="163"/>
      <c r="H68" s="163"/>
      <c r="I68" s="163"/>
      <c r="J68" s="163"/>
      <c r="K68" s="163"/>
      <c r="L68" s="82"/>
    </row>
    <row r="69" spans="2:12" ht="15">
      <c r="B69" s="647" t="s">
        <v>2101</v>
      </c>
      <c r="C69" s="163"/>
      <c r="D69" s="163"/>
      <c r="E69" s="163"/>
      <c r="F69" s="163"/>
      <c r="G69" s="163"/>
      <c r="H69" s="163"/>
      <c r="I69" s="163"/>
      <c r="J69" s="163"/>
      <c r="K69" s="163"/>
    </row>
  </sheetData>
  <customSheetViews>
    <customSheetView guid="{B321D76C-CDE5-48BB-9CDE-80FF97D58FCF}" colorId="22" showPageBreaks="1" showGridLines="0" fitToPage="1" printArea="1" view="pageBreakPreview" topLeftCell="A19">
      <selection activeCell="D33" sqref="D33"/>
      <pageMargins left="0.25" right="0.25" top="0.25" bottom="0.25" header="0.5" footer="0.5"/>
      <printOptions horizontalCentered="1"/>
      <pageSetup scale="70" orientation="landscape" r:id="rId1"/>
      <headerFooter alignWithMargins="0"/>
    </customSheetView>
  </customSheetViews>
  <mergeCells count="6">
    <mergeCell ref="A12:L12"/>
    <mergeCell ref="A6:L6"/>
    <mergeCell ref="A7:L7"/>
    <mergeCell ref="A8:L8"/>
    <mergeCell ref="A10:L10"/>
    <mergeCell ref="A11:L11"/>
  </mergeCells>
  <printOptions horizontalCentered="1"/>
  <pageMargins left="0.25" right="0.25" top="0.25" bottom="0.25" header="0.5" footer="0.5"/>
  <pageSetup scale="55" orientation="landscape"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9">
    <tabColor rgb="FFFFFF00"/>
    <pageSetUpPr fitToPage="1"/>
  </sheetPr>
  <dimension ref="A1:Q28"/>
  <sheetViews>
    <sheetView showGridLines="0" defaultGridColor="0" view="pageBreakPreview" colorId="22" zoomScale="80" zoomScaleNormal="100" zoomScaleSheetLayoutView="80" workbookViewId="0">
      <selection activeCell="D30" sqref="D30"/>
    </sheetView>
  </sheetViews>
  <sheetFormatPr defaultColWidth="9.44140625" defaultRowHeight="12"/>
  <cols>
    <col min="1" max="1" width="10.44140625" style="12" customWidth="1"/>
    <col min="2" max="2" width="19.44140625" style="12" customWidth="1"/>
    <col min="3" max="3" width="4" style="12" customWidth="1"/>
    <col min="4" max="4" width="19.5546875" style="12" customWidth="1"/>
    <col min="5" max="5" width="9.44140625" style="12"/>
    <col min="6" max="6" width="23.44140625" style="12" customWidth="1"/>
    <col min="7" max="7" width="11.77734375" style="12" customWidth="1"/>
    <col min="8" max="8" width="19" style="12" customWidth="1"/>
    <col min="9" max="9" width="7.44140625" style="12" customWidth="1"/>
    <col min="10" max="10" width="20.109375" style="12" customWidth="1"/>
    <col min="11" max="11" width="29.109375" style="12" customWidth="1"/>
    <col min="12" max="12" width="16.109375" style="12" bestFit="1" customWidth="1"/>
    <col min="13" max="13" width="9.44140625" style="12"/>
    <col min="14" max="14" width="13.5546875" style="12" bestFit="1" customWidth="1"/>
    <col min="15" max="15" width="9.77734375" style="12" bestFit="1" customWidth="1"/>
    <col min="16" max="16" width="9.44140625" style="12"/>
    <col min="17" max="17" width="14.5546875" style="12" bestFit="1" customWidth="1"/>
    <col min="18" max="16384" width="9.44140625" style="12"/>
  </cols>
  <sheetData>
    <row r="1" spans="1:12" s="16" customFormat="1" ht="21">
      <c r="A1" s="361" t="s">
        <v>924</v>
      </c>
      <c r="B1" s="83"/>
      <c r="L1" s="122"/>
    </row>
    <row r="2" spans="1:12" ht="15">
      <c r="C2" s="19"/>
      <c r="D2" s="19"/>
      <c r="E2" s="19"/>
      <c r="F2" s="19"/>
      <c r="G2" s="19"/>
      <c r="H2" s="19"/>
      <c r="I2" s="19"/>
    </row>
    <row r="3" spans="1:12" ht="15">
      <c r="A3" s="19"/>
      <c r="C3" s="19"/>
      <c r="D3" s="19"/>
      <c r="E3" s="19"/>
      <c r="F3" s="19"/>
      <c r="G3" s="19"/>
      <c r="H3" s="19"/>
      <c r="I3" s="19"/>
      <c r="J3" s="19"/>
      <c r="K3" s="19"/>
    </row>
    <row r="5" spans="1:12" ht="15">
      <c r="A5" s="19"/>
      <c r="B5" s="19"/>
      <c r="C5" s="19"/>
      <c r="D5" s="19"/>
      <c r="F5" s="19"/>
      <c r="G5" s="19"/>
      <c r="H5" s="19"/>
      <c r="I5" s="19"/>
      <c r="J5" s="19"/>
      <c r="K5" s="19"/>
    </row>
    <row r="6" spans="1:12" ht="15.6">
      <c r="A6" s="160" t="s">
        <v>199</v>
      </c>
      <c r="B6" s="160"/>
      <c r="C6" s="160"/>
      <c r="D6" s="160"/>
      <c r="E6" s="160"/>
      <c r="F6" s="160"/>
      <c r="G6" s="160"/>
      <c r="H6" s="160"/>
      <c r="I6" s="160"/>
      <c r="J6" s="160"/>
      <c r="K6" s="160"/>
      <c r="L6" s="160"/>
    </row>
    <row r="7" spans="1:12" ht="15.6">
      <c r="A7" s="160" t="s">
        <v>103</v>
      </c>
      <c r="B7" s="160"/>
      <c r="C7" s="160"/>
      <c r="D7" s="160"/>
      <c r="E7" s="160"/>
      <c r="F7" s="160"/>
      <c r="G7" s="160"/>
      <c r="H7" s="160"/>
      <c r="I7" s="160"/>
      <c r="J7" s="160"/>
      <c r="K7" s="160"/>
      <c r="L7" s="160"/>
    </row>
    <row r="8" spans="1:12" ht="15.6">
      <c r="A8" s="1981" t="str">
        <f>SUMMARY!A7</f>
        <v>YEAR ENDING DECEMBER 31, 2021</v>
      </c>
      <c r="B8" s="1981"/>
      <c r="C8" s="1981"/>
      <c r="D8" s="1981"/>
      <c r="E8" s="1981"/>
      <c r="F8" s="1981"/>
      <c r="G8" s="1981"/>
      <c r="H8" s="1981"/>
      <c r="I8" s="1981"/>
      <c r="J8" s="1981"/>
      <c r="K8" s="1981"/>
      <c r="L8" s="1981"/>
    </row>
    <row r="9" spans="1:12">
      <c r="A9" s="161"/>
      <c r="B9" s="161"/>
      <c r="C9" s="161"/>
      <c r="D9" s="161"/>
      <c r="E9" s="161"/>
      <c r="F9" s="161"/>
      <c r="G9" s="161"/>
      <c r="H9" s="161"/>
      <c r="I9" s="161"/>
      <c r="J9" s="161"/>
      <c r="K9" s="161"/>
      <c r="L9" s="161"/>
    </row>
    <row r="10" spans="1:12" ht="15.6">
      <c r="A10" s="162" t="s">
        <v>1109</v>
      </c>
      <c r="B10" s="162"/>
      <c r="C10" s="162"/>
      <c r="D10" s="162"/>
      <c r="E10" s="162"/>
      <c r="F10" s="162"/>
      <c r="G10" s="162"/>
      <c r="H10" s="162"/>
      <c r="I10" s="162"/>
      <c r="J10" s="162"/>
      <c r="K10" s="162"/>
      <c r="L10" s="162"/>
    </row>
    <row r="11" spans="1:12" ht="15.6">
      <c r="A11" s="160" t="s">
        <v>1108</v>
      </c>
      <c r="B11" s="160"/>
      <c r="C11" s="160"/>
      <c r="D11" s="160"/>
      <c r="E11" s="160"/>
      <c r="F11" s="160"/>
      <c r="G11" s="160"/>
      <c r="H11" s="160"/>
      <c r="I11" s="160"/>
      <c r="J11" s="160"/>
      <c r="K11" s="160"/>
      <c r="L11" s="160"/>
    </row>
    <row r="12" spans="1:12" s="25" customFormat="1" ht="13.2"/>
    <row r="13" spans="1:12" s="25" customFormat="1" ht="13.2"/>
    <row r="14" spans="1:12" s="25" customFormat="1" ht="15.6">
      <c r="A14" s="20"/>
      <c r="B14" s="20"/>
      <c r="C14" s="20"/>
      <c r="D14" s="20"/>
      <c r="E14" s="20"/>
      <c r="F14" s="20"/>
      <c r="G14" s="20"/>
      <c r="H14" s="817"/>
      <c r="I14" s="20"/>
      <c r="J14" s="20"/>
      <c r="K14" s="20"/>
      <c r="L14" s="509"/>
    </row>
    <row r="15" spans="1:12" s="25" customFormat="1" ht="15.6">
      <c r="A15" s="817" t="s">
        <v>58</v>
      </c>
      <c r="B15" s="20"/>
      <c r="C15" s="20"/>
      <c r="D15" s="817" t="s">
        <v>811</v>
      </c>
      <c r="E15" s="20"/>
      <c r="F15" s="20"/>
      <c r="G15" s="20"/>
      <c r="H15" s="817" t="s">
        <v>26</v>
      </c>
      <c r="I15" s="20"/>
      <c r="J15" s="817" t="s">
        <v>1106</v>
      </c>
      <c r="K15" s="509"/>
      <c r="L15" s="509"/>
    </row>
    <row r="16" spans="1:12" s="25" customFormat="1" ht="31.2">
      <c r="A16" s="471" t="s">
        <v>59</v>
      </c>
      <c r="B16" s="471" t="s">
        <v>60</v>
      </c>
      <c r="C16" s="20"/>
      <c r="D16" s="558" t="s">
        <v>1067</v>
      </c>
      <c r="E16" s="20"/>
      <c r="F16" s="471" t="s">
        <v>61</v>
      </c>
      <c r="G16" s="20"/>
      <c r="H16" s="471" t="s">
        <v>27</v>
      </c>
      <c r="I16" s="20"/>
      <c r="J16" s="558" t="s">
        <v>1107</v>
      </c>
      <c r="K16" s="509"/>
      <c r="L16" s="558" t="s">
        <v>1764</v>
      </c>
    </row>
    <row r="17" spans="1:17" s="25" customFormat="1" ht="15.6">
      <c r="A17" s="20"/>
      <c r="B17" s="20"/>
      <c r="C17" s="20"/>
      <c r="D17" s="817" t="s">
        <v>6</v>
      </c>
      <c r="E17" s="20"/>
      <c r="F17" s="817" t="s">
        <v>7</v>
      </c>
      <c r="G17" s="20"/>
      <c r="H17" s="817" t="s">
        <v>8</v>
      </c>
      <c r="I17" s="20"/>
      <c r="J17" s="817" t="s">
        <v>9</v>
      </c>
      <c r="K17" s="509"/>
      <c r="L17" s="473" t="s">
        <v>196</v>
      </c>
    </row>
    <row r="18" spans="1:17" s="25" customFormat="1" ht="13.2"/>
    <row r="19" spans="1:17" s="25" customFormat="1" ht="15.6">
      <c r="A19" s="817">
        <v>1</v>
      </c>
      <c r="B19" s="19" t="s">
        <v>53</v>
      </c>
      <c r="C19" s="19"/>
      <c r="D19" s="718">
        <f>'WP-EA'!F38</f>
        <v>83753544</v>
      </c>
      <c r="E19" s="705"/>
      <c r="F19" s="748">
        <f>D19/D23</f>
        <v>0.64930000513681163</v>
      </c>
      <c r="G19" s="705"/>
      <c r="H19" s="707"/>
      <c r="I19" s="19"/>
      <c r="J19" s="19"/>
      <c r="L19" s="186" t="s">
        <v>1666</v>
      </c>
      <c r="N19" s="262"/>
      <c r="O19" s="1462"/>
      <c r="Q19" s="152"/>
    </row>
    <row r="20" spans="1:17" s="25" customFormat="1" ht="15.6">
      <c r="A20" s="817"/>
      <c r="B20" s="19"/>
      <c r="C20" s="19"/>
      <c r="D20" s="718"/>
      <c r="E20" s="705"/>
      <c r="F20" s="706"/>
      <c r="G20" s="705"/>
      <c r="H20" s="707"/>
      <c r="I20" s="19"/>
      <c r="J20" s="19"/>
      <c r="L20" s="1467"/>
      <c r="N20" s="262"/>
      <c r="O20" s="1462"/>
    </row>
    <row r="21" spans="1:17" s="25" customFormat="1" ht="15.6">
      <c r="A21" s="817">
        <f>A19+1</f>
        <v>2</v>
      </c>
      <c r="B21" s="19" t="s">
        <v>27</v>
      </c>
      <c r="C21" s="19"/>
      <c r="D21" s="1465">
        <f>'WP-EA'!F28</f>
        <v>45236974</v>
      </c>
      <c r="E21" s="708"/>
      <c r="F21" s="749">
        <f>D21/D23</f>
        <v>0.35069999486318831</v>
      </c>
      <c r="G21" s="705"/>
      <c r="H21" s="750">
        <f>F21</f>
        <v>0.35069999486318831</v>
      </c>
      <c r="I21" s="19"/>
      <c r="J21" s="19" t="s">
        <v>286</v>
      </c>
      <c r="L21" s="186" t="s">
        <v>1665</v>
      </c>
      <c r="N21" s="262"/>
      <c r="O21" s="1462"/>
    </row>
    <row r="22" spans="1:17" s="25" customFormat="1" ht="15.6">
      <c r="A22" s="817"/>
      <c r="B22" s="19"/>
      <c r="C22" s="19"/>
      <c r="D22" s="722"/>
      <c r="E22" s="705"/>
      <c r="F22" s="706"/>
      <c r="G22" s="705"/>
      <c r="H22" s="710"/>
      <c r="I22" s="19"/>
      <c r="J22" s="19"/>
      <c r="N22" s="262"/>
    </row>
    <row r="23" spans="1:17" s="25" customFormat="1" ht="15.6">
      <c r="A23" s="817">
        <f>A21+1</f>
        <v>3</v>
      </c>
      <c r="B23" s="13" t="s">
        <v>62</v>
      </c>
      <c r="C23" s="13"/>
      <c r="D23" s="1466">
        <f>'WP-EA'!F36</f>
        <v>128990518</v>
      </c>
      <c r="E23" s="705"/>
      <c r="F23" s="706">
        <v>0</v>
      </c>
      <c r="G23" s="705"/>
      <c r="H23" s="707"/>
      <c r="I23" s="19"/>
      <c r="J23" s="19"/>
      <c r="O23" s="1523"/>
      <c r="P23" s="528"/>
    </row>
    <row r="24" spans="1:17" s="58" customFormat="1" ht="15.6">
      <c r="A24" s="105"/>
      <c r="B24" s="104"/>
      <c r="C24" s="104"/>
      <c r="D24" s="711"/>
      <c r="E24" s="711"/>
      <c r="F24" s="711"/>
      <c r="G24" s="711"/>
      <c r="H24" s="712"/>
      <c r="I24" s="104"/>
      <c r="J24" s="104"/>
    </row>
    <row r="25" spans="1:17" s="58" customFormat="1" ht="15.6">
      <c r="A25" s="105"/>
      <c r="B25" s="140"/>
      <c r="C25" s="104"/>
      <c r="D25" s="107"/>
      <c r="E25" s="104"/>
      <c r="F25" s="110"/>
      <c r="G25" s="104"/>
      <c r="H25" s="120"/>
      <c r="I25" s="104"/>
      <c r="J25" s="104"/>
    </row>
    <row r="26" spans="1:17" s="58" customFormat="1" ht="15.6">
      <c r="A26" s="105"/>
    </row>
    <row r="27" spans="1:17" s="58" customFormat="1" ht="13.8"/>
    <row r="28" spans="1:17" s="58" customFormat="1" ht="13.8"/>
  </sheetData>
  <customSheetViews>
    <customSheetView guid="{B321D76C-CDE5-48BB-9CDE-80FF97D58FCF}" colorId="22" showPageBreaks="1" showGridLines="0" fitToPage="1" printArea="1" view="pageBreakPreview" topLeftCell="A25">
      <selection activeCell="D33" sqref="D33"/>
      <rowBreaks count="1" manualBreakCount="1">
        <brk id="33" max="16383" man="1"/>
      </rowBreaks>
      <colBreaks count="1" manualBreakCount="1">
        <brk id="18" max="1048575" man="1"/>
      </colBreaks>
      <pageMargins left="0.5" right="0.5" top="0.25" bottom="0.25" header="0.75" footer="0.75"/>
      <printOptions horizontalCentered="1"/>
      <pageSetup scale="65" orientation="landscape" r:id="rId1"/>
      <headerFooter alignWithMargins="0"/>
    </customSheetView>
  </customSheetViews>
  <mergeCells count="1">
    <mergeCell ref="A8:L8"/>
  </mergeCells>
  <phoneticPr fontId="0" type="noConversion"/>
  <printOptions horizontalCentered="1"/>
  <pageMargins left="0.5" right="0.5" top="0.25" bottom="0.25" header="0.75" footer="0.75"/>
  <pageSetup scale="65" orientation="landscape" r:id="rId2"/>
  <headerFooter alignWithMargins="0"/>
  <rowBreaks count="1" manualBreakCount="1">
    <brk id="33" max="16383" man="1"/>
  </rowBreaks>
  <colBreaks count="1" manualBreakCount="1">
    <brk id="18"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8"/>
    <pageSetUpPr fitToPage="1"/>
  </sheetPr>
  <dimension ref="A1:X92"/>
  <sheetViews>
    <sheetView zoomScale="80" zoomScaleNormal="80" zoomScaleSheetLayoutView="58" workbookViewId="0">
      <selection activeCell="F10" sqref="F10"/>
    </sheetView>
  </sheetViews>
  <sheetFormatPr defaultColWidth="10" defaultRowHeight="13.2"/>
  <cols>
    <col min="1" max="1" width="6.77734375" style="870" customWidth="1"/>
    <col min="2" max="2" width="1.44140625" style="870" customWidth="1"/>
    <col min="3" max="3" width="34.33203125" style="870" customWidth="1"/>
    <col min="4" max="4" width="8.77734375" style="870" customWidth="1"/>
    <col min="5" max="6" width="23.44140625" style="870" customWidth="1"/>
    <col min="7" max="7" width="19.44140625" style="870" customWidth="1"/>
    <col min="8" max="8" width="15" style="870" customWidth="1"/>
    <col min="9" max="9" width="15.44140625" style="870" customWidth="1"/>
    <col min="10" max="10" width="14.44140625" style="870" customWidth="1"/>
    <col min="11" max="11" width="29.109375" style="870" customWidth="1"/>
    <col min="12" max="12" width="21.109375" style="870" customWidth="1"/>
    <col min="13" max="13" width="13.44140625" style="870" customWidth="1"/>
    <col min="14" max="14" width="10.77734375" style="870" customWidth="1"/>
    <col min="15" max="15" width="16.21875" style="870" customWidth="1"/>
    <col min="16" max="17" width="14.33203125" style="870" customWidth="1"/>
    <col min="18" max="18" width="14.77734375" style="870" customWidth="1"/>
    <col min="19" max="19" width="13.44140625" style="870" customWidth="1"/>
    <col min="20" max="20" width="16" style="870" customWidth="1"/>
    <col min="21" max="21" width="13.44140625" style="870" customWidth="1"/>
    <col min="22" max="22" width="12.77734375" style="870" customWidth="1"/>
    <col min="23" max="23" width="11.44140625" style="870" customWidth="1"/>
    <col min="24" max="24" width="12.44140625" style="870" customWidth="1"/>
    <col min="25" max="16384" width="10" style="870"/>
  </cols>
  <sheetData>
    <row r="1" spans="1:22" ht="15.6">
      <c r="A1" s="13" t="s">
        <v>926</v>
      </c>
      <c r="R1" s="871"/>
    </row>
    <row r="2" spans="1:22" ht="15">
      <c r="R2" s="871"/>
      <c r="S2" s="872" t="s">
        <v>601</v>
      </c>
    </row>
    <row r="3" spans="1:22" ht="15.6">
      <c r="D3" s="873"/>
      <c r="E3" s="873"/>
      <c r="F3" s="873"/>
      <c r="G3" s="873"/>
      <c r="H3" s="873"/>
      <c r="I3" s="873"/>
      <c r="J3" s="873"/>
      <c r="K3" s="873"/>
      <c r="L3" s="873"/>
    </row>
    <row r="4" spans="1:22" ht="15.6">
      <c r="A4" s="1998" t="s">
        <v>884</v>
      </c>
      <c r="B4" s="1998"/>
      <c r="C4" s="1998"/>
      <c r="D4" s="1998"/>
      <c r="E4" s="1998"/>
      <c r="F4" s="1998"/>
      <c r="G4" s="1998"/>
      <c r="H4" s="1998"/>
      <c r="I4" s="1998"/>
      <c r="J4" s="1998"/>
      <c r="K4" s="1998"/>
      <c r="L4" s="1998"/>
      <c r="M4" s="1998"/>
      <c r="N4" s="1998"/>
      <c r="O4" s="1998"/>
      <c r="P4" s="1998"/>
      <c r="Q4" s="1998"/>
      <c r="R4" s="1998"/>
      <c r="S4" s="1998"/>
    </row>
    <row r="5" spans="1:22" ht="15.6">
      <c r="A5" s="1998" t="s">
        <v>467</v>
      </c>
      <c r="B5" s="1998"/>
      <c r="C5" s="1998"/>
      <c r="D5" s="1998"/>
      <c r="E5" s="1998"/>
      <c r="F5" s="1998"/>
      <c r="G5" s="1998"/>
      <c r="H5" s="1998"/>
      <c r="I5" s="1998"/>
      <c r="J5" s="1998"/>
      <c r="K5" s="1998"/>
      <c r="L5" s="1998"/>
      <c r="M5" s="1998"/>
      <c r="N5" s="1998"/>
      <c r="O5" s="1998"/>
      <c r="P5" s="1998"/>
      <c r="Q5" s="1998"/>
      <c r="R5" s="1998"/>
      <c r="S5" s="1998"/>
      <c r="T5" s="874"/>
      <c r="U5" s="874"/>
      <c r="V5" s="875"/>
    </row>
    <row r="6" spans="1:22" ht="15.6">
      <c r="A6" s="1999" t="str">
        <f>+SUMMARY!A5</f>
        <v>NEW YORK POWER AUTHORITY</v>
      </c>
      <c r="B6" s="1999"/>
      <c r="C6" s="1999"/>
      <c r="D6" s="1999"/>
      <c r="E6" s="1999"/>
      <c r="F6" s="1999"/>
      <c r="G6" s="1999"/>
      <c r="H6" s="1999"/>
      <c r="I6" s="1999"/>
      <c r="J6" s="1999"/>
      <c r="K6" s="1999"/>
      <c r="L6" s="1999"/>
      <c r="M6" s="1999"/>
      <c r="N6" s="1999"/>
      <c r="O6" s="1999"/>
      <c r="P6" s="1999"/>
      <c r="Q6" s="1999"/>
      <c r="R6" s="1999"/>
      <c r="S6" s="1999"/>
      <c r="T6" s="876"/>
      <c r="U6" s="874"/>
      <c r="V6" s="875"/>
    </row>
    <row r="7" spans="1:22" ht="17.25" customHeight="1">
      <c r="A7" s="2000" t="str">
        <f>SUMMARY!A7</f>
        <v>YEAR ENDING DECEMBER 31, 2021</v>
      </c>
      <c r="B7" s="2000"/>
      <c r="C7" s="2000"/>
      <c r="D7" s="2000"/>
      <c r="E7" s="2000"/>
      <c r="F7" s="2000"/>
      <c r="G7" s="2000"/>
      <c r="H7" s="2000"/>
      <c r="I7" s="2000"/>
      <c r="J7" s="2000"/>
      <c r="K7" s="2000"/>
      <c r="L7" s="2000"/>
      <c r="M7" s="2000"/>
      <c r="N7" s="2000"/>
      <c r="O7" s="2000"/>
      <c r="P7" s="2000"/>
      <c r="Q7" s="2000"/>
      <c r="R7" s="2000"/>
      <c r="S7" s="2000"/>
      <c r="T7" s="874"/>
      <c r="U7" s="874"/>
      <c r="V7" s="875"/>
    </row>
    <row r="8" spans="1:22" ht="15.6">
      <c r="A8" s="877"/>
      <c r="C8" s="875"/>
      <c r="D8" s="878"/>
      <c r="E8" s="878"/>
      <c r="F8" s="878"/>
      <c r="G8" s="873"/>
      <c r="H8" s="878"/>
      <c r="I8" s="878"/>
      <c r="J8" s="878"/>
      <c r="K8" s="878"/>
      <c r="L8" s="878"/>
      <c r="M8" s="875"/>
      <c r="N8" s="875"/>
      <c r="O8" s="875"/>
      <c r="P8" s="875"/>
      <c r="Q8" s="875"/>
      <c r="R8" s="875"/>
      <c r="S8" s="875"/>
      <c r="T8" s="874"/>
      <c r="U8" s="874"/>
      <c r="V8" s="875"/>
    </row>
    <row r="9" spans="1:22">
      <c r="A9" s="877"/>
      <c r="C9" s="875"/>
      <c r="D9" s="875"/>
      <c r="E9" s="875"/>
      <c r="F9" s="875"/>
      <c r="G9" s="879"/>
      <c r="H9" s="875"/>
      <c r="I9" s="875"/>
      <c r="J9" s="875"/>
      <c r="K9" s="875"/>
      <c r="L9" s="875"/>
      <c r="M9" s="875"/>
      <c r="N9" s="875"/>
      <c r="O9" s="875"/>
      <c r="P9" s="875"/>
      <c r="Q9" s="875"/>
      <c r="R9" s="875"/>
      <c r="S9" s="875"/>
      <c r="T9" s="874"/>
      <c r="U9" s="874"/>
      <c r="V9" s="875"/>
    </row>
    <row r="10" spans="1:22" ht="15.6">
      <c r="A10" s="880"/>
      <c r="B10" s="881"/>
      <c r="C10" s="882"/>
      <c r="D10" s="882"/>
      <c r="E10" s="882"/>
      <c r="F10" s="882"/>
      <c r="G10" s="882"/>
      <c r="H10" s="882"/>
      <c r="I10" s="882"/>
      <c r="J10" s="883"/>
      <c r="K10" s="883"/>
      <c r="L10" s="882"/>
      <c r="M10" s="882"/>
      <c r="N10" s="882"/>
      <c r="O10" s="882"/>
      <c r="P10" s="882"/>
      <c r="Q10" s="882"/>
      <c r="R10" s="875"/>
      <c r="S10" s="875"/>
      <c r="T10" s="874"/>
      <c r="U10" s="874"/>
      <c r="V10" s="875"/>
    </row>
    <row r="11" spans="1:22" s="888" customFormat="1" ht="15">
      <c r="A11" s="884"/>
      <c r="B11" s="872"/>
      <c r="C11" s="885"/>
      <c r="D11" s="885"/>
      <c r="E11" s="885"/>
      <c r="F11" s="885"/>
      <c r="G11" s="885"/>
      <c r="H11" s="885"/>
      <c r="I11" s="885"/>
      <c r="J11" s="886"/>
      <c r="K11" s="886"/>
      <c r="L11" s="872"/>
      <c r="M11" s="885"/>
      <c r="N11" s="885"/>
      <c r="O11" s="885"/>
      <c r="P11" s="885"/>
      <c r="Q11" s="885"/>
      <c r="R11" s="887"/>
      <c r="S11" s="887"/>
      <c r="T11" s="887"/>
      <c r="U11" s="887"/>
      <c r="V11" s="887"/>
    </row>
    <row r="12" spans="1:22" s="888" customFormat="1" ht="15">
      <c r="A12" s="884"/>
      <c r="B12" s="872"/>
      <c r="C12" s="885"/>
      <c r="D12" s="885"/>
      <c r="E12" s="885"/>
      <c r="F12" s="885"/>
      <c r="G12" s="885"/>
      <c r="H12" s="885"/>
      <c r="I12" s="885"/>
      <c r="J12" s="885"/>
      <c r="K12" s="885"/>
      <c r="L12" s="872"/>
      <c r="M12" s="889"/>
      <c r="N12" s="889"/>
      <c r="O12" s="889"/>
      <c r="P12" s="885"/>
      <c r="Q12" s="885"/>
      <c r="R12" s="887"/>
      <c r="S12" s="887"/>
      <c r="T12" s="887"/>
      <c r="U12" s="887"/>
      <c r="V12" s="887"/>
    </row>
    <row r="13" spans="1:22" s="888" customFormat="1" ht="15.6">
      <c r="A13" s="890" t="s">
        <v>468</v>
      </c>
      <c r="B13" s="872"/>
      <c r="C13" s="860"/>
      <c r="D13" s="860"/>
      <c r="E13" s="860"/>
      <c r="F13" s="860"/>
      <c r="G13" s="890"/>
      <c r="H13" s="872"/>
      <c r="I13" s="890"/>
      <c r="J13" s="891"/>
      <c r="K13" s="891"/>
      <c r="L13" s="872"/>
      <c r="M13" s="872"/>
      <c r="N13" s="872"/>
      <c r="O13" s="872"/>
      <c r="P13" s="891"/>
      <c r="Q13" s="891"/>
      <c r="S13" s="892"/>
      <c r="T13" s="893"/>
      <c r="U13" s="893"/>
      <c r="V13" s="894"/>
    </row>
    <row r="14" spans="1:22" s="888" customFormat="1" ht="15.6">
      <c r="A14" s="895" t="s">
        <v>59</v>
      </c>
      <c r="B14" s="896"/>
      <c r="C14" s="895" t="s">
        <v>229</v>
      </c>
      <c r="D14" s="897"/>
      <c r="E14" s="897"/>
      <c r="F14" s="897"/>
      <c r="G14" s="895" t="s">
        <v>469</v>
      </c>
      <c r="H14" s="896"/>
      <c r="I14" s="895"/>
      <c r="K14" s="898" t="s">
        <v>340</v>
      </c>
      <c r="L14" s="898"/>
      <c r="M14" s="898" t="s">
        <v>440</v>
      </c>
      <c r="N14" s="899"/>
      <c r="O14" s="899"/>
      <c r="P14" s="891"/>
      <c r="Q14" s="891"/>
      <c r="S14" s="887"/>
      <c r="T14" s="900"/>
      <c r="U14" s="893"/>
      <c r="V14" s="894"/>
    </row>
    <row r="15" spans="1:22" s="888" customFormat="1" ht="15">
      <c r="A15" s="872"/>
      <c r="B15" s="872"/>
      <c r="D15" s="884"/>
      <c r="E15" s="884"/>
      <c r="F15" s="884"/>
      <c r="G15" s="884" t="s">
        <v>192</v>
      </c>
      <c r="H15" s="872"/>
      <c r="I15" s="884"/>
      <c r="K15" s="901" t="s">
        <v>193</v>
      </c>
      <c r="L15" s="884"/>
      <c r="M15" s="901" t="s">
        <v>194</v>
      </c>
      <c r="N15" s="901"/>
      <c r="O15" s="901"/>
      <c r="P15" s="891"/>
      <c r="Q15" s="891"/>
      <c r="R15" s="902"/>
      <c r="S15" s="892"/>
      <c r="T15" s="902"/>
      <c r="U15" s="892"/>
      <c r="V15" s="894"/>
    </row>
    <row r="16" spans="1:22" s="888" customFormat="1" ht="15.6">
      <c r="B16" s="872"/>
      <c r="C16" s="903"/>
      <c r="D16" s="903"/>
      <c r="E16" s="903"/>
      <c r="F16" s="903"/>
      <c r="G16" s="891"/>
      <c r="H16" s="872"/>
      <c r="I16" s="891"/>
      <c r="K16" s="891"/>
      <c r="L16" s="891"/>
      <c r="M16" s="891"/>
      <c r="N16" s="891"/>
      <c r="O16" s="891"/>
      <c r="P16" s="891"/>
      <c r="Q16" s="891"/>
      <c r="R16" s="892"/>
      <c r="S16" s="887"/>
      <c r="T16" s="892"/>
      <c r="U16" s="892"/>
      <c r="V16" s="894"/>
    </row>
    <row r="17" spans="1:22" s="888" customFormat="1" ht="15.6">
      <c r="A17" s="898"/>
      <c r="B17" s="872"/>
      <c r="C17" s="860"/>
      <c r="D17" s="860"/>
      <c r="E17" s="860"/>
      <c r="F17" s="860"/>
      <c r="G17" s="891"/>
      <c r="H17" s="872"/>
      <c r="I17" s="891"/>
      <c r="K17" s="891"/>
      <c r="L17" s="891"/>
      <c r="M17" s="891"/>
      <c r="N17" s="891"/>
      <c r="O17" s="891"/>
      <c r="P17" s="891"/>
      <c r="Q17" s="891"/>
      <c r="R17" s="892"/>
      <c r="S17" s="887"/>
      <c r="T17" s="892"/>
      <c r="U17" s="892"/>
      <c r="V17" s="894"/>
    </row>
    <row r="18" spans="1:22" s="888" customFormat="1" ht="15">
      <c r="A18" s="904">
        <v>1</v>
      </c>
      <c r="B18" s="872"/>
      <c r="C18" s="860" t="s">
        <v>470</v>
      </c>
      <c r="D18" s="860"/>
      <c r="E18" s="860"/>
      <c r="F18" s="860"/>
      <c r="G18" s="905" t="s">
        <v>1065</v>
      </c>
      <c r="H18" s="872"/>
      <c r="I18" s="904"/>
      <c r="K18" s="906">
        <f>+'B2-Plant'!Q40</f>
        <v>2242771887.8199997</v>
      </c>
      <c r="L18" s="872"/>
      <c r="M18" s="872"/>
      <c r="N18" s="872"/>
      <c r="O18" s="872"/>
      <c r="P18" s="891"/>
      <c r="Q18" s="891"/>
      <c r="R18" s="892"/>
      <c r="S18" s="887"/>
      <c r="T18" s="892"/>
      <c r="U18" s="892"/>
      <c r="V18" s="894"/>
    </row>
    <row r="19" spans="1:22" s="888" customFormat="1" ht="15">
      <c r="A19" s="904" t="s">
        <v>471</v>
      </c>
      <c r="B19" s="872"/>
      <c r="C19" s="860" t="s">
        <v>472</v>
      </c>
      <c r="D19" s="860"/>
      <c r="E19" s="860"/>
      <c r="F19" s="860"/>
      <c r="G19" s="905" t="s">
        <v>928</v>
      </c>
      <c r="H19" s="872"/>
      <c r="I19" s="904"/>
      <c r="K19" s="907">
        <f>+'B2-Plant'!R40</f>
        <v>1233780451.0000002</v>
      </c>
      <c r="L19" s="872"/>
      <c r="M19" s="872"/>
      <c r="N19" s="872"/>
      <c r="O19" s="872"/>
      <c r="P19" s="891"/>
      <c r="Q19" s="891"/>
      <c r="R19" s="892"/>
      <c r="S19" s="887"/>
      <c r="T19" s="892"/>
      <c r="U19" s="892"/>
      <c r="V19" s="894"/>
    </row>
    <row r="20" spans="1:22" s="888" customFormat="1" ht="15">
      <c r="A20" s="904" t="s">
        <v>473</v>
      </c>
      <c r="B20" s="872"/>
      <c r="C20" s="860" t="s">
        <v>828</v>
      </c>
      <c r="D20" s="860"/>
      <c r="E20" s="860"/>
      <c r="F20" s="860"/>
      <c r="G20" s="905" t="s">
        <v>933</v>
      </c>
      <c r="H20" s="872"/>
      <c r="I20" s="904"/>
      <c r="K20" s="908">
        <f>'C1-Rate Base'!D28+'C1-Rate Base'!D29+'C1-Rate Base'!D27</f>
        <v>75657945</v>
      </c>
      <c r="L20" s="872"/>
      <c r="M20" s="872"/>
      <c r="N20" s="872"/>
      <c r="O20" s="872"/>
      <c r="P20" s="891"/>
      <c r="Q20" s="891"/>
      <c r="R20" s="892"/>
      <c r="S20" s="887"/>
      <c r="T20" s="892"/>
      <c r="U20" s="892"/>
      <c r="V20" s="894"/>
    </row>
    <row r="21" spans="1:22" s="888" customFormat="1" ht="15">
      <c r="A21" s="904">
        <v>2</v>
      </c>
      <c r="B21" s="872"/>
      <c r="C21" s="860" t="s">
        <v>474</v>
      </c>
      <c r="D21" s="860"/>
      <c r="E21" s="860"/>
      <c r="F21" s="860"/>
      <c r="G21" s="905" t="s">
        <v>475</v>
      </c>
      <c r="H21" s="872"/>
      <c r="I21" s="904"/>
      <c r="K21" s="907">
        <f>+K18-K19+K20</f>
        <v>1084649381.8199995</v>
      </c>
      <c r="L21" s="872"/>
      <c r="M21" s="872"/>
      <c r="N21" s="872"/>
      <c r="O21" s="872"/>
      <c r="P21" s="891"/>
      <c r="Q21" s="891"/>
      <c r="R21" s="892"/>
      <c r="S21" s="887"/>
      <c r="T21" s="892"/>
      <c r="U21" s="892"/>
      <c r="V21" s="894"/>
    </row>
    <row r="22" spans="1:22" s="888" customFormat="1" ht="15">
      <c r="A22" s="904"/>
      <c r="B22" s="872"/>
      <c r="C22" s="872"/>
      <c r="D22" s="872"/>
      <c r="E22" s="872"/>
      <c r="F22" s="872"/>
      <c r="G22" s="905"/>
      <c r="H22" s="872"/>
      <c r="I22" s="904"/>
      <c r="K22" s="872"/>
      <c r="L22" s="872"/>
      <c r="M22" s="909"/>
      <c r="N22" s="891"/>
      <c r="O22" s="891"/>
      <c r="P22" s="891"/>
      <c r="Q22" s="891"/>
      <c r="R22" s="892"/>
      <c r="S22" s="892"/>
      <c r="T22" s="892"/>
      <c r="U22" s="892"/>
      <c r="V22" s="894"/>
    </row>
    <row r="23" spans="1:22" s="888" customFormat="1" ht="15">
      <c r="A23" s="904"/>
      <c r="B23" s="872"/>
      <c r="C23" s="860" t="s">
        <v>476</v>
      </c>
      <c r="D23" s="860"/>
      <c r="E23" s="860"/>
      <c r="F23" s="860"/>
      <c r="G23" s="905"/>
      <c r="H23" s="872"/>
      <c r="I23" s="904"/>
      <c r="K23" s="891"/>
      <c r="L23" s="891"/>
      <c r="M23" s="909"/>
      <c r="N23" s="872"/>
      <c r="O23" s="872"/>
      <c r="P23" s="891"/>
      <c r="Q23" s="891"/>
      <c r="R23" s="892"/>
      <c r="S23" s="892"/>
      <c r="T23" s="892"/>
      <c r="U23" s="892"/>
      <c r="V23" s="894"/>
    </row>
    <row r="24" spans="1:22" s="888" customFormat="1" ht="15">
      <c r="A24" s="904">
        <v>3</v>
      </c>
      <c r="B24" s="872"/>
      <c r="C24" s="860" t="s">
        <v>477</v>
      </c>
      <c r="D24" s="860"/>
      <c r="E24" s="860"/>
      <c r="F24" s="860"/>
      <c r="G24" s="905" t="s">
        <v>929</v>
      </c>
      <c r="H24" s="872"/>
      <c r="I24" s="904"/>
      <c r="K24" s="907">
        <f>+'A1-O&amp;M'!J37+'A2-A&amp;G'!J40</f>
        <v>171017954.83025593</v>
      </c>
      <c r="L24" s="891"/>
      <c r="M24" s="909"/>
      <c r="N24" s="910"/>
      <c r="O24" s="910"/>
      <c r="P24" s="891"/>
      <c r="Q24" s="891"/>
      <c r="R24" s="911"/>
      <c r="S24" s="912"/>
      <c r="T24" s="913"/>
      <c r="U24" s="892"/>
      <c r="V24" s="894"/>
    </row>
    <row r="25" spans="1:22" s="888" customFormat="1" ht="15">
      <c r="A25" s="904"/>
      <c r="B25" s="872"/>
      <c r="C25" s="860"/>
      <c r="D25" s="860"/>
      <c r="E25" s="860"/>
      <c r="F25" s="860"/>
      <c r="G25" s="905"/>
      <c r="H25" s="872"/>
      <c r="I25" s="904"/>
      <c r="K25" s="914"/>
      <c r="L25" s="914"/>
      <c r="M25" s="909"/>
      <c r="N25" s="872"/>
      <c r="O25" s="872"/>
      <c r="P25" s="891"/>
      <c r="Q25" s="891"/>
      <c r="R25" s="900"/>
      <c r="S25" s="892"/>
      <c r="T25" s="915"/>
      <c r="U25" s="893"/>
      <c r="V25" s="894"/>
    </row>
    <row r="26" spans="1:22" s="888" customFormat="1" ht="15.6">
      <c r="A26" s="901"/>
      <c r="B26" s="872"/>
      <c r="C26" s="860" t="s">
        <v>572</v>
      </c>
      <c r="D26" s="860"/>
      <c r="E26" s="860"/>
      <c r="F26" s="860"/>
      <c r="G26" s="916"/>
      <c r="H26" s="872"/>
      <c r="I26" s="917"/>
      <c r="K26" s="914"/>
      <c r="L26" s="914"/>
      <c r="M26" s="909"/>
      <c r="N26" s="918"/>
      <c r="O26" s="918"/>
      <c r="P26" s="891"/>
      <c r="Q26" s="891"/>
      <c r="U26" s="892"/>
      <c r="V26" s="894"/>
    </row>
    <row r="27" spans="1:22" s="888" customFormat="1" ht="15">
      <c r="A27" s="901" t="s">
        <v>478</v>
      </c>
      <c r="B27" s="872"/>
      <c r="C27" s="860" t="s">
        <v>573</v>
      </c>
      <c r="D27" s="860"/>
      <c r="E27" s="860"/>
      <c r="F27" s="860"/>
      <c r="G27" s="905" t="s">
        <v>1066</v>
      </c>
      <c r="H27" s="872"/>
      <c r="I27" s="904"/>
      <c r="K27" s="907">
        <f>'B1-Depn'!N47</f>
        <v>14259345.849718938</v>
      </c>
      <c r="L27" s="914"/>
      <c r="M27" s="909"/>
      <c r="N27" s="891"/>
      <c r="O27" s="891"/>
      <c r="P27" s="891"/>
      <c r="Q27" s="891"/>
      <c r="R27" s="892"/>
      <c r="S27" s="892"/>
      <c r="T27" s="919"/>
      <c r="U27" s="892"/>
      <c r="V27" s="894"/>
    </row>
    <row r="28" spans="1:22" s="888" customFormat="1" ht="15">
      <c r="A28" s="901"/>
      <c r="B28" s="872"/>
      <c r="C28" s="860"/>
      <c r="D28" s="860"/>
      <c r="E28" s="860"/>
      <c r="F28" s="860"/>
      <c r="G28" s="905"/>
      <c r="H28" s="872"/>
      <c r="I28" s="904"/>
      <c r="K28" s="920"/>
      <c r="L28" s="914"/>
      <c r="M28" s="909"/>
      <c r="N28" s="891"/>
      <c r="O28" s="891"/>
      <c r="P28" s="891"/>
      <c r="Q28" s="891"/>
      <c r="R28" s="892"/>
      <c r="S28" s="892"/>
      <c r="T28" s="919"/>
      <c r="U28" s="892"/>
      <c r="V28" s="894"/>
    </row>
    <row r="29" spans="1:22" s="888" customFormat="1" ht="15.6">
      <c r="A29" s="901" t="s">
        <v>479</v>
      </c>
      <c r="B29" s="872"/>
      <c r="C29" s="903" t="s">
        <v>574</v>
      </c>
      <c r="D29" s="903"/>
      <c r="E29" s="860"/>
      <c r="F29" s="860"/>
      <c r="G29" s="905" t="s">
        <v>1164</v>
      </c>
      <c r="H29" s="872"/>
      <c r="I29" s="904"/>
      <c r="K29" s="921">
        <f>(K24+K27)/K18</f>
        <v>8.2610853866224687E-2</v>
      </c>
      <c r="L29" s="922"/>
      <c r="M29" s="923">
        <f>K29</f>
        <v>8.2610853866224687E-2</v>
      </c>
      <c r="N29" s="891"/>
      <c r="O29" s="891"/>
      <c r="P29" s="924"/>
      <c r="Q29" s="924"/>
      <c r="R29" s="925"/>
      <c r="U29" s="893"/>
      <c r="V29" s="892" t="s">
        <v>31</v>
      </c>
    </row>
    <row r="30" spans="1:22" s="888" customFormat="1" ht="18.75" customHeight="1">
      <c r="A30" s="901"/>
      <c r="B30" s="872"/>
      <c r="C30" s="860"/>
      <c r="D30" s="860"/>
      <c r="E30" s="860"/>
      <c r="F30" s="860"/>
      <c r="G30" s="905"/>
      <c r="H30" s="872"/>
      <c r="I30" s="904"/>
      <c r="K30" s="914"/>
      <c r="L30" s="914"/>
      <c r="M30" s="909"/>
      <c r="N30" s="891"/>
      <c r="O30" s="891"/>
      <c r="P30" s="891"/>
      <c r="Q30" s="891"/>
      <c r="R30" s="926"/>
      <c r="S30" s="892"/>
      <c r="T30" s="892"/>
      <c r="U30" s="892"/>
      <c r="V30" s="894"/>
    </row>
    <row r="31" spans="1:22" s="888" customFormat="1" ht="15">
      <c r="A31" s="901"/>
      <c r="B31" s="872"/>
      <c r="C31" s="860" t="s">
        <v>482</v>
      </c>
      <c r="D31" s="860"/>
      <c r="E31" s="860"/>
      <c r="F31" s="860"/>
      <c r="G31" s="927"/>
      <c r="H31" s="872"/>
      <c r="I31" s="928"/>
      <c r="K31" s="914"/>
      <c r="L31" s="914"/>
      <c r="M31" s="909"/>
      <c r="N31" s="872"/>
      <c r="O31" s="872"/>
      <c r="P31" s="929"/>
      <c r="Q31" s="929"/>
      <c r="R31" s="930"/>
      <c r="S31" s="892"/>
      <c r="T31" s="892"/>
      <c r="U31" s="892"/>
      <c r="V31" s="894"/>
    </row>
    <row r="32" spans="1:22" s="888" customFormat="1" ht="15">
      <c r="A32" s="901" t="s">
        <v>480</v>
      </c>
      <c r="B32" s="872"/>
      <c r="C32" s="860" t="s">
        <v>96</v>
      </c>
      <c r="D32" s="860"/>
      <c r="E32" s="860"/>
      <c r="F32" s="860"/>
      <c r="G32" s="905" t="s">
        <v>930</v>
      </c>
      <c r="H32" s="872"/>
      <c r="I32" s="904"/>
      <c r="K32" s="907">
        <f>'C1-Rate Base'!P31</f>
        <v>90070806.358178213</v>
      </c>
      <c r="L32" s="914"/>
      <c r="M32" s="909"/>
      <c r="N32" s="872"/>
      <c r="O32" s="872"/>
      <c r="P32" s="929"/>
      <c r="Q32" s="929"/>
      <c r="R32" s="930"/>
      <c r="S32" s="892"/>
      <c r="T32" s="892"/>
      <c r="U32" s="892"/>
      <c r="V32" s="894"/>
    </row>
    <row r="33" spans="1:24" s="888" customFormat="1" ht="15">
      <c r="A33" s="901"/>
      <c r="B33" s="872"/>
      <c r="C33" s="860"/>
      <c r="D33" s="860"/>
      <c r="E33" s="860"/>
      <c r="F33" s="860"/>
      <c r="G33" s="905"/>
      <c r="H33" s="872"/>
      <c r="I33" s="904"/>
      <c r="K33" s="914"/>
      <c r="L33" s="914"/>
      <c r="M33" s="909"/>
      <c r="N33" s="872"/>
      <c r="O33" s="872"/>
      <c r="P33" s="929"/>
      <c r="Q33" s="929"/>
      <c r="R33" s="930"/>
      <c r="S33" s="892"/>
      <c r="T33" s="892"/>
      <c r="U33" s="892"/>
      <c r="V33" s="894"/>
    </row>
    <row r="34" spans="1:24" s="888" customFormat="1" ht="15.6">
      <c r="A34" s="901" t="s">
        <v>481</v>
      </c>
      <c r="B34" s="931"/>
      <c r="C34" s="932" t="s">
        <v>483</v>
      </c>
      <c r="D34" s="891"/>
      <c r="E34" s="891"/>
      <c r="F34" s="891"/>
      <c r="G34" s="905" t="s">
        <v>1163</v>
      </c>
      <c r="H34" s="872"/>
      <c r="I34" s="904"/>
      <c r="K34" s="933">
        <f>IF(K21=0,0,K32/K21)</f>
        <v>8.3041402934322342E-2</v>
      </c>
      <c r="L34" s="922"/>
      <c r="M34" s="923">
        <f>K34</f>
        <v>8.3041402934322342E-2</v>
      </c>
      <c r="N34" s="872"/>
      <c r="O34" s="872"/>
      <c r="P34" s="929"/>
      <c r="Q34" s="929"/>
      <c r="R34" s="930"/>
      <c r="S34" s="892"/>
      <c r="T34" s="892"/>
      <c r="U34" s="892"/>
      <c r="V34" s="894"/>
    </row>
    <row r="35" spans="1:24" s="888" customFormat="1" ht="15">
      <c r="A35" s="901"/>
      <c r="B35" s="872"/>
      <c r="C35" s="860"/>
      <c r="D35" s="860"/>
      <c r="E35" s="860"/>
      <c r="F35" s="860"/>
      <c r="G35" s="905"/>
      <c r="H35" s="872"/>
      <c r="I35" s="904"/>
      <c r="K35" s="914"/>
      <c r="L35" s="914"/>
      <c r="M35" s="909"/>
      <c r="N35" s="872"/>
      <c r="O35" s="872"/>
      <c r="P35" s="929"/>
      <c r="Q35" s="929"/>
      <c r="R35" s="930"/>
      <c r="S35" s="892"/>
      <c r="T35" s="892"/>
      <c r="U35" s="892"/>
      <c r="V35" s="894"/>
    </row>
    <row r="36" spans="1:24" s="888" customFormat="1" ht="15">
      <c r="D36" s="872"/>
      <c r="E36" s="872"/>
      <c r="F36" s="872"/>
      <c r="G36" s="872"/>
      <c r="H36" s="872"/>
      <c r="I36" s="872"/>
      <c r="J36" s="872"/>
      <c r="K36" s="872"/>
      <c r="L36" s="872"/>
      <c r="M36" s="872"/>
      <c r="N36" s="872"/>
      <c r="O36" s="872"/>
      <c r="P36" s="872"/>
      <c r="Q36" s="872"/>
      <c r="R36" s="934"/>
      <c r="S36" s="872"/>
      <c r="T36" s="872"/>
      <c r="U36" s="872"/>
    </row>
    <row r="37" spans="1:24" s="935" customFormat="1" ht="21">
      <c r="A37" s="393" t="s">
        <v>927</v>
      </c>
      <c r="D37" s="936"/>
      <c r="E37" s="936"/>
      <c r="F37" s="936"/>
      <c r="G37" s="936"/>
      <c r="H37" s="936"/>
      <c r="I37" s="936"/>
      <c r="J37" s="936"/>
      <c r="K37" s="936"/>
      <c r="L37" s="936"/>
      <c r="M37" s="936"/>
      <c r="N37" s="936"/>
      <c r="O37" s="936"/>
      <c r="P37" s="936"/>
      <c r="Q37" s="936"/>
      <c r="R37" s="937"/>
      <c r="S37" s="936" t="s">
        <v>602</v>
      </c>
      <c r="U37" s="936"/>
    </row>
    <row r="38" spans="1:24" s="888" customFormat="1" ht="15.6">
      <c r="A38" s="1997" t="str">
        <f>A4</f>
        <v>Schedule F1</v>
      </c>
      <c r="B38" s="1997"/>
      <c r="C38" s="1997"/>
      <c r="D38" s="1997"/>
      <c r="E38" s="1997"/>
      <c r="F38" s="1997"/>
      <c r="G38" s="1997"/>
      <c r="H38" s="1997"/>
      <c r="I38" s="1997"/>
      <c r="J38" s="1997"/>
      <c r="K38" s="1997"/>
      <c r="L38" s="1997"/>
      <c r="M38" s="1997"/>
      <c r="N38" s="1997"/>
      <c r="O38" s="1997"/>
      <c r="P38" s="1997"/>
      <c r="Q38" s="1997"/>
      <c r="R38" s="1997"/>
      <c r="S38" s="1997"/>
      <c r="T38" s="872"/>
      <c r="U38" s="872"/>
    </row>
    <row r="39" spans="1:24" s="888" customFormat="1" ht="15.6">
      <c r="A39" s="1997" t="str">
        <f>A5</f>
        <v>Project Revenue Requirement Worksheet</v>
      </c>
      <c r="B39" s="1997"/>
      <c r="C39" s="1997"/>
      <c r="D39" s="1997"/>
      <c r="E39" s="1997"/>
      <c r="F39" s="1997"/>
      <c r="G39" s="1997"/>
      <c r="H39" s="1997"/>
      <c r="I39" s="1997"/>
      <c r="J39" s="1997"/>
      <c r="K39" s="1997"/>
      <c r="L39" s="1997"/>
      <c r="M39" s="1997"/>
      <c r="N39" s="1997"/>
      <c r="O39" s="1997"/>
      <c r="P39" s="1997"/>
      <c r="Q39" s="1997"/>
      <c r="R39" s="1997"/>
      <c r="S39" s="1997"/>
      <c r="T39" s="885"/>
      <c r="U39" s="891"/>
      <c r="V39" s="894"/>
    </row>
    <row r="40" spans="1:24" s="888" customFormat="1" ht="15.6">
      <c r="A40" s="1998" t="str">
        <f>A6</f>
        <v>NEW YORK POWER AUTHORITY</v>
      </c>
      <c r="B40" s="1998"/>
      <c r="C40" s="1998"/>
      <c r="D40" s="1998"/>
      <c r="E40" s="1998"/>
      <c r="F40" s="1998"/>
      <c r="G40" s="1998"/>
      <c r="H40" s="1998"/>
      <c r="I40" s="1998"/>
      <c r="J40" s="1998"/>
      <c r="K40" s="1998"/>
      <c r="L40" s="1998"/>
      <c r="M40" s="1998"/>
      <c r="N40" s="1998"/>
      <c r="O40" s="1998"/>
      <c r="P40" s="1998"/>
      <c r="Q40" s="1998"/>
      <c r="R40" s="1998"/>
      <c r="S40" s="1998"/>
      <c r="T40" s="885"/>
      <c r="U40" s="891"/>
      <c r="V40" s="894"/>
    </row>
    <row r="41" spans="1:24" s="888" customFormat="1" ht="15">
      <c r="A41" s="893"/>
      <c r="C41" s="894"/>
      <c r="D41" s="860"/>
      <c r="E41" s="872"/>
      <c r="F41" s="872"/>
      <c r="G41" s="872"/>
      <c r="H41" s="872"/>
      <c r="I41" s="872"/>
      <c r="J41" s="872"/>
      <c r="K41" s="872"/>
      <c r="L41" s="872"/>
      <c r="M41" s="891"/>
      <c r="N41" s="891"/>
      <c r="O41" s="891"/>
      <c r="P41" s="891"/>
      <c r="Q41" s="891"/>
      <c r="R41" s="872"/>
      <c r="S41" s="891"/>
      <c r="T41" s="885"/>
      <c r="U41" s="891"/>
      <c r="V41" s="894"/>
    </row>
    <row r="42" spans="1:24" s="888" customFormat="1">
      <c r="A42" s="893"/>
      <c r="E42" s="938"/>
      <c r="F42" s="938"/>
      <c r="H42" s="887"/>
      <c r="I42" s="887"/>
      <c r="J42" s="887"/>
      <c r="K42" s="887"/>
      <c r="L42" s="887"/>
      <c r="M42" s="887"/>
      <c r="N42" s="887"/>
      <c r="O42" s="887"/>
      <c r="P42" s="892"/>
      <c r="Q42" s="892"/>
      <c r="R42" s="892"/>
      <c r="S42" s="892"/>
      <c r="T42" s="887"/>
      <c r="U42" s="892"/>
      <c r="V42" s="894"/>
    </row>
    <row r="43" spans="1:24" s="888" customFormat="1">
      <c r="A43" s="893"/>
      <c r="C43" s="939">
        <v>-1</v>
      </c>
      <c r="D43" s="939">
        <v>-2</v>
      </c>
      <c r="E43" s="939">
        <v>-3</v>
      </c>
      <c r="F43" s="939">
        <v>-4</v>
      </c>
      <c r="G43" s="939">
        <v>-5</v>
      </c>
      <c r="H43" s="939">
        <v>-6</v>
      </c>
      <c r="I43" s="939">
        <v>-7</v>
      </c>
      <c r="J43" s="939">
        <v>-8</v>
      </c>
      <c r="K43" s="939">
        <v>-9</v>
      </c>
      <c r="L43" s="939">
        <v>-10</v>
      </c>
      <c r="M43" s="939">
        <v>-11</v>
      </c>
      <c r="N43" s="939">
        <v>-12</v>
      </c>
      <c r="O43" s="939">
        <v>-13</v>
      </c>
      <c r="P43" s="940" t="s">
        <v>485</v>
      </c>
      <c r="Q43" s="940" t="s">
        <v>1714</v>
      </c>
      <c r="R43" s="940" t="s">
        <v>486</v>
      </c>
      <c r="S43" s="940" t="s">
        <v>487</v>
      </c>
      <c r="T43" s="940">
        <v>-17</v>
      </c>
      <c r="U43" s="940"/>
      <c r="V43" s="940"/>
      <c r="W43" s="940"/>
      <c r="X43" s="940"/>
    </row>
    <row r="44" spans="1:24" s="888" customFormat="1" ht="95.25" customHeight="1">
      <c r="A44" s="941" t="s">
        <v>1</v>
      </c>
      <c r="B44" s="942"/>
      <c r="C44" s="942" t="s">
        <v>488</v>
      </c>
      <c r="D44" s="943" t="s">
        <v>489</v>
      </c>
      <c r="E44" s="944" t="s">
        <v>800</v>
      </c>
      <c r="F44" s="943" t="s">
        <v>801</v>
      </c>
      <c r="G44" s="943" t="str">
        <f>+C29</f>
        <v>Annual Allocation Factor for Expenses</v>
      </c>
      <c r="H44" s="944" t="s">
        <v>802</v>
      </c>
      <c r="I44" s="945" t="s">
        <v>803</v>
      </c>
      <c r="J44" s="945" t="s">
        <v>484</v>
      </c>
      <c r="K44" s="946" t="s">
        <v>804</v>
      </c>
      <c r="L44" s="945" t="s">
        <v>805</v>
      </c>
      <c r="M44" s="947" t="s">
        <v>806</v>
      </c>
      <c r="N44" s="947" t="s">
        <v>490</v>
      </c>
      <c r="O44" s="948" t="s">
        <v>807</v>
      </c>
      <c r="P44" s="949" t="s">
        <v>1716</v>
      </c>
      <c r="Q44" s="949" t="str">
        <f>Index!D19</f>
        <v xml:space="preserve">PROJECT SPECIFIC CAPITAL STRUCTURE AND COST OF CAPITAL </v>
      </c>
      <c r="R44" s="947" t="s">
        <v>808</v>
      </c>
      <c r="S44" s="947" t="s">
        <v>809</v>
      </c>
      <c r="T44" s="947" t="s">
        <v>810</v>
      </c>
    </row>
    <row r="45" spans="1:24" s="888" customFormat="1" ht="58.5" customHeight="1">
      <c r="A45" s="950"/>
      <c r="B45" s="951"/>
      <c r="C45" s="952"/>
      <c r="D45" s="952"/>
      <c r="E45" s="953" t="s">
        <v>1148</v>
      </c>
      <c r="F45" s="953"/>
      <c r="G45" s="953" t="s">
        <v>1162</v>
      </c>
      <c r="H45" s="954" t="s">
        <v>491</v>
      </c>
      <c r="I45" s="953" t="s">
        <v>1149</v>
      </c>
      <c r="J45" s="953" t="s">
        <v>775</v>
      </c>
      <c r="K45" s="955" t="s">
        <v>776</v>
      </c>
      <c r="L45" s="953" t="s">
        <v>492</v>
      </c>
      <c r="M45" s="955" t="s">
        <v>575</v>
      </c>
      <c r="N45" s="953" t="s">
        <v>586</v>
      </c>
      <c r="O45" s="956" t="s">
        <v>931</v>
      </c>
      <c r="P45" s="957" t="s">
        <v>1656</v>
      </c>
      <c r="Q45" s="957" t="s">
        <v>1711</v>
      </c>
      <c r="R45" s="958" t="s">
        <v>1715</v>
      </c>
      <c r="S45" s="959" t="s">
        <v>493</v>
      </c>
      <c r="T45" s="958" t="s">
        <v>1660</v>
      </c>
    </row>
    <row r="46" spans="1:24" s="888" customFormat="1">
      <c r="A46" s="960"/>
      <c r="B46" s="961"/>
      <c r="C46" s="961"/>
      <c r="D46" s="961"/>
      <c r="E46" s="961"/>
      <c r="F46" s="962"/>
      <c r="G46" s="961"/>
      <c r="H46" s="962"/>
      <c r="I46" s="961"/>
      <c r="J46" s="961"/>
      <c r="K46" s="963"/>
      <c r="L46" s="961"/>
      <c r="M46" s="963"/>
      <c r="N46" s="963"/>
      <c r="O46" s="964"/>
      <c r="P46" s="965"/>
      <c r="Q46" s="965"/>
      <c r="R46" s="963"/>
      <c r="S46" s="966"/>
      <c r="T46" s="967"/>
    </row>
    <row r="47" spans="1:24" s="888" customFormat="1">
      <c r="A47" s="968" t="s">
        <v>471</v>
      </c>
      <c r="B47" s="969"/>
      <c r="C47" s="970" t="str">
        <f>+'F3-True-Up'!B20</f>
        <v>NTAC Facilities</v>
      </c>
      <c r="D47" s="1011">
        <v>0</v>
      </c>
      <c r="E47" s="1014">
        <f>+'B2-Plant'!Q40-SUM(E48:E65)</f>
        <v>2194451627.3199997</v>
      </c>
      <c r="F47" s="1013">
        <f>+'B2-Plant'!R40-SUM(F48:F65)</f>
        <v>1230582330.0000002</v>
      </c>
      <c r="G47" s="973">
        <f>+K29</f>
        <v>8.2610853866224687E-2</v>
      </c>
      <c r="H47" s="974">
        <f>+E47*G47</f>
        <v>181285522.70103145</v>
      </c>
      <c r="I47" s="1013">
        <f>'B2-Plant'!T40-SUM(I48:I65)+I49</f>
        <v>963869297.31999934</v>
      </c>
      <c r="J47" s="973">
        <f>+M34</f>
        <v>8.3041402934322342E-2</v>
      </c>
      <c r="K47" s="975">
        <f>I47*J47</f>
        <v>80041058.694772214</v>
      </c>
      <c r="L47" s="1012">
        <f>'B1-Depn'!H47-SUM(L48:L65)</f>
        <v>39234374.670000002</v>
      </c>
      <c r="M47" s="975">
        <f>+H47+K47+L47</f>
        <v>300560956.06580365</v>
      </c>
      <c r="N47" s="975">
        <v>0</v>
      </c>
      <c r="O47" s="976">
        <f>+'F2-Incentives'!K$25*'F1-Proj RR'!N47/100*'F1-Proj RR'!I47</f>
        <v>0</v>
      </c>
      <c r="P47" s="1017"/>
      <c r="Q47" s="1017"/>
      <c r="R47" s="975">
        <f>+M47+O47+P47+Q47</f>
        <v>300560956.06580365</v>
      </c>
      <c r="S47" s="1012">
        <f>'F3-True-Up'!J20</f>
        <v>63681846.560059994</v>
      </c>
      <c r="T47" s="975">
        <f>+R47+S47</f>
        <v>364242802.62586367</v>
      </c>
    </row>
    <row r="48" spans="1:24" s="888" customFormat="1">
      <c r="A48" s="968" t="s">
        <v>473</v>
      </c>
      <c r="B48" s="969"/>
      <c r="C48" s="1011" t="s">
        <v>1976</v>
      </c>
      <c r="D48" s="1011">
        <v>0</v>
      </c>
      <c r="E48" s="1012">
        <v>48320260.500000007</v>
      </c>
      <c r="F48" s="1012">
        <v>3198121</v>
      </c>
      <c r="G48" s="973">
        <f>+G47</f>
        <v>8.2610853866224687E-2</v>
      </c>
      <c r="H48" s="974">
        <f t="shared" ref="H48:H65" si="0">+E48*G48</f>
        <v>3991777.9789434099</v>
      </c>
      <c r="I48" s="1013">
        <v>45122139.5</v>
      </c>
      <c r="J48" s="973">
        <f>+J47</f>
        <v>8.3041402934322342E-2</v>
      </c>
      <c r="K48" s="975">
        <f t="shared" ref="K48:K65" si="1">I48*J48</f>
        <v>3747005.767478202</v>
      </c>
      <c r="L48" s="1012">
        <v>641755.22</v>
      </c>
      <c r="M48" s="975">
        <f t="shared" ref="M48:M65" si="2">+H48+K48+L48</f>
        <v>8380538.9664216116</v>
      </c>
      <c r="N48" s="1016">
        <v>0</v>
      </c>
      <c r="O48" s="976">
        <f>+'F2-Incentives'!K$25*'F1-Proj RR'!N48/100*'F1-Proj RR'!I48</f>
        <v>0</v>
      </c>
      <c r="P48" s="1017"/>
      <c r="Q48" s="1018">
        <f>'D2-Project Cap Structures'!H35</f>
        <v>73017.53806736134</v>
      </c>
      <c r="R48" s="975">
        <f t="shared" ref="R48:R65" si="3">+M48+O48+P48+Q48</f>
        <v>8453556.5044889729</v>
      </c>
      <c r="S48" s="1012">
        <f>'F3-True-Up'!J21</f>
        <v>-162250.76355041767</v>
      </c>
      <c r="T48" s="975">
        <f>+R48+S48</f>
        <v>8291305.7409385554</v>
      </c>
    </row>
    <row r="49" spans="1:20" s="888" customFormat="1">
      <c r="A49" s="968" t="s">
        <v>494</v>
      </c>
      <c r="B49" s="969"/>
      <c r="C49" s="1011" t="s">
        <v>2010</v>
      </c>
      <c r="D49" s="1011">
        <v>0</v>
      </c>
      <c r="E49" s="1012">
        <v>0</v>
      </c>
      <c r="F49" s="1013">
        <v>0</v>
      </c>
      <c r="G49" s="973">
        <f>+G48</f>
        <v>8.2610853866224687E-2</v>
      </c>
      <c r="H49" s="974">
        <f t="shared" si="0"/>
        <v>0</v>
      </c>
      <c r="I49" s="1013">
        <f>'C1-Rate Base'!D48</f>
        <v>75657945</v>
      </c>
      <c r="J49" s="973">
        <f>+J48</f>
        <v>8.3041402934322342E-2</v>
      </c>
      <c r="K49" s="975">
        <f t="shared" si="1"/>
        <v>6282741.895927798</v>
      </c>
      <c r="L49" s="1015">
        <v>0</v>
      </c>
      <c r="M49" s="975">
        <f t="shared" si="2"/>
        <v>6282741.895927798</v>
      </c>
      <c r="N49" s="1016">
        <v>0</v>
      </c>
      <c r="O49" s="976">
        <f>+'F2-Incentives'!K$25*'F1-Proj RR'!N49/100*'F1-Proj RR'!I49</f>
        <v>0</v>
      </c>
      <c r="P49" s="1017"/>
      <c r="Q49" s="1018">
        <f>'D2-Project Cap Structures'!H51</f>
        <v>189144.86250000075</v>
      </c>
      <c r="R49" s="975">
        <f t="shared" si="3"/>
        <v>6471886.7584277987</v>
      </c>
      <c r="S49" s="1012">
        <f>'F3-True-Up'!J22</f>
        <v>5818137.4428672837</v>
      </c>
      <c r="T49" s="975">
        <f>+R49+S49</f>
        <v>12290024.201295082</v>
      </c>
    </row>
    <row r="50" spans="1:20" s="888" customFormat="1">
      <c r="A50" s="968" t="s">
        <v>495</v>
      </c>
      <c r="B50" s="969"/>
      <c r="C50" s="1011">
        <v>0</v>
      </c>
      <c r="D50" s="1011">
        <v>0</v>
      </c>
      <c r="E50" s="1012">
        <v>0</v>
      </c>
      <c r="F50" s="1013">
        <v>0</v>
      </c>
      <c r="G50" s="973">
        <f t="shared" ref="G50:G65" si="4">+G49</f>
        <v>8.2610853866224687E-2</v>
      </c>
      <c r="H50" s="974">
        <f t="shared" si="0"/>
        <v>0</v>
      </c>
      <c r="I50" s="1013">
        <v>0</v>
      </c>
      <c r="J50" s="973">
        <f t="shared" ref="J50:J65" si="5">+J49</f>
        <v>8.3041402934322342E-2</v>
      </c>
      <c r="K50" s="975">
        <f t="shared" si="1"/>
        <v>0</v>
      </c>
      <c r="L50" s="1015">
        <v>0</v>
      </c>
      <c r="M50" s="975">
        <f t="shared" si="2"/>
        <v>0</v>
      </c>
      <c r="N50" s="1016">
        <v>0</v>
      </c>
      <c r="O50" s="976">
        <f>+'F2-Incentives'!K$25*'F1-Proj RR'!N50/100*'F1-Proj RR'!I50</f>
        <v>0</v>
      </c>
      <c r="P50" s="1017"/>
      <c r="Q50" s="1017"/>
      <c r="R50" s="975">
        <f t="shared" si="3"/>
        <v>0</v>
      </c>
      <c r="S50" s="1012">
        <v>0</v>
      </c>
      <c r="T50" s="975">
        <f>+R50+S50</f>
        <v>0</v>
      </c>
    </row>
    <row r="51" spans="1:20" s="888" customFormat="1">
      <c r="A51" s="968" t="s">
        <v>496</v>
      </c>
      <c r="B51" s="969"/>
      <c r="C51" s="1011">
        <v>0</v>
      </c>
      <c r="D51" s="1011">
        <v>0</v>
      </c>
      <c r="E51" s="1012">
        <v>0</v>
      </c>
      <c r="F51" s="1013">
        <v>0</v>
      </c>
      <c r="G51" s="973">
        <f t="shared" si="4"/>
        <v>8.2610853866224687E-2</v>
      </c>
      <c r="H51" s="974">
        <f t="shared" si="0"/>
        <v>0</v>
      </c>
      <c r="I51" s="1013">
        <v>0</v>
      </c>
      <c r="J51" s="973">
        <f t="shared" si="5"/>
        <v>8.3041402934322342E-2</v>
      </c>
      <c r="K51" s="975">
        <f t="shared" si="1"/>
        <v>0</v>
      </c>
      <c r="L51" s="1015">
        <v>0</v>
      </c>
      <c r="M51" s="975">
        <f t="shared" si="2"/>
        <v>0</v>
      </c>
      <c r="N51" s="1016">
        <v>0</v>
      </c>
      <c r="O51" s="976">
        <f>+'F2-Incentives'!K$25*'F1-Proj RR'!N51/100*'F1-Proj RR'!I51</f>
        <v>0</v>
      </c>
      <c r="P51" s="1017"/>
      <c r="Q51" s="1017"/>
      <c r="R51" s="975">
        <f t="shared" si="3"/>
        <v>0</v>
      </c>
      <c r="S51" s="1012">
        <v>0</v>
      </c>
      <c r="T51" s="975">
        <f>+R51+S51</f>
        <v>0</v>
      </c>
    </row>
    <row r="52" spans="1:20" s="888" customFormat="1">
      <c r="A52" s="968" t="s">
        <v>497</v>
      </c>
      <c r="B52" s="969"/>
      <c r="C52" s="1011">
        <v>0</v>
      </c>
      <c r="D52" s="1011">
        <v>0</v>
      </c>
      <c r="E52" s="1012">
        <v>0</v>
      </c>
      <c r="F52" s="1013">
        <v>0</v>
      </c>
      <c r="G52" s="973">
        <f t="shared" si="4"/>
        <v>8.2610853866224687E-2</v>
      </c>
      <c r="H52" s="974">
        <f t="shared" si="0"/>
        <v>0</v>
      </c>
      <c r="I52" s="1013">
        <v>0</v>
      </c>
      <c r="J52" s="973">
        <f t="shared" si="5"/>
        <v>8.3041402934322342E-2</v>
      </c>
      <c r="K52" s="975">
        <f t="shared" si="1"/>
        <v>0</v>
      </c>
      <c r="L52" s="1015">
        <v>0</v>
      </c>
      <c r="M52" s="975">
        <f t="shared" si="2"/>
        <v>0</v>
      </c>
      <c r="N52" s="1016">
        <v>0</v>
      </c>
      <c r="O52" s="976">
        <f>+'F2-Incentives'!K$25*'F1-Proj RR'!N52/100*'F1-Proj RR'!I52</f>
        <v>0</v>
      </c>
      <c r="P52" s="1017"/>
      <c r="Q52" s="1017"/>
      <c r="R52" s="975">
        <f t="shared" si="3"/>
        <v>0</v>
      </c>
      <c r="S52" s="1012">
        <v>0</v>
      </c>
      <c r="T52" s="975">
        <f t="shared" ref="T52:T66" si="6">M52+S52</f>
        <v>0</v>
      </c>
    </row>
    <row r="53" spans="1:20" s="888" customFormat="1">
      <c r="A53" s="968" t="s">
        <v>498</v>
      </c>
      <c r="B53" s="969"/>
      <c r="C53" s="1011">
        <v>0</v>
      </c>
      <c r="D53" s="1011">
        <v>0</v>
      </c>
      <c r="E53" s="1012">
        <v>0</v>
      </c>
      <c r="F53" s="1013">
        <v>0</v>
      </c>
      <c r="G53" s="973">
        <f t="shared" si="4"/>
        <v>8.2610853866224687E-2</v>
      </c>
      <c r="H53" s="974">
        <f t="shared" si="0"/>
        <v>0</v>
      </c>
      <c r="I53" s="1013">
        <v>0</v>
      </c>
      <c r="J53" s="973">
        <f t="shared" si="5"/>
        <v>8.3041402934322342E-2</v>
      </c>
      <c r="K53" s="975">
        <f t="shared" si="1"/>
        <v>0</v>
      </c>
      <c r="L53" s="1015">
        <v>0</v>
      </c>
      <c r="M53" s="975">
        <f t="shared" si="2"/>
        <v>0</v>
      </c>
      <c r="N53" s="1016">
        <v>0</v>
      </c>
      <c r="O53" s="976">
        <f>+'F2-Incentives'!K$25*'F1-Proj RR'!N53/100*'F1-Proj RR'!I53</f>
        <v>0</v>
      </c>
      <c r="P53" s="1017"/>
      <c r="Q53" s="1017"/>
      <c r="R53" s="975">
        <f t="shared" si="3"/>
        <v>0</v>
      </c>
      <c r="S53" s="1012">
        <v>0</v>
      </c>
      <c r="T53" s="975">
        <f t="shared" si="6"/>
        <v>0</v>
      </c>
    </row>
    <row r="54" spans="1:20" s="888" customFormat="1">
      <c r="A54" s="968" t="s">
        <v>499</v>
      </c>
      <c r="B54" s="969"/>
      <c r="C54" s="1011">
        <v>0</v>
      </c>
      <c r="D54" s="1011">
        <v>0</v>
      </c>
      <c r="E54" s="1012">
        <v>0</v>
      </c>
      <c r="F54" s="1013">
        <v>0</v>
      </c>
      <c r="G54" s="973">
        <f t="shared" si="4"/>
        <v>8.2610853866224687E-2</v>
      </c>
      <c r="H54" s="974">
        <f t="shared" si="0"/>
        <v>0</v>
      </c>
      <c r="I54" s="1013">
        <v>0</v>
      </c>
      <c r="J54" s="973">
        <f t="shared" si="5"/>
        <v>8.3041402934322342E-2</v>
      </c>
      <c r="K54" s="975">
        <f t="shared" si="1"/>
        <v>0</v>
      </c>
      <c r="L54" s="1015">
        <v>0</v>
      </c>
      <c r="M54" s="975">
        <f t="shared" si="2"/>
        <v>0</v>
      </c>
      <c r="N54" s="1016">
        <v>0</v>
      </c>
      <c r="O54" s="976">
        <f>+'F2-Incentives'!K$25*'F1-Proj RR'!N54/100*'F1-Proj RR'!I54</f>
        <v>0</v>
      </c>
      <c r="P54" s="1017"/>
      <c r="Q54" s="1017"/>
      <c r="R54" s="975">
        <f t="shared" si="3"/>
        <v>0</v>
      </c>
      <c r="S54" s="1012">
        <v>0</v>
      </c>
      <c r="T54" s="975">
        <f t="shared" si="6"/>
        <v>0</v>
      </c>
    </row>
    <row r="55" spans="1:20" s="888" customFormat="1">
      <c r="A55" s="968" t="s">
        <v>500</v>
      </c>
      <c r="B55" s="969"/>
      <c r="C55" s="1011">
        <v>0</v>
      </c>
      <c r="D55" s="1011">
        <v>0</v>
      </c>
      <c r="E55" s="1012">
        <v>0</v>
      </c>
      <c r="F55" s="1013">
        <v>0</v>
      </c>
      <c r="G55" s="973">
        <f t="shared" si="4"/>
        <v>8.2610853866224687E-2</v>
      </c>
      <c r="H55" s="974">
        <f t="shared" si="0"/>
        <v>0</v>
      </c>
      <c r="I55" s="1013">
        <v>0</v>
      </c>
      <c r="J55" s="973">
        <f t="shared" si="5"/>
        <v>8.3041402934322342E-2</v>
      </c>
      <c r="K55" s="975">
        <f t="shared" si="1"/>
        <v>0</v>
      </c>
      <c r="L55" s="1015">
        <v>0</v>
      </c>
      <c r="M55" s="975">
        <f t="shared" si="2"/>
        <v>0</v>
      </c>
      <c r="N55" s="1016">
        <v>0</v>
      </c>
      <c r="O55" s="976">
        <f>+'F2-Incentives'!K$25*'F1-Proj RR'!N55/100*'F1-Proj RR'!I55</f>
        <v>0</v>
      </c>
      <c r="P55" s="1017"/>
      <c r="Q55" s="1017"/>
      <c r="R55" s="975">
        <f t="shared" si="3"/>
        <v>0</v>
      </c>
      <c r="S55" s="1012">
        <v>0</v>
      </c>
      <c r="T55" s="975">
        <f t="shared" si="6"/>
        <v>0</v>
      </c>
    </row>
    <row r="56" spans="1:20" s="888" customFormat="1">
      <c r="A56" s="968" t="s">
        <v>501</v>
      </c>
      <c r="B56" s="969"/>
      <c r="C56" s="1011">
        <v>0</v>
      </c>
      <c r="D56" s="1011">
        <v>0</v>
      </c>
      <c r="E56" s="1011">
        <v>0</v>
      </c>
      <c r="F56" s="1013">
        <v>0</v>
      </c>
      <c r="G56" s="973">
        <f t="shared" si="4"/>
        <v>8.2610853866224687E-2</v>
      </c>
      <c r="H56" s="974">
        <f t="shared" si="0"/>
        <v>0</v>
      </c>
      <c r="I56" s="1013">
        <v>0</v>
      </c>
      <c r="J56" s="973">
        <f t="shared" si="5"/>
        <v>8.3041402934322342E-2</v>
      </c>
      <c r="K56" s="975">
        <f t="shared" si="1"/>
        <v>0</v>
      </c>
      <c r="L56" s="1015">
        <v>0</v>
      </c>
      <c r="M56" s="975">
        <f t="shared" si="2"/>
        <v>0</v>
      </c>
      <c r="N56" s="1016">
        <v>0</v>
      </c>
      <c r="O56" s="976">
        <f>+'F2-Incentives'!K$25*'F1-Proj RR'!N56/100*'F1-Proj RR'!I56</f>
        <v>0</v>
      </c>
      <c r="P56" s="1017"/>
      <c r="Q56" s="1017"/>
      <c r="R56" s="975">
        <f t="shared" si="3"/>
        <v>0</v>
      </c>
      <c r="S56" s="1012">
        <v>0</v>
      </c>
      <c r="T56" s="975">
        <f t="shared" si="6"/>
        <v>0</v>
      </c>
    </row>
    <row r="57" spans="1:20" s="888" customFormat="1">
      <c r="A57" s="968" t="s">
        <v>502</v>
      </c>
      <c r="B57" s="969"/>
      <c r="C57" s="1011">
        <v>0</v>
      </c>
      <c r="D57" s="1011">
        <v>0</v>
      </c>
      <c r="E57" s="1011">
        <v>0</v>
      </c>
      <c r="F57" s="1013">
        <v>0</v>
      </c>
      <c r="G57" s="973">
        <f t="shared" si="4"/>
        <v>8.2610853866224687E-2</v>
      </c>
      <c r="H57" s="974">
        <f t="shared" si="0"/>
        <v>0</v>
      </c>
      <c r="I57" s="1013">
        <v>0</v>
      </c>
      <c r="J57" s="973">
        <f t="shared" si="5"/>
        <v>8.3041402934322342E-2</v>
      </c>
      <c r="K57" s="975">
        <f t="shared" si="1"/>
        <v>0</v>
      </c>
      <c r="L57" s="1015">
        <v>0</v>
      </c>
      <c r="M57" s="975">
        <f t="shared" si="2"/>
        <v>0</v>
      </c>
      <c r="N57" s="1016">
        <v>0</v>
      </c>
      <c r="O57" s="976">
        <f>+'F2-Incentives'!K$25*'F1-Proj RR'!N57/100*'F1-Proj RR'!I57</f>
        <v>0</v>
      </c>
      <c r="P57" s="1017"/>
      <c r="Q57" s="1017"/>
      <c r="R57" s="975">
        <f t="shared" si="3"/>
        <v>0</v>
      </c>
      <c r="S57" s="1012">
        <v>0</v>
      </c>
      <c r="T57" s="975">
        <f t="shared" si="6"/>
        <v>0</v>
      </c>
    </row>
    <row r="58" spans="1:20" s="888" customFormat="1">
      <c r="A58" s="968" t="s">
        <v>503</v>
      </c>
      <c r="B58" s="969"/>
      <c r="C58" s="1011">
        <v>0</v>
      </c>
      <c r="D58" s="1011">
        <v>0</v>
      </c>
      <c r="E58" s="1011">
        <v>0</v>
      </c>
      <c r="F58" s="1013">
        <v>0</v>
      </c>
      <c r="G58" s="973">
        <f t="shared" si="4"/>
        <v>8.2610853866224687E-2</v>
      </c>
      <c r="H58" s="974">
        <f t="shared" si="0"/>
        <v>0</v>
      </c>
      <c r="I58" s="1013">
        <v>0</v>
      </c>
      <c r="J58" s="973">
        <f t="shared" si="5"/>
        <v>8.3041402934322342E-2</v>
      </c>
      <c r="K58" s="975">
        <f t="shared" si="1"/>
        <v>0</v>
      </c>
      <c r="L58" s="1015">
        <v>0</v>
      </c>
      <c r="M58" s="975">
        <f t="shared" si="2"/>
        <v>0</v>
      </c>
      <c r="N58" s="1016">
        <v>0</v>
      </c>
      <c r="O58" s="976">
        <f>+'F2-Incentives'!K$25*'F1-Proj RR'!N58/100*'F1-Proj RR'!I58</f>
        <v>0</v>
      </c>
      <c r="P58" s="1017"/>
      <c r="Q58" s="1017"/>
      <c r="R58" s="975">
        <f t="shared" si="3"/>
        <v>0</v>
      </c>
      <c r="S58" s="1012">
        <v>0</v>
      </c>
      <c r="T58" s="975">
        <f t="shared" si="6"/>
        <v>0</v>
      </c>
    </row>
    <row r="59" spans="1:20" s="888" customFormat="1">
      <c r="A59" s="968" t="s">
        <v>504</v>
      </c>
      <c r="B59" s="969"/>
      <c r="C59" s="1011">
        <v>0</v>
      </c>
      <c r="D59" s="1011">
        <v>0</v>
      </c>
      <c r="E59" s="1011">
        <v>0</v>
      </c>
      <c r="F59" s="1013">
        <v>0</v>
      </c>
      <c r="G59" s="973">
        <f t="shared" si="4"/>
        <v>8.2610853866224687E-2</v>
      </c>
      <c r="H59" s="974">
        <f t="shared" si="0"/>
        <v>0</v>
      </c>
      <c r="I59" s="1013">
        <v>0</v>
      </c>
      <c r="J59" s="973">
        <f t="shared" si="5"/>
        <v>8.3041402934322342E-2</v>
      </c>
      <c r="K59" s="975">
        <f t="shared" si="1"/>
        <v>0</v>
      </c>
      <c r="L59" s="1015">
        <v>0</v>
      </c>
      <c r="M59" s="975">
        <f t="shared" si="2"/>
        <v>0</v>
      </c>
      <c r="N59" s="1016">
        <v>0</v>
      </c>
      <c r="O59" s="976">
        <f>+'F2-Incentives'!K$25*'F1-Proj RR'!N59/100*'F1-Proj RR'!I59</f>
        <v>0</v>
      </c>
      <c r="P59" s="1017"/>
      <c r="Q59" s="1017"/>
      <c r="R59" s="975">
        <f t="shared" si="3"/>
        <v>0</v>
      </c>
      <c r="S59" s="1012">
        <v>0</v>
      </c>
      <c r="T59" s="975">
        <f t="shared" si="6"/>
        <v>0</v>
      </c>
    </row>
    <row r="60" spans="1:20" s="888" customFormat="1">
      <c r="A60" s="968" t="s">
        <v>505</v>
      </c>
      <c r="B60" s="969"/>
      <c r="C60" s="1011">
        <v>0</v>
      </c>
      <c r="D60" s="1011">
        <v>0</v>
      </c>
      <c r="E60" s="1011">
        <v>0</v>
      </c>
      <c r="F60" s="1013">
        <v>0</v>
      </c>
      <c r="G60" s="973">
        <f t="shared" si="4"/>
        <v>8.2610853866224687E-2</v>
      </c>
      <c r="H60" s="974">
        <f t="shared" si="0"/>
        <v>0</v>
      </c>
      <c r="I60" s="1013">
        <v>0</v>
      </c>
      <c r="J60" s="973">
        <f t="shared" si="5"/>
        <v>8.3041402934322342E-2</v>
      </c>
      <c r="K60" s="975">
        <f t="shared" si="1"/>
        <v>0</v>
      </c>
      <c r="L60" s="1012">
        <v>0</v>
      </c>
      <c r="M60" s="975">
        <f t="shared" si="2"/>
        <v>0</v>
      </c>
      <c r="N60" s="1016">
        <v>0</v>
      </c>
      <c r="O60" s="976">
        <f>+'F2-Incentives'!K$25*'F1-Proj RR'!N60/100*'F1-Proj RR'!I60</f>
        <v>0</v>
      </c>
      <c r="P60" s="1017"/>
      <c r="Q60" s="1017"/>
      <c r="R60" s="975">
        <f t="shared" si="3"/>
        <v>0</v>
      </c>
      <c r="S60" s="1012">
        <v>0</v>
      </c>
      <c r="T60" s="975">
        <f t="shared" si="6"/>
        <v>0</v>
      </c>
    </row>
    <row r="61" spans="1:20" s="888" customFormat="1">
      <c r="A61" s="968" t="s">
        <v>506</v>
      </c>
      <c r="B61" s="969"/>
      <c r="C61" s="1011">
        <v>0</v>
      </c>
      <c r="D61" s="1011">
        <v>0</v>
      </c>
      <c r="E61" s="1011">
        <v>0</v>
      </c>
      <c r="F61" s="1013">
        <v>0</v>
      </c>
      <c r="G61" s="973">
        <f t="shared" si="4"/>
        <v>8.2610853866224687E-2</v>
      </c>
      <c r="H61" s="974">
        <f t="shared" si="0"/>
        <v>0</v>
      </c>
      <c r="I61" s="1013">
        <v>0</v>
      </c>
      <c r="J61" s="973">
        <f t="shared" si="5"/>
        <v>8.3041402934322342E-2</v>
      </c>
      <c r="K61" s="975">
        <f t="shared" si="1"/>
        <v>0</v>
      </c>
      <c r="L61" s="1012">
        <v>0</v>
      </c>
      <c r="M61" s="978">
        <f t="shared" si="2"/>
        <v>0</v>
      </c>
      <c r="N61" s="1016">
        <v>0</v>
      </c>
      <c r="O61" s="976">
        <f>+'F2-Incentives'!K$25*'F1-Proj RR'!N61/100*'F1-Proj RR'!I61</f>
        <v>0</v>
      </c>
      <c r="P61" s="1017"/>
      <c r="Q61" s="1017"/>
      <c r="R61" s="975">
        <f t="shared" si="3"/>
        <v>0</v>
      </c>
      <c r="S61" s="1012">
        <v>0</v>
      </c>
      <c r="T61" s="975">
        <f t="shared" si="6"/>
        <v>0</v>
      </c>
    </row>
    <row r="62" spans="1:20" s="888" customFormat="1">
      <c r="A62" s="979"/>
      <c r="C62" s="1011">
        <v>0</v>
      </c>
      <c r="D62" s="1011">
        <v>0</v>
      </c>
      <c r="E62" s="1011">
        <v>0</v>
      </c>
      <c r="F62" s="1013">
        <v>0</v>
      </c>
      <c r="G62" s="973">
        <f t="shared" si="4"/>
        <v>8.2610853866224687E-2</v>
      </c>
      <c r="H62" s="974">
        <f t="shared" si="0"/>
        <v>0</v>
      </c>
      <c r="I62" s="1013">
        <v>0</v>
      </c>
      <c r="J62" s="973">
        <f t="shared" si="5"/>
        <v>8.3041402934322342E-2</v>
      </c>
      <c r="K62" s="975">
        <f t="shared" si="1"/>
        <v>0</v>
      </c>
      <c r="L62" s="1012">
        <v>0</v>
      </c>
      <c r="M62" s="978">
        <f t="shared" si="2"/>
        <v>0</v>
      </c>
      <c r="N62" s="1016">
        <v>0</v>
      </c>
      <c r="O62" s="976">
        <f>+'F2-Incentives'!K$25*'F1-Proj RR'!N62/100*'F1-Proj RR'!I62</f>
        <v>0</v>
      </c>
      <c r="P62" s="1017"/>
      <c r="Q62" s="1017"/>
      <c r="R62" s="975">
        <f t="shared" si="3"/>
        <v>0</v>
      </c>
      <c r="S62" s="1012">
        <v>0</v>
      </c>
      <c r="T62" s="975">
        <f t="shared" si="6"/>
        <v>0</v>
      </c>
    </row>
    <row r="63" spans="1:20" s="888" customFormat="1">
      <c r="A63" s="979"/>
      <c r="C63" s="1011">
        <v>0</v>
      </c>
      <c r="D63" s="1011">
        <v>0</v>
      </c>
      <c r="E63" s="1011">
        <v>0</v>
      </c>
      <c r="F63" s="1013">
        <v>0</v>
      </c>
      <c r="G63" s="973">
        <f t="shared" si="4"/>
        <v>8.2610853866224687E-2</v>
      </c>
      <c r="H63" s="974">
        <f t="shared" si="0"/>
        <v>0</v>
      </c>
      <c r="I63" s="1013">
        <v>0</v>
      </c>
      <c r="J63" s="973">
        <f t="shared" si="5"/>
        <v>8.3041402934322342E-2</v>
      </c>
      <c r="K63" s="975">
        <f t="shared" si="1"/>
        <v>0</v>
      </c>
      <c r="L63" s="1012">
        <v>0</v>
      </c>
      <c r="M63" s="978">
        <f t="shared" si="2"/>
        <v>0</v>
      </c>
      <c r="N63" s="1016">
        <v>0</v>
      </c>
      <c r="O63" s="976">
        <f>+'F2-Incentives'!K$25*'F1-Proj RR'!N63/100*'F1-Proj RR'!I63</f>
        <v>0</v>
      </c>
      <c r="P63" s="1017"/>
      <c r="Q63" s="1017"/>
      <c r="R63" s="975">
        <f t="shared" si="3"/>
        <v>0</v>
      </c>
      <c r="S63" s="1012">
        <v>0</v>
      </c>
      <c r="T63" s="975">
        <f t="shared" si="6"/>
        <v>0</v>
      </c>
    </row>
    <row r="64" spans="1:20" s="888" customFormat="1">
      <c r="A64" s="979"/>
      <c r="C64" s="1011">
        <v>0</v>
      </c>
      <c r="D64" s="1011">
        <v>0</v>
      </c>
      <c r="E64" s="1011">
        <v>0</v>
      </c>
      <c r="F64" s="1013">
        <v>0</v>
      </c>
      <c r="G64" s="973">
        <f t="shared" si="4"/>
        <v>8.2610853866224687E-2</v>
      </c>
      <c r="H64" s="974">
        <f t="shared" si="0"/>
        <v>0</v>
      </c>
      <c r="I64" s="1013">
        <v>0</v>
      </c>
      <c r="J64" s="973">
        <f t="shared" si="5"/>
        <v>8.3041402934322342E-2</v>
      </c>
      <c r="K64" s="975">
        <f t="shared" si="1"/>
        <v>0</v>
      </c>
      <c r="L64" s="1012">
        <v>0</v>
      </c>
      <c r="M64" s="978">
        <f t="shared" si="2"/>
        <v>0</v>
      </c>
      <c r="N64" s="1016">
        <v>0</v>
      </c>
      <c r="O64" s="976">
        <f>+'F2-Incentives'!K$25*'F1-Proj RR'!N64/100*'F1-Proj RR'!I64</f>
        <v>0</v>
      </c>
      <c r="P64" s="1017"/>
      <c r="Q64" s="1017"/>
      <c r="R64" s="975">
        <f t="shared" si="3"/>
        <v>0</v>
      </c>
      <c r="S64" s="1012">
        <v>0</v>
      </c>
      <c r="T64" s="975">
        <f t="shared" si="6"/>
        <v>0</v>
      </c>
    </row>
    <row r="65" spans="1:24" s="888" customFormat="1">
      <c r="A65" s="979"/>
      <c r="C65" s="1011">
        <v>0</v>
      </c>
      <c r="D65" s="1011">
        <v>0</v>
      </c>
      <c r="E65" s="1011">
        <v>0</v>
      </c>
      <c r="F65" s="1013">
        <v>0</v>
      </c>
      <c r="G65" s="973">
        <f t="shared" si="4"/>
        <v>8.2610853866224687E-2</v>
      </c>
      <c r="H65" s="974">
        <f t="shared" si="0"/>
        <v>0</v>
      </c>
      <c r="I65" s="1013">
        <v>0</v>
      </c>
      <c r="J65" s="973">
        <f t="shared" si="5"/>
        <v>8.3041402934322342E-2</v>
      </c>
      <c r="K65" s="975">
        <f t="shared" si="1"/>
        <v>0</v>
      </c>
      <c r="L65" s="1012">
        <v>0</v>
      </c>
      <c r="M65" s="978">
        <f t="shared" si="2"/>
        <v>0</v>
      </c>
      <c r="N65" s="1016">
        <v>0</v>
      </c>
      <c r="O65" s="976">
        <f>+'F2-Incentives'!K$25*'F1-Proj RR'!N65/100*'F1-Proj RR'!I65</f>
        <v>0</v>
      </c>
      <c r="P65" s="1017"/>
      <c r="Q65" s="1017"/>
      <c r="R65" s="975">
        <f t="shared" si="3"/>
        <v>0</v>
      </c>
      <c r="S65" s="1012">
        <v>0</v>
      </c>
      <c r="T65" s="975">
        <f t="shared" si="6"/>
        <v>0</v>
      </c>
    </row>
    <row r="66" spans="1:24" s="888" customFormat="1">
      <c r="A66" s="980"/>
      <c r="B66" s="981"/>
      <c r="C66" s="981"/>
      <c r="D66" s="981"/>
      <c r="E66" s="981"/>
      <c r="F66" s="981"/>
      <c r="G66" s="982"/>
      <c r="H66" s="983"/>
      <c r="I66" s="981"/>
      <c r="J66" s="981"/>
      <c r="K66" s="984"/>
      <c r="L66" s="981"/>
      <c r="M66" s="985"/>
      <c r="N66" s="986"/>
      <c r="O66" s="987"/>
      <c r="P66" s="984"/>
      <c r="Q66" s="984"/>
      <c r="R66" s="986"/>
      <c r="S66" s="981"/>
      <c r="T66" s="988">
        <f t="shared" si="6"/>
        <v>0</v>
      </c>
    </row>
    <row r="67" spans="1:24" s="888" customFormat="1">
      <c r="A67" s="902" t="s">
        <v>507</v>
      </c>
      <c r="B67" s="925"/>
      <c r="C67" s="894" t="s">
        <v>4</v>
      </c>
      <c r="D67" s="894"/>
      <c r="E67" s="989">
        <f>SUM(E47:E65)</f>
        <v>2242771887.8199997</v>
      </c>
      <c r="F67" s="989">
        <f>SUM(F47:F65)</f>
        <v>1233780451.0000002</v>
      </c>
      <c r="G67" s="989"/>
      <c r="H67" s="989">
        <f>SUM(H47:H65)</f>
        <v>185277300.67997485</v>
      </c>
      <c r="I67" s="989">
        <f>SUM(I47:I65)</f>
        <v>1084649381.8199992</v>
      </c>
      <c r="J67" s="892"/>
      <c r="K67" s="892"/>
      <c r="L67" s="974">
        <f>SUM(L47:L66)</f>
        <v>39876129.890000001</v>
      </c>
      <c r="M67" s="974">
        <f>SUM(M47:M66)</f>
        <v>315224236.92815304</v>
      </c>
      <c r="N67" s="990"/>
      <c r="O67" s="974">
        <f>SUM(O47:O66)</f>
        <v>0</v>
      </c>
      <c r="R67" s="974">
        <f>SUM(R47:R66)</f>
        <v>315486399.32872039</v>
      </c>
      <c r="S67" s="974">
        <f>SUM(S47:S66)</f>
        <v>69337733.239376858</v>
      </c>
      <c r="T67" s="974">
        <f>SUM(T47:T66)</f>
        <v>384824132.56809729</v>
      </c>
    </row>
    <row r="68" spans="1:24" s="888" customFormat="1">
      <c r="E68" s="974"/>
      <c r="F68" s="974"/>
      <c r="H68" s="974"/>
      <c r="K68" s="974"/>
      <c r="L68" s="974"/>
      <c r="O68" s="974"/>
      <c r="P68" s="974"/>
      <c r="Q68" s="974"/>
      <c r="T68" s="991"/>
      <c r="X68" s="974"/>
    </row>
    <row r="69" spans="1:24" s="888" customFormat="1">
      <c r="A69" s="992"/>
      <c r="L69" s="970"/>
      <c r="M69" s="990"/>
      <c r="N69" s="990"/>
      <c r="O69" s="990"/>
      <c r="T69" s="991"/>
      <c r="U69" s="993"/>
    </row>
    <row r="70" spans="1:24" s="888" customFormat="1">
      <c r="K70" s="925"/>
      <c r="L70" s="925"/>
      <c r="M70" s="925"/>
      <c r="N70" s="925"/>
      <c r="O70" s="925"/>
    </row>
    <row r="71" spans="1:24" s="888" customFormat="1">
      <c r="K71" s="925"/>
      <c r="L71" s="925"/>
      <c r="M71" s="925"/>
      <c r="N71" s="925"/>
      <c r="O71" s="925"/>
      <c r="T71" s="991"/>
    </row>
    <row r="72" spans="1:24" s="888" customFormat="1">
      <c r="A72" s="888" t="s">
        <v>508</v>
      </c>
    </row>
    <row r="73" spans="1:24" s="888" customFormat="1" ht="13.8" thickBot="1">
      <c r="A73" s="994" t="s">
        <v>509</v>
      </c>
    </row>
    <row r="74" spans="1:24" s="888" customFormat="1" ht="12.75" customHeight="1">
      <c r="A74" s="995" t="s">
        <v>456</v>
      </c>
      <c r="C74" s="2002" t="s">
        <v>1784</v>
      </c>
      <c r="D74" s="2002"/>
      <c r="E74" s="2002"/>
      <c r="F74" s="2002"/>
      <c r="G74" s="2002"/>
      <c r="H74" s="2002"/>
      <c r="I74" s="2002"/>
      <c r="J74" s="2002"/>
      <c r="K74" s="2002"/>
      <c r="L74" s="2002"/>
      <c r="M74" s="2002"/>
      <c r="N74" s="2002"/>
      <c r="O74" s="2002"/>
      <c r="P74" s="2002"/>
      <c r="Q74" s="2002"/>
      <c r="R74" s="2002"/>
    </row>
    <row r="75" spans="1:24" s="888" customFormat="1" ht="12.75" customHeight="1">
      <c r="A75" s="995" t="s">
        <v>457</v>
      </c>
      <c r="C75" s="2002" t="s">
        <v>829</v>
      </c>
      <c r="D75" s="2002"/>
      <c r="E75" s="2002"/>
      <c r="F75" s="2002"/>
      <c r="G75" s="2002"/>
      <c r="H75" s="2002"/>
      <c r="I75" s="2002"/>
      <c r="J75" s="2002"/>
      <c r="K75" s="2002"/>
      <c r="L75" s="2002"/>
      <c r="M75" s="2002"/>
      <c r="N75" s="2002"/>
      <c r="O75" s="2002"/>
      <c r="P75" s="2002"/>
      <c r="Q75" s="2002"/>
      <c r="R75" s="2002"/>
    </row>
    <row r="76" spans="1:24" s="888" customFormat="1" ht="27" customHeight="1">
      <c r="A76" s="995" t="s">
        <v>458</v>
      </c>
      <c r="C76" s="2003" t="s">
        <v>1161</v>
      </c>
      <c r="D76" s="2003"/>
      <c r="E76" s="2003"/>
      <c r="F76" s="2003"/>
      <c r="G76" s="2003"/>
      <c r="H76" s="2003"/>
      <c r="I76" s="2003"/>
      <c r="J76" s="2003"/>
      <c r="K76" s="2003"/>
      <c r="L76" s="2003"/>
      <c r="M76" s="2003"/>
      <c r="N76" s="2003"/>
      <c r="O76" s="2003"/>
      <c r="P76" s="2003"/>
      <c r="Q76" s="996"/>
      <c r="R76" s="996"/>
    </row>
    <row r="77" spans="1:24" s="888" customFormat="1">
      <c r="A77" s="995" t="s">
        <v>459</v>
      </c>
      <c r="C77" s="2002" t="s">
        <v>830</v>
      </c>
      <c r="D77" s="2002"/>
      <c r="E77" s="2002"/>
      <c r="F77" s="2002"/>
      <c r="G77" s="2002"/>
      <c r="H77" s="2002"/>
      <c r="I77" s="2002"/>
      <c r="J77" s="2002"/>
      <c r="K77" s="2002"/>
      <c r="L77" s="2002"/>
      <c r="M77" s="2002"/>
      <c r="N77" s="2002"/>
      <c r="O77" s="2002"/>
      <c r="P77" s="2002"/>
      <c r="Q77" s="2002"/>
      <c r="R77" s="2002"/>
    </row>
    <row r="78" spans="1:24" s="888" customFormat="1" ht="25.5" customHeight="1">
      <c r="A78" s="995" t="s">
        <v>460</v>
      </c>
      <c r="C78" s="2003" t="s">
        <v>1785</v>
      </c>
      <c r="D78" s="2003"/>
      <c r="E78" s="2003"/>
      <c r="F78" s="2003"/>
      <c r="G78" s="2003"/>
      <c r="H78" s="2003"/>
      <c r="I78" s="2003"/>
      <c r="J78" s="2003"/>
      <c r="K78" s="2003"/>
      <c r="L78" s="2003"/>
      <c r="M78" s="2003"/>
      <c r="N78" s="2003"/>
      <c r="O78" s="2003"/>
      <c r="P78" s="2003"/>
      <c r="Q78" s="996"/>
      <c r="R78" s="996"/>
    </row>
    <row r="79" spans="1:24" s="888" customFormat="1" ht="12.75" customHeight="1">
      <c r="A79" s="997" t="s">
        <v>461</v>
      </c>
      <c r="C79" s="2001" t="s">
        <v>588</v>
      </c>
      <c r="D79" s="2001"/>
      <c r="E79" s="2001"/>
      <c r="F79" s="2001"/>
      <c r="G79" s="2001"/>
      <c r="H79" s="2001"/>
      <c r="I79" s="2001"/>
      <c r="J79" s="2001"/>
      <c r="K79" s="2001"/>
      <c r="L79" s="2001"/>
      <c r="M79" s="2001"/>
      <c r="N79" s="2001"/>
      <c r="O79" s="2001"/>
      <c r="P79" s="2001"/>
      <c r="Q79" s="2001"/>
      <c r="R79" s="2001"/>
    </row>
    <row r="80" spans="1:24" s="888" customFormat="1" ht="13.5" customHeight="1">
      <c r="A80" s="997" t="s">
        <v>244</v>
      </c>
      <c r="C80" s="998" t="s">
        <v>587</v>
      </c>
      <c r="D80" s="998"/>
      <c r="E80" s="998"/>
      <c r="F80" s="998"/>
      <c r="G80" s="998"/>
      <c r="H80" s="998"/>
      <c r="I80" s="998"/>
      <c r="J80" s="998"/>
      <c r="K80" s="998"/>
      <c r="L80" s="998"/>
      <c r="M80" s="998"/>
      <c r="N80" s="998"/>
      <c r="O80" s="998"/>
      <c r="P80" s="998"/>
      <c r="Q80" s="998"/>
      <c r="R80" s="998"/>
    </row>
    <row r="81" spans="1:24" s="888" customFormat="1">
      <c r="A81" s="995" t="s">
        <v>462</v>
      </c>
      <c r="C81" s="888" t="s">
        <v>1657</v>
      </c>
      <c r="D81" s="999"/>
      <c r="E81" s="999"/>
      <c r="F81" s="999"/>
      <c r="G81" s="999"/>
      <c r="H81" s="999"/>
      <c r="I81" s="999"/>
      <c r="J81" s="999"/>
      <c r="K81" s="999"/>
      <c r="L81" s="999"/>
      <c r="M81" s="999"/>
      <c r="N81" s="999"/>
      <c r="O81" s="999"/>
      <c r="P81" s="999"/>
      <c r="Q81" s="999"/>
      <c r="R81" s="999"/>
    </row>
    <row r="82" spans="1:24" s="935" customFormat="1" ht="12.75" customHeight="1">
      <c r="A82" s="1000" t="s">
        <v>1658</v>
      </c>
      <c r="C82" s="1001" t="s">
        <v>1659</v>
      </c>
    </row>
    <row r="83" spans="1:24" s="1003" customFormat="1" ht="13.8">
      <c r="A83" s="1002"/>
      <c r="D83" s="1002"/>
      <c r="E83" s="1004"/>
      <c r="F83" s="1004"/>
      <c r="G83" s="1005"/>
      <c r="J83" s="1006"/>
      <c r="P83" s="1005"/>
      <c r="Q83" s="1005"/>
      <c r="R83" s="1007"/>
    </row>
    <row r="84" spans="1:24" s="1003" customFormat="1" ht="13.8">
      <c r="A84" s="1008"/>
      <c r="C84" s="2005"/>
      <c r="D84" s="2005"/>
      <c r="E84" s="2005"/>
      <c r="F84" s="2005"/>
      <c r="G84" s="2005"/>
      <c r="H84" s="2005"/>
      <c r="I84" s="2005"/>
      <c r="J84" s="2005"/>
      <c r="K84" s="2005"/>
      <c r="L84" s="2005"/>
      <c r="M84" s="2005"/>
      <c r="N84" s="2005"/>
      <c r="O84" s="2005"/>
      <c r="P84" s="2005"/>
      <c r="Q84" s="2005"/>
      <c r="R84" s="2005"/>
    </row>
    <row r="85" spans="1:24" s="1003" customFormat="1" ht="13.8">
      <c r="C85" s="2005"/>
      <c r="D85" s="2005"/>
      <c r="E85" s="2005"/>
      <c r="F85" s="2005"/>
      <c r="G85" s="2005"/>
      <c r="H85" s="2005"/>
      <c r="I85" s="2005"/>
      <c r="J85" s="2005"/>
      <c r="K85" s="2005"/>
      <c r="L85" s="2005"/>
      <c r="M85" s="2005"/>
      <c r="N85" s="2005"/>
      <c r="O85" s="2005"/>
      <c r="P85" s="2005"/>
      <c r="Q85" s="2005"/>
      <c r="R85" s="2005"/>
    </row>
    <row r="86" spans="1:24" s="1003" customFormat="1" ht="13.8">
      <c r="C86" s="2006"/>
      <c r="D86" s="2006"/>
      <c r="E86" s="2006"/>
      <c r="F86" s="2006"/>
      <c r="G86" s="2006"/>
      <c r="H86" s="2006"/>
      <c r="I86" s="2006"/>
      <c r="J86" s="2006"/>
      <c r="K86" s="2006"/>
      <c r="L86" s="2006"/>
      <c r="M86" s="2006"/>
      <c r="N86" s="2006"/>
      <c r="O86" s="2006"/>
      <c r="P86" s="2006"/>
      <c r="Q86" s="2006"/>
      <c r="R86" s="2006"/>
      <c r="S86" s="2006"/>
      <c r="T86" s="2006"/>
      <c r="U86" s="2006"/>
      <c r="V86" s="2006"/>
      <c r="W86" s="2006"/>
      <c r="X86" s="2006"/>
    </row>
    <row r="87" spans="1:24" ht="13.8">
      <c r="C87" s="2006"/>
      <c r="D87" s="2006"/>
      <c r="E87" s="2006"/>
      <c r="F87" s="2006"/>
      <c r="G87" s="2006"/>
      <c r="H87" s="2006"/>
      <c r="I87" s="2006"/>
      <c r="J87" s="2006"/>
      <c r="K87" s="2006"/>
      <c r="L87" s="2006"/>
      <c r="M87" s="2006"/>
      <c r="N87" s="2006"/>
      <c r="O87" s="2006"/>
      <c r="P87" s="2006"/>
      <c r="Q87" s="2006"/>
      <c r="R87" s="2006"/>
      <c r="S87" s="1003"/>
      <c r="T87" s="1003"/>
      <c r="U87" s="1003"/>
      <c r="V87" s="1003"/>
      <c r="W87" s="1003"/>
      <c r="X87" s="1003"/>
    </row>
    <row r="88" spans="1:24" ht="13.8">
      <c r="C88" s="2006"/>
      <c r="D88" s="2006"/>
      <c r="E88" s="2006"/>
      <c r="F88" s="2006"/>
      <c r="G88" s="2006"/>
      <c r="H88" s="2006"/>
      <c r="I88" s="2006"/>
      <c r="J88" s="2006"/>
      <c r="K88" s="2006"/>
      <c r="L88" s="2006"/>
      <c r="M88" s="2006"/>
      <c r="N88" s="2006"/>
      <c r="O88" s="2006"/>
      <c r="P88" s="2006"/>
      <c r="Q88" s="2006"/>
      <c r="R88" s="2006"/>
      <c r="S88" s="2006"/>
      <c r="T88" s="2006"/>
      <c r="U88" s="2006"/>
      <c r="V88" s="2006"/>
      <c r="W88" s="2006"/>
      <c r="X88" s="2006"/>
    </row>
    <row r="89" spans="1:24" ht="13.8">
      <c r="C89" s="2004"/>
      <c r="D89" s="2004"/>
      <c r="E89" s="2004"/>
      <c r="F89" s="2004"/>
      <c r="G89" s="2004"/>
      <c r="H89" s="2004"/>
      <c r="I89" s="2004"/>
      <c r="J89" s="2004"/>
      <c r="K89" s="2004"/>
      <c r="L89" s="2004"/>
      <c r="M89" s="2004"/>
      <c r="N89" s="2004"/>
      <c r="O89" s="2004"/>
      <c r="P89" s="2004"/>
      <c r="Q89" s="2004"/>
      <c r="R89" s="2004"/>
      <c r="S89" s="1003"/>
      <c r="T89" s="1003"/>
      <c r="U89" s="1003"/>
      <c r="V89" s="1003"/>
      <c r="W89" s="1003"/>
      <c r="X89" s="1003"/>
    </row>
    <row r="90" spans="1:24" ht="13.8">
      <c r="C90" s="1009"/>
      <c r="D90" s="1009"/>
      <c r="E90" s="1009"/>
      <c r="F90" s="1009"/>
      <c r="G90" s="1009"/>
      <c r="H90" s="1009"/>
      <c r="I90" s="1009"/>
      <c r="J90" s="1009"/>
      <c r="K90" s="1009"/>
      <c r="L90" s="1009"/>
      <c r="M90" s="1009"/>
      <c r="N90" s="1009"/>
      <c r="O90" s="1009"/>
      <c r="P90" s="1009"/>
      <c r="Q90" s="1009"/>
      <c r="R90" s="1009"/>
      <c r="S90" s="1003"/>
      <c r="T90" s="1003"/>
      <c r="U90" s="1003"/>
      <c r="V90" s="1003"/>
      <c r="W90" s="1003"/>
      <c r="X90" s="1003"/>
    </row>
    <row r="91" spans="1:24" ht="13.8">
      <c r="C91" s="1010"/>
      <c r="D91" s="1003"/>
      <c r="E91" s="1003"/>
      <c r="F91" s="1003"/>
      <c r="G91" s="1003"/>
      <c r="H91" s="1003"/>
      <c r="I91" s="1003"/>
      <c r="J91" s="1003"/>
      <c r="K91" s="1003"/>
      <c r="L91" s="1003"/>
      <c r="M91" s="1003"/>
      <c r="N91" s="1003"/>
      <c r="O91" s="1003"/>
      <c r="P91" s="1003"/>
      <c r="Q91" s="1003"/>
      <c r="R91" s="1003"/>
      <c r="S91" s="1003"/>
      <c r="T91" s="1003"/>
      <c r="U91" s="1003"/>
      <c r="V91" s="1003"/>
      <c r="W91" s="1003"/>
      <c r="X91" s="1003"/>
    </row>
    <row r="92" spans="1:24" ht="13.8">
      <c r="C92" s="1003"/>
      <c r="D92" s="1003"/>
      <c r="E92" s="1003"/>
      <c r="F92" s="1003"/>
      <c r="G92" s="1003"/>
      <c r="H92" s="1003"/>
      <c r="I92" s="1003"/>
      <c r="J92" s="1003"/>
      <c r="K92" s="1003"/>
      <c r="L92" s="1003"/>
      <c r="M92" s="1003"/>
      <c r="N92" s="1003"/>
      <c r="O92" s="1003"/>
      <c r="P92" s="1003"/>
      <c r="Q92" s="1003"/>
      <c r="R92" s="1003"/>
      <c r="S92" s="1003"/>
      <c r="T92" s="1003"/>
      <c r="U92" s="1003"/>
      <c r="V92" s="1003"/>
      <c r="W92" s="1003"/>
      <c r="X92" s="1003"/>
    </row>
  </sheetData>
  <customSheetViews>
    <customSheetView guid="{B321D76C-CDE5-48BB-9CDE-80FF97D58FCF}" scale="115" showPageBreaks="1" fitToPage="1" printArea="1" view="pageBreakPreview" topLeftCell="A64">
      <selection activeCell="D33" sqref="D33"/>
      <rowBreaks count="1" manualBreakCount="1">
        <brk id="36" max="16383" man="1"/>
      </rowBreaks>
      <colBreaks count="1" manualBreakCount="1">
        <brk id="12" max="82" man="1"/>
      </colBreaks>
      <pageMargins left="0.7" right="0.7" top="0.75" bottom="0.75" header="0.3" footer="0.3"/>
      <pageSetup scale="40" fitToHeight="0" orientation="landscape" r:id="rId1"/>
    </customSheetView>
  </customSheetViews>
  <mergeCells count="19">
    <mergeCell ref="C89:R89"/>
    <mergeCell ref="C84:R84"/>
    <mergeCell ref="C85:R85"/>
    <mergeCell ref="C86:X86"/>
    <mergeCell ref="C87:R87"/>
    <mergeCell ref="C88:X88"/>
    <mergeCell ref="C79:R79"/>
    <mergeCell ref="C74:R74"/>
    <mergeCell ref="C75:R75"/>
    <mergeCell ref="C77:R77"/>
    <mergeCell ref="C76:P76"/>
    <mergeCell ref="C78:P78"/>
    <mergeCell ref="A38:S38"/>
    <mergeCell ref="A39:S39"/>
    <mergeCell ref="A40:S40"/>
    <mergeCell ref="A4:S4"/>
    <mergeCell ref="A5:S5"/>
    <mergeCell ref="A6:S6"/>
    <mergeCell ref="A7:S7"/>
  </mergeCells>
  <pageMargins left="0.7" right="0.7" top="0.75" bottom="0.75" header="0.3" footer="0.3"/>
  <pageSetup scale="38" fitToHeight="0" orientation="landscape" r:id="rId2"/>
  <rowBreaks count="1" manualBreakCount="1">
    <brk id="36" max="16383" man="1"/>
  </rowBreaks>
  <colBreaks count="1" manualBreakCount="1">
    <brk id="12" max="82"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pageSetUpPr fitToPage="1"/>
  </sheetPr>
  <dimension ref="A1:L33"/>
  <sheetViews>
    <sheetView view="pageBreakPreview" zoomScale="80" zoomScaleNormal="100" zoomScaleSheetLayoutView="80" workbookViewId="0">
      <selection activeCell="O32" sqref="O32"/>
    </sheetView>
  </sheetViews>
  <sheetFormatPr defaultColWidth="9" defaultRowHeight="15.6"/>
  <cols>
    <col min="1" max="1" width="6.21875" style="1020" customWidth="1"/>
    <col min="2" max="2" width="27.44140625" style="1021" customWidth="1"/>
    <col min="3" max="4" width="34.33203125" style="1021" customWidth="1"/>
    <col min="5" max="5" width="15.21875" style="1021" customWidth="1"/>
    <col min="6" max="6" width="23.44140625" style="1021" customWidth="1"/>
    <col min="7" max="7" width="4.77734375" style="1021" customWidth="1"/>
    <col min="8" max="8" width="10.109375" style="1021" bestFit="1" customWidth="1"/>
    <col min="9" max="9" width="4.44140625" style="1021" customWidth="1"/>
    <col min="10" max="10" width="13.77734375" style="1021" customWidth="1"/>
    <col min="11" max="11" width="29.109375" style="1050" customWidth="1"/>
    <col min="12" max="16384" width="9" style="1019"/>
  </cols>
  <sheetData>
    <row r="1" spans="1:12" s="139" customFormat="1">
      <c r="A1" s="13" t="s">
        <v>935</v>
      </c>
    </row>
    <row r="2" spans="1:12">
      <c r="C2" s="1022"/>
      <c r="D2" s="1022"/>
      <c r="E2" s="1022"/>
      <c r="F2" s="1022"/>
      <c r="G2" s="1023"/>
      <c r="H2" s="1022"/>
      <c r="I2" s="1022"/>
      <c r="J2" s="1022"/>
      <c r="K2" s="1024"/>
    </row>
    <row r="3" spans="1:12">
      <c r="B3" s="1020"/>
      <c r="C3" s="1022"/>
      <c r="D3" s="1022"/>
      <c r="E3" s="1022"/>
      <c r="F3" s="1022"/>
      <c r="G3" s="1023"/>
      <c r="H3" s="1022"/>
      <c r="I3" s="1022"/>
      <c r="J3" s="1022"/>
      <c r="K3" s="1024"/>
    </row>
    <row r="4" spans="1:12" ht="15.75" customHeight="1">
      <c r="A4" s="2007" t="s">
        <v>934</v>
      </c>
      <c r="B4" s="2007"/>
      <c r="C4" s="2007"/>
      <c r="D4" s="2007"/>
      <c r="E4" s="2007"/>
      <c r="F4" s="2007"/>
      <c r="G4" s="2007"/>
      <c r="H4" s="2007"/>
      <c r="I4" s="2007"/>
      <c r="J4" s="2007"/>
      <c r="K4" s="2007"/>
      <c r="L4" s="1025"/>
    </row>
    <row r="5" spans="1:12" ht="15.75" customHeight="1">
      <c r="A5" s="1998" t="s">
        <v>510</v>
      </c>
      <c r="B5" s="1998"/>
      <c r="C5" s="1998"/>
      <c r="D5" s="1998"/>
      <c r="E5" s="1998"/>
      <c r="F5" s="1998"/>
      <c r="G5" s="1998"/>
      <c r="H5" s="1998"/>
      <c r="I5" s="1998"/>
      <c r="J5" s="1998"/>
      <c r="K5" s="1998"/>
      <c r="L5" s="1025"/>
    </row>
    <row r="6" spans="1:12">
      <c r="A6" s="2008" t="str">
        <f>+'F1-Proj RR'!A6</f>
        <v>NEW YORK POWER AUTHORITY</v>
      </c>
      <c r="B6" s="2008"/>
      <c r="C6" s="2008"/>
      <c r="D6" s="2008"/>
      <c r="E6" s="2008"/>
      <c r="F6" s="2008"/>
      <c r="G6" s="2008"/>
      <c r="H6" s="2008"/>
      <c r="I6" s="2008"/>
      <c r="J6" s="2008"/>
      <c r="K6" s="2008"/>
      <c r="L6" s="885"/>
    </row>
    <row r="7" spans="1:12">
      <c r="A7" s="2009" t="str">
        <f>SUMMARY!A7</f>
        <v>YEAR ENDING DECEMBER 31, 2021</v>
      </c>
      <c r="B7" s="2009"/>
      <c r="C7" s="2009"/>
      <c r="D7" s="2009"/>
      <c r="E7" s="2009"/>
      <c r="F7" s="2009"/>
      <c r="G7" s="2009"/>
      <c r="H7" s="2009"/>
      <c r="I7" s="2009"/>
      <c r="J7" s="2009"/>
      <c r="K7" s="2009"/>
      <c r="L7" s="885"/>
    </row>
    <row r="8" spans="1:12" s="1027" customFormat="1">
      <c r="A8" s="890" t="s">
        <v>468</v>
      </c>
      <c r="B8" s="1026"/>
      <c r="C8" s="1026"/>
      <c r="K8" s="1028"/>
    </row>
    <row r="9" spans="1:12" s="1027" customFormat="1" ht="16.2" thickBot="1">
      <c r="A9" s="895" t="s">
        <v>59</v>
      </c>
      <c r="B9" s="895" t="s">
        <v>229</v>
      </c>
      <c r="C9" s="895" t="s">
        <v>770</v>
      </c>
      <c r="K9" s="1029" t="s">
        <v>513</v>
      </c>
    </row>
    <row r="10" spans="1:12" s="1027" customFormat="1" ht="15">
      <c r="A10" s="861"/>
      <c r="B10" s="1026"/>
      <c r="C10" s="1026"/>
      <c r="K10" s="1028"/>
    </row>
    <row r="11" spans="1:12" s="1027" customFormat="1" ht="15">
      <c r="A11" s="861">
        <v>1</v>
      </c>
      <c r="B11" s="1026" t="s">
        <v>511</v>
      </c>
      <c r="C11" s="1026" t="s">
        <v>936</v>
      </c>
      <c r="K11" s="861">
        <f>'C1-Rate Base'!L31</f>
        <v>1333796028.0890124</v>
      </c>
    </row>
    <row r="12" spans="1:12" s="1027" customFormat="1" ht="15">
      <c r="A12" s="861"/>
      <c r="B12" s="1026"/>
      <c r="C12" s="1026"/>
      <c r="K12" s="1028"/>
    </row>
    <row r="13" spans="1:12" s="1027" customFormat="1" thickBot="1">
      <c r="A13" s="1030">
        <f>+A11+1</f>
        <v>2</v>
      </c>
      <c r="B13" s="1031" t="s">
        <v>512</v>
      </c>
      <c r="C13" s="1032"/>
      <c r="D13" s="1033"/>
      <c r="E13" s="1033"/>
      <c r="F13" s="1033"/>
      <c r="G13" s="1033"/>
      <c r="H13" s="1033"/>
      <c r="I13" s="1033"/>
      <c r="J13" s="1029" t="s">
        <v>513</v>
      </c>
      <c r="K13" s="1028"/>
    </row>
    <row r="14" spans="1:12" s="1027" customFormat="1">
      <c r="A14" s="1030"/>
      <c r="B14" s="1031"/>
      <c r="C14" s="1032"/>
      <c r="D14" s="1033"/>
      <c r="E14" s="1033"/>
      <c r="F14" s="1033"/>
      <c r="G14" s="1033"/>
      <c r="H14" s="1034"/>
      <c r="I14" s="1033"/>
      <c r="J14" s="1035" t="s">
        <v>170</v>
      </c>
      <c r="K14" s="1028"/>
    </row>
    <row r="15" spans="1:12" s="1027" customFormat="1" ht="16.2" thickBot="1">
      <c r="A15" s="1030"/>
      <c r="B15" s="1031"/>
      <c r="C15" s="1032"/>
      <c r="D15" s="1033"/>
      <c r="E15" s="1033"/>
      <c r="F15" s="1036" t="s">
        <v>514</v>
      </c>
      <c r="G15" s="1033"/>
      <c r="H15" s="1036" t="s">
        <v>169</v>
      </c>
      <c r="I15" s="1033"/>
      <c r="J15" s="1036" t="s">
        <v>169</v>
      </c>
      <c r="K15" s="1028"/>
    </row>
    <row r="16" spans="1:12" s="1027" customFormat="1" ht="15">
      <c r="A16" s="1030">
        <f>+A13+1</f>
        <v>3</v>
      </c>
      <c r="B16" s="1031" t="s">
        <v>515</v>
      </c>
      <c r="C16" s="1037" t="s">
        <v>937</v>
      </c>
      <c r="D16" s="1037"/>
      <c r="E16" s="1033"/>
      <c r="F16" s="1038">
        <f>+'D1-Cap Structure'!D21</f>
        <v>0.5</v>
      </c>
      <c r="G16" s="1039"/>
      <c r="H16" s="1039">
        <f>+'D1-Cap Structure'!F21</f>
        <v>4.0559341100642764E-2</v>
      </c>
      <c r="I16" s="1040"/>
      <c r="J16" s="1040">
        <f>F16*H16</f>
        <v>2.0279670550321382E-2</v>
      </c>
      <c r="K16" s="1028"/>
    </row>
    <row r="17" spans="1:11" s="1027" customFormat="1" ht="39.75" customHeight="1" thickBot="1">
      <c r="A17" s="1030">
        <f>+A16+1</f>
        <v>4</v>
      </c>
      <c r="B17" s="1031" t="s">
        <v>516</v>
      </c>
      <c r="C17" s="1037" t="s">
        <v>938</v>
      </c>
      <c r="D17" s="1041" t="s">
        <v>589</v>
      </c>
      <c r="E17" s="1033"/>
      <c r="F17" s="1038">
        <f>+'D1-Cap Structure'!D23</f>
        <v>0.5</v>
      </c>
      <c r="G17" s="1039"/>
      <c r="H17" s="1042">
        <f>+'D1-Cap Structure'!F23+0.01</f>
        <v>0.1045</v>
      </c>
      <c r="I17" s="1040"/>
      <c r="J17" s="1043">
        <f>F17*H17</f>
        <v>5.2249999999999998E-2</v>
      </c>
      <c r="K17" s="1028"/>
    </row>
    <row r="18" spans="1:11" s="1027" customFormat="1" ht="15">
      <c r="A18" s="1030">
        <f>+A17+1</f>
        <v>5</v>
      </c>
      <c r="B18" s="1031" t="s">
        <v>517</v>
      </c>
      <c r="C18" s="1037"/>
      <c r="D18" s="1044"/>
      <c r="E18" s="1033"/>
      <c r="F18" s="1040" t="s">
        <v>31</v>
      </c>
      <c r="G18" s="1040"/>
      <c r="H18" s="1040"/>
      <c r="I18" s="1040"/>
      <c r="J18" s="1040">
        <f>SUM(J16:J17)</f>
        <v>7.2529670550321376E-2</v>
      </c>
      <c r="K18" s="1028"/>
    </row>
    <row r="19" spans="1:11" s="1027" customFormat="1" ht="15">
      <c r="A19" s="1030">
        <f t="shared" ref="A19:A25" si="0">+A18+1</f>
        <v>6</v>
      </c>
      <c r="B19" s="1031" t="s">
        <v>518</v>
      </c>
      <c r="C19" s="1037"/>
      <c r="D19" s="1044"/>
      <c r="E19" s="1033"/>
      <c r="F19" s="1033"/>
      <c r="G19" s="1033"/>
      <c r="H19" s="1033"/>
      <c r="I19" s="1033"/>
      <c r="J19" s="1045"/>
      <c r="K19" s="1046">
        <f>+J18*K11</f>
        <v>96739786.498623267</v>
      </c>
    </row>
    <row r="20" spans="1:11" s="1027" customFormat="1" ht="15">
      <c r="A20" s="1030"/>
      <c r="K20" s="1046"/>
    </row>
    <row r="21" spans="1:11" s="1027" customFormat="1" ht="15">
      <c r="A21" s="1030"/>
      <c r="K21" s="1046"/>
    </row>
    <row r="22" spans="1:11" s="1027" customFormat="1" ht="15">
      <c r="A22" s="1030">
        <f>+A19+1</f>
        <v>7</v>
      </c>
      <c r="B22" s="1027" t="s">
        <v>940</v>
      </c>
      <c r="K22" s="1046">
        <f>+'C1-Rate Base'!P31</f>
        <v>90070806.358178213</v>
      </c>
    </row>
    <row r="23" spans="1:11" s="1027" customFormat="1" ht="15">
      <c r="A23" s="1030">
        <f>+A22+1</f>
        <v>8</v>
      </c>
      <c r="B23" s="1037" t="s">
        <v>519</v>
      </c>
      <c r="E23" s="1027" t="s">
        <v>520</v>
      </c>
      <c r="K23" s="1046">
        <f>+K19-K22</f>
        <v>6668980.1404450536</v>
      </c>
    </row>
    <row r="24" spans="1:11" s="1027" customFormat="1" ht="15">
      <c r="A24" s="1030">
        <f t="shared" si="0"/>
        <v>9</v>
      </c>
      <c r="B24" s="1027" t="s">
        <v>841</v>
      </c>
      <c r="E24" s="1027" t="s">
        <v>939</v>
      </c>
      <c r="K24" s="1047">
        <f>+'C1-Rate Base'!D19</f>
        <v>1008991436.8199993</v>
      </c>
    </row>
    <row r="25" spans="1:11" s="1027" customFormat="1" ht="15">
      <c r="A25" s="1030">
        <f t="shared" si="0"/>
        <v>10</v>
      </c>
      <c r="B25" s="1027" t="s">
        <v>521</v>
      </c>
      <c r="E25" s="1027" t="s">
        <v>522</v>
      </c>
      <c r="K25" s="1040">
        <f>IF(K24=0,0,K23/K24)</f>
        <v>6.6095507821785186E-3</v>
      </c>
    </row>
    <row r="26" spans="1:11" s="1027" customFormat="1" ht="15">
      <c r="A26" s="861"/>
      <c r="K26" s="1028"/>
    </row>
    <row r="27" spans="1:11" s="1027" customFormat="1" ht="15">
      <c r="A27" s="861" t="s">
        <v>523</v>
      </c>
      <c r="K27" s="1028"/>
    </row>
    <row r="28" spans="1:11" s="1027" customFormat="1" ht="15">
      <c r="A28" s="1030" t="s">
        <v>456</v>
      </c>
      <c r="B28" s="1026" t="s">
        <v>524</v>
      </c>
      <c r="K28" s="1028"/>
    </row>
    <row r="29" spans="1:11" s="1027" customFormat="1" ht="15">
      <c r="A29" s="1030"/>
      <c r="B29" s="1026" t="s">
        <v>1159</v>
      </c>
      <c r="K29" s="1028"/>
    </row>
    <row r="30" spans="1:11" s="1027" customFormat="1" ht="15">
      <c r="A30" s="1030"/>
      <c r="B30" s="1026" t="s">
        <v>1110</v>
      </c>
      <c r="K30" s="1028"/>
    </row>
    <row r="31" spans="1:11" s="1027" customFormat="1" ht="15">
      <c r="A31" s="1030"/>
      <c r="B31" s="1026" t="s">
        <v>1786</v>
      </c>
      <c r="K31" s="1028"/>
    </row>
    <row r="32" spans="1:11">
      <c r="A32" s="1048"/>
      <c r="B32" s="1049"/>
    </row>
    <row r="33" spans="2:3">
      <c r="B33" s="1049"/>
      <c r="C33" s="1049"/>
    </row>
  </sheetData>
  <sheetProtection algorithmName="SHA-512" hashValue="gu/KbpxHlTr9T80r5pOkZwUps2MW++5fLos91T6oujGk3tQIMSI8eDRXHXRtHbhej4to68xcz5M6RsloNY0H4w==" saltValue="/5RIDrTspb53ESUqYfeksw==" spinCount="100000" sheet="1" objects="1" scenarios="1"/>
  <customSheetViews>
    <customSheetView guid="{B321D76C-CDE5-48BB-9CDE-80FF97D58FCF}" scale="90" showPageBreaks="1" fitToPage="1" printArea="1" view="pageBreakPreview">
      <selection activeCell="D33" sqref="D33"/>
      <pageMargins left="0.7" right="0.7" top="0.75" bottom="0.75" header="0.3" footer="0.3"/>
      <pageSetup scale="61" orientation="landscape" r:id="rId1"/>
    </customSheetView>
  </customSheetViews>
  <mergeCells count="4">
    <mergeCell ref="A4:K4"/>
    <mergeCell ref="A5:K5"/>
    <mergeCell ref="A6:K6"/>
    <mergeCell ref="A7:K7"/>
  </mergeCells>
  <pageMargins left="0.7" right="0.7" top="0.75" bottom="0.75" header="0.3" footer="0.3"/>
  <pageSetup scale="61"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8"/>
  </sheetPr>
  <dimension ref="A1:N85"/>
  <sheetViews>
    <sheetView zoomScale="80" zoomScaleNormal="80" zoomScaleSheetLayoutView="100" workbookViewId="0">
      <selection activeCell="F52" sqref="F52"/>
    </sheetView>
  </sheetViews>
  <sheetFormatPr defaultColWidth="10" defaultRowHeight="13.2"/>
  <cols>
    <col min="1" max="1" width="6.77734375" style="870" customWidth="1"/>
    <col min="2" max="2" width="30.44140625" style="870" customWidth="1"/>
    <col min="3" max="3" width="16" style="870" bestFit="1" customWidth="1"/>
    <col min="4" max="4" width="21" style="870" customWidth="1"/>
    <col min="5" max="5" width="26" style="870" customWidth="1"/>
    <col min="6" max="6" width="23.44140625" style="870" customWidth="1"/>
    <col min="7" max="7" width="14.77734375" style="870" customWidth="1"/>
    <col min="8" max="8" width="16.21875" style="870" customWidth="1"/>
    <col min="9" max="9" width="20.77734375" style="870" customWidth="1"/>
    <col min="10" max="10" width="15.44140625" style="870" customWidth="1"/>
    <col min="11" max="11" width="29.109375" style="870" customWidth="1"/>
    <col min="12" max="12" width="15.21875" style="870" customWidth="1"/>
    <col min="13" max="16384" width="10" style="870"/>
  </cols>
  <sheetData>
    <row r="1" spans="1:12" ht="15.6">
      <c r="A1" s="13" t="s">
        <v>941</v>
      </c>
    </row>
    <row r="2" spans="1:12">
      <c r="J2" s="894" t="s">
        <v>601</v>
      </c>
    </row>
    <row r="4" spans="1:12">
      <c r="E4" s="1051"/>
    </row>
    <row r="5" spans="1:12" ht="15.6">
      <c r="A5" s="1998" t="s">
        <v>942</v>
      </c>
      <c r="B5" s="1998"/>
      <c r="C5" s="1998"/>
      <c r="D5" s="1998"/>
      <c r="E5" s="1998"/>
      <c r="F5" s="1998"/>
      <c r="G5" s="1998"/>
      <c r="H5" s="1998"/>
      <c r="I5" s="1998"/>
      <c r="J5" s="1998"/>
      <c r="K5" s="1052"/>
      <c r="L5" s="875"/>
    </row>
    <row r="6" spans="1:12" ht="15.6">
      <c r="A6" s="1998" t="s">
        <v>525</v>
      </c>
      <c r="B6" s="1998"/>
      <c r="C6" s="1998"/>
      <c r="D6" s="1998"/>
      <c r="E6" s="1998"/>
      <c r="F6" s="1998"/>
      <c r="G6" s="1998"/>
      <c r="H6" s="1998"/>
      <c r="I6" s="1998"/>
      <c r="J6" s="1998"/>
      <c r="K6" s="1053"/>
      <c r="L6" s="875"/>
    </row>
    <row r="7" spans="1:12" ht="15.6">
      <c r="A7" s="1999" t="str">
        <f>'F2-Incentives'!A5</f>
        <v>Incentives</v>
      </c>
      <c r="B7" s="1999"/>
      <c r="C7" s="1999"/>
      <c r="D7" s="1999"/>
      <c r="E7" s="1999"/>
      <c r="F7" s="1999"/>
      <c r="G7" s="1999"/>
      <c r="H7" s="1999"/>
      <c r="I7" s="1999"/>
      <c r="J7" s="1999"/>
      <c r="K7" s="875"/>
      <c r="L7" s="875"/>
    </row>
    <row r="8" spans="1:12" ht="15.6">
      <c r="A8" s="2027" t="str">
        <f>SUMMARY!A7</f>
        <v>YEAR ENDING DECEMBER 31, 2021</v>
      </c>
      <c r="B8" s="2027"/>
      <c r="C8" s="2027"/>
      <c r="D8" s="2027"/>
      <c r="E8" s="2027"/>
      <c r="F8" s="2027"/>
      <c r="G8" s="2027"/>
      <c r="H8" s="2027"/>
      <c r="I8" s="2027"/>
      <c r="J8" s="2027"/>
      <c r="K8" s="875"/>
      <c r="L8" s="875"/>
    </row>
    <row r="9" spans="1:12">
      <c r="A9" s="877"/>
      <c r="C9" s="875"/>
      <c r="D9" s="875"/>
      <c r="E9" s="877" t="s">
        <v>783</v>
      </c>
      <c r="F9" s="875"/>
      <c r="G9" s="875"/>
      <c r="H9" s="879"/>
      <c r="I9" s="875"/>
      <c r="J9" s="875"/>
      <c r="K9" s="875"/>
      <c r="L9" s="875"/>
    </row>
    <row r="10" spans="1:12">
      <c r="A10" s="877"/>
      <c r="D10" s="1451"/>
      <c r="E10" s="1054"/>
      <c r="F10" s="1054"/>
      <c r="G10" s="1054"/>
      <c r="I10" s="1450"/>
      <c r="J10" s="875"/>
      <c r="K10" s="875"/>
      <c r="L10" s="875"/>
    </row>
    <row r="11" spans="1:12" s="888" customFormat="1" ht="15">
      <c r="A11" s="1055" t="s">
        <v>192</v>
      </c>
      <c r="B11" s="1055" t="s">
        <v>193</v>
      </c>
      <c r="C11" s="1055" t="s">
        <v>194</v>
      </c>
      <c r="D11" s="1055" t="s">
        <v>195</v>
      </c>
      <c r="E11" s="1055" t="s">
        <v>196</v>
      </c>
      <c r="F11" s="1055" t="s">
        <v>371</v>
      </c>
      <c r="G11" s="1055" t="s">
        <v>372</v>
      </c>
      <c r="H11" s="1055" t="s">
        <v>900</v>
      </c>
      <c r="I11" s="1055" t="s">
        <v>901</v>
      </c>
      <c r="J11" s="1055" t="s">
        <v>902</v>
      </c>
      <c r="K11" s="1056"/>
      <c r="L11" s="1056"/>
    </row>
    <row r="12" spans="1:12" s="888" customFormat="1">
      <c r="A12" s="1057"/>
      <c r="B12" s="1058"/>
      <c r="C12" s="1058"/>
      <c r="E12" s="1059" t="s">
        <v>433</v>
      </c>
      <c r="F12" s="1059" t="s">
        <v>528</v>
      </c>
      <c r="H12" s="1059" t="s">
        <v>529</v>
      </c>
      <c r="I12" s="1059" t="s">
        <v>528</v>
      </c>
      <c r="J12" s="1060"/>
    </row>
    <row r="13" spans="1:12" s="888" customFormat="1">
      <c r="A13" s="1057"/>
      <c r="B13" s="1058"/>
      <c r="C13" s="1059" t="s">
        <v>769</v>
      </c>
      <c r="E13" s="1059" t="s">
        <v>216</v>
      </c>
      <c r="F13" s="1059" t="s">
        <v>530</v>
      </c>
      <c r="G13" s="1059"/>
      <c r="H13" s="1059" t="s">
        <v>531</v>
      </c>
      <c r="I13" s="1059" t="s">
        <v>530</v>
      </c>
      <c r="J13" s="1061" t="s">
        <v>4</v>
      </c>
    </row>
    <row r="14" spans="1:12" s="888" customFormat="1">
      <c r="A14" s="1062" t="s">
        <v>468</v>
      </c>
      <c r="B14" s="1059" t="s">
        <v>532</v>
      </c>
      <c r="C14" s="1059" t="s">
        <v>590</v>
      </c>
      <c r="D14" s="1059" t="s">
        <v>739</v>
      </c>
      <c r="E14" s="1059" t="s">
        <v>533</v>
      </c>
      <c r="F14" s="1059" t="s">
        <v>534</v>
      </c>
      <c r="G14" s="1063" t="s">
        <v>535</v>
      </c>
      <c r="H14" s="1059" t="s">
        <v>536</v>
      </c>
      <c r="I14" s="1059" t="s">
        <v>531</v>
      </c>
      <c r="J14" s="1061" t="s">
        <v>528</v>
      </c>
    </row>
    <row r="15" spans="1:12" s="888" customFormat="1">
      <c r="A15" s="1064" t="s">
        <v>59</v>
      </c>
      <c r="B15" s="1065" t="s">
        <v>330</v>
      </c>
      <c r="C15" s="1065" t="s">
        <v>537</v>
      </c>
      <c r="D15" s="1065" t="s">
        <v>740</v>
      </c>
      <c r="E15" s="1065" t="s">
        <v>741</v>
      </c>
      <c r="F15" s="1065" t="s">
        <v>538</v>
      </c>
      <c r="G15" s="1065" t="s">
        <v>530</v>
      </c>
      <c r="H15" s="1065" t="s">
        <v>538</v>
      </c>
      <c r="I15" s="1065" t="s">
        <v>538</v>
      </c>
      <c r="J15" s="1066" t="s">
        <v>530</v>
      </c>
    </row>
    <row r="16" spans="1:12" s="888" customFormat="1">
      <c r="A16" s="1057"/>
      <c r="B16" s="1058"/>
      <c r="C16" s="1058"/>
      <c r="D16" s="997"/>
      <c r="E16" s="997"/>
      <c r="F16" s="1058"/>
      <c r="G16" s="1058"/>
      <c r="H16" s="1058"/>
      <c r="I16" s="1058"/>
      <c r="J16" s="1060"/>
    </row>
    <row r="17" spans="1:12" s="888" customFormat="1">
      <c r="A17" s="1057"/>
      <c r="B17" s="1058"/>
      <c r="C17" s="1058"/>
      <c r="D17" s="1059" t="s">
        <v>31</v>
      </c>
      <c r="E17" s="997"/>
      <c r="F17" s="1058"/>
      <c r="G17" s="997" t="s">
        <v>839</v>
      </c>
      <c r="H17" s="997"/>
      <c r="I17" s="997" t="s">
        <v>1756</v>
      </c>
      <c r="J17" s="1060" t="s">
        <v>1758</v>
      </c>
    </row>
    <row r="18" spans="1:12" s="888" customFormat="1" ht="26.25" customHeight="1">
      <c r="A18" s="1067"/>
      <c r="B18" s="1068"/>
      <c r="C18" s="1068"/>
      <c r="D18" s="1069" t="s">
        <v>821</v>
      </c>
      <c r="E18" s="1070" t="s">
        <v>943</v>
      </c>
      <c r="F18" s="1071" t="s">
        <v>1755</v>
      </c>
      <c r="G18" s="997" t="s">
        <v>742</v>
      </c>
      <c r="H18" s="997" t="s">
        <v>539</v>
      </c>
      <c r="I18" s="997" t="s">
        <v>1757</v>
      </c>
      <c r="J18" s="1072" t="s">
        <v>1759</v>
      </c>
    </row>
    <row r="19" spans="1:12" s="888" customFormat="1">
      <c r="A19" s="1073"/>
      <c r="B19" s="1074"/>
      <c r="C19" s="1074"/>
      <c r="D19" s="1074"/>
      <c r="E19" s="1074"/>
      <c r="F19" s="1074"/>
      <c r="G19" s="1074"/>
      <c r="H19" s="1074"/>
      <c r="I19" s="1074"/>
      <c r="J19" s="1075"/>
    </row>
    <row r="20" spans="1:12" s="888" customFormat="1">
      <c r="A20" s="1076" t="s">
        <v>471</v>
      </c>
      <c r="B20" s="970" t="str">
        <f>+SUMMARY!B42</f>
        <v>NTAC Facilities</v>
      </c>
      <c r="C20" s="972">
        <v>0</v>
      </c>
      <c r="D20" s="972">
        <v>241286764.81999996</v>
      </c>
      <c r="E20" s="1077">
        <f>'F1-Proj RR'!R47</f>
        <v>300560956.06580365</v>
      </c>
      <c r="F20" s="1078">
        <f>+E20-D20</f>
        <v>59274191.245803684</v>
      </c>
      <c r="G20" s="1077">
        <f>I74</f>
        <v>461337.63769980287</v>
      </c>
      <c r="H20" s="1079">
        <f>+H$68</f>
        <v>2.7526315789473685E-3</v>
      </c>
      <c r="I20" s="1078">
        <f>(F20+G20)*H20*24</f>
        <v>3946317.6765565043</v>
      </c>
      <c r="J20" s="1080">
        <f>+I20+F20+G20</f>
        <v>63681846.560059994</v>
      </c>
    </row>
    <row r="21" spans="1:12" s="888" customFormat="1">
      <c r="A21" s="1081" t="s">
        <v>473</v>
      </c>
      <c r="B21" s="1082" t="s">
        <v>1976</v>
      </c>
      <c r="C21" s="1077">
        <v>0</v>
      </c>
      <c r="D21" s="1077">
        <v>8617424.7899999991</v>
      </c>
      <c r="E21" s="1083">
        <f>'F1-Proj RR'!R48</f>
        <v>8453556.5044889729</v>
      </c>
      <c r="F21" s="1078">
        <f>+E21-D21</f>
        <v>-163868.28551102616</v>
      </c>
      <c r="G21" s="1083">
        <f>I75</f>
        <v>11672.083673575244</v>
      </c>
      <c r="H21" s="1079">
        <f>+H$68</f>
        <v>2.7526315789473685E-3</v>
      </c>
      <c r="I21" s="1078">
        <f>(F21+G21)*H21*24</f>
        <v>-10054.561712966757</v>
      </c>
      <c r="J21" s="1080">
        <f>+I21+F21+G21</f>
        <v>-162250.76355041767</v>
      </c>
    </row>
    <row r="22" spans="1:12" s="888" customFormat="1">
      <c r="A22" s="1081" t="s">
        <v>494</v>
      </c>
      <c r="B22" s="971" t="s">
        <v>2010</v>
      </c>
      <c r="C22" s="1077">
        <v>0</v>
      </c>
      <c r="D22" s="1077">
        <v>1014383.4700000002</v>
      </c>
      <c r="E22" s="1083">
        <f>'F1-Proj RR'!R49</f>
        <v>6471886.7584277987</v>
      </c>
      <c r="F22" s="1078">
        <f>+E22-D22</f>
        <v>5457503.2884277981</v>
      </c>
      <c r="G22" s="1083">
        <f>I76</f>
        <v>88.412196159120796</v>
      </c>
      <c r="H22" s="1079">
        <f>+H$68</f>
        <v>2.7526315789473685E-3</v>
      </c>
      <c r="I22" s="1078">
        <f>(F22+G22)*H22*24</f>
        <v>360545.74224332586</v>
      </c>
      <c r="J22" s="1080">
        <f>+I22+F22+G22</f>
        <v>5818137.4428672837</v>
      </c>
    </row>
    <row r="23" spans="1:12" s="888" customFormat="1">
      <c r="A23" s="1081" t="s">
        <v>495</v>
      </c>
      <c r="B23" s="1082">
        <v>0</v>
      </c>
      <c r="C23" s="1077">
        <v>0</v>
      </c>
      <c r="D23" s="1077">
        <v>0</v>
      </c>
      <c r="E23" s="1084">
        <v>0</v>
      </c>
      <c r="F23" s="1078">
        <f>+E23-D23</f>
        <v>0</v>
      </c>
      <c r="G23" s="1077">
        <v>0</v>
      </c>
      <c r="H23" s="1077">
        <f>+H$68</f>
        <v>2.7526315789473685E-3</v>
      </c>
      <c r="I23" s="1078">
        <f>(F23+G23)*H23*24</f>
        <v>0</v>
      </c>
      <c r="J23" s="1080">
        <f>+I23+F23+G23</f>
        <v>0</v>
      </c>
    </row>
    <row r="24" spans="1:12" s="888" customFormat="1">
      <c r="A24" s="1081" t="s">
        <v>496</v>
      </c>
      <c r="B24" s="1082">
        <v>0</v>
      </c>
      <c r="C24" s="1077">
        <v>0</v>
      </c>
      <c r="D24" s="1077">
        <v>0</v>
      </c>
      <c r="E24" s="1084">
        <v>0</v>
      </c>
      <c r="F24" s="1078">
        <f>+E24-D24</f>
        <v>0</v>
      </c>
      <c r="G24" s="1077">
        <v>0</v>
      </c>
      <c r="H24" s="1077">
        <f>+H$68</f>
        <v>2.7526315789473685E-3</v>
      </c>
      <c r="I24" s="1078">
        <f>(F24+G24)*H24*24</f>
        <v>0</v>
      </c>
      <c r="J24" s="1080">
        <f>+I24+F24+G24</f>
        <v>0</v>
      </c>
    </row>
    <row r="25" spans="1:12" s="888" customFormat="1">
      <c r="A25" s="1062" t="s">
        <v>541</v>
      </c>
      <c r="B25" s="1082"/>
      <c r="C25" s="1077"/>
      <c r="D25" s="1077"/>
      <c r="E25" s="1077"/>
      <c r="F25" s="1078"/>
      <c r="G25" s="1077"/>
      <c r="H25" s="1077"/>
      <c r="I25" s="1078"/>
      <c r="J25" s="1080"/>
    </row>
    <row r="26" spans="1:12" s="888" customFormat="1">
      <c r="A26" s="1062" t="s">
        <v>541</v>
      </c>
      <c r="B26" s="1085"/>
      <c r="C26" s="1085"/>
      <c r="D26" s="1085"/>
      <c r="E26" s="1085"/>
      <c r="F26" s="1078"/>
      <c r="G26" s="1077"/>
      <c r="H26" s="1082"/>
      <c r="I26" s="1078"/>
      <c r="J26" s="1080"/>
    </row>
    <row r="27" spans="1:12" s="888" customFormat="1">
      <c r="A27" s="1064"/>
      <c r="B27" s="1068"/>
      <c r="C27" s="1068"/>
      <c r="D27" s="1068"/>
      <c r="E27" s="1068"/>
      <c r="F27" s="1068"/>
      <c r="G27" s="1068"/>
      <c r="H27" s="1068"/>
      <c r="I27" s="1068"/>
      <c r="J27" s="1086"/>
    </row>
    <row r="28" spans="1:12" s="888" customFormat="1" ht="15">
      <c r="A28" s="1087">
        <v>2</v>
      </c>
      <c r="B28" s="1088" t="s">
        <v>542</v>
      </c>
      <c r="C28" s="1088"/>
      <c r="D28" s="1089"/>
      <c r="E28" s="1089"/>
      <c r="F28" s="1090">
        <f>SUM(F20:F27)</f>
        <v>64567826.24872046</v>
      </c>
      <c r="G28" s="1090"/>
      <c r="H28" s="1089"/>
      <c r="I28" s="1091">
        <f>SUM(I20:I27)</f>
        <v>4296808.8570868634</v>
      </c>
      <c r="J28" s="1090">
        <f>SUM(J20:J26)</f>
        <v>69337733.239376858</v>
      </c>
      <c r="K28" s="1092"/>
    </row>
    <row r="29" spans="1:12" s="888" customFormat="1" ht="15">
      <c r="A29" s="1087"/>
      <c r="B29" s="1088"/>
      <c r="C29" s="1088"/>
      <c r="D29" s="1088"/>
      <c r="E29" s="1088"/>
      <c r="F29" s="1088"/>
      <c r="G29" s="1088"/>
      <c r="H29" s="1088"/>
      <c r="I29" s="1088"/>
      <c r="J29" s="1088"/>
      <c r="K29" s="1092"/>
      <c r="L29" s="1092"/>
    </row>
    <row r="30" spans="1:12" s="888" customFormat="1">
      <c r="A30" s="1087">
        <v>3</v>
      </c>
      <c r="B30" s="1088" t="s">
        <v>543</v>
      </c>
      <c r="C30" s="1088"/>
      <c r="D30" s="1088"/>
      <c r="E30" s="1088"/>
      <c r="F30" s="1090"/>
      <c r="G30" s="1090"/>
      <c r="H30" s="1088"/>
      <c r="I30" s="1089"/>
      <c r="J30" s="1090">
        <f>+J28</f>
        <v>69337733.239376858</v>
      </c>
      <c r="K30" s="1089"/>
      <c r="L30" s="1089"/>
    </row>
    <row r="31" spans="1:12" s="888" customFormat="1">
      <c r="A31" s="1087"/>
      <c r="B31" s="1088"/>
      <c r="C31" s="1088"/>
      <c r="D31" s="1088"/>
      <c r="E31" s="1088"/>
      <c r="F31" s="1090"/>
      <c r="G31" s="1090"/>
      <c r="H31" s="1088"/>
      <c r="I31" s="1089"/>
      <c r="J31" s="1093"/>
      <c r="K31" s="1089"/>
      <c r="L31" s="1089"/>
    </row>
    <row r="32" spans="1:12" s="888" customFormat="1">
      <c r="A32" s="1087"/>
      <c r="B32" s="827" t="s">
        <v>571</v>
      </c>
      <c r="C32" s="1088"/>
      <c r="D32" s="2028"/>
      <c r="E32" s="2028"/>
      <c r="F32" s="2028"/>
      <c r="G32" s="2028"/>
      <c r="H32" s="2028"/>
      <c r="I32" s="2028"/>
      <c r="J32" s="2028"/>
      <c r="K32" s="2028"/>
      <c r="L32" s="1089"/>
    </row>
    <row r="33" spans="1:14" s="888" customFormat="1">
      <c r="A33" s="1087"/>
      <c r="B33" s="888" t="s">
        <v>1111</v>
      </c>
      <c r="C33" s="1088"/>
      <c r="D33" s="1088"/>
      <c r="E33" s="1088"/>
      <c r="F33" s="1090"/>
      <c r="G33" s="1090"/>
      <c r="H33" s="1088"/>
      <c r="I33" s="1089"/>
      <c r="J33" s="1093"/>
      <c r="K33" s="1089"/>
      <c r="L33" s="1089"/>
    </row>
    <row r="34" spans="1:14" s="888" customFormat="1">
      <c r="A34" s="1087"/>
      <c r="B34" s="1094" t="s">
        <v>1760</v>
      </c>
      <c r="C34" s="1088"/>
      <c r="D34" s="1088"/>
      <c r="E34" s="1088"/>
      <c r="F34" s="1090"/>
      <c r="G34" s="1090"/>
      <c r="H34" s="1088"/>
      <c r="I34" s="1089"/>
      <c r="J34" s="1093"/>
      <c r="K34" s="1089"/>
      <c r="L34" s="1089"/>
    </row>
    <row r="35" spans="1:14" s="888" customFormat="1">
      <c r="A35" s="1087"/>
      <c r="B35" s="888" t="s">
        <v>1818</v>
      </c>
      <c r="C35" s="1088"/>
      <c r="D35" s="1088"/>
      <c r="E35" s="1088"/>
      <c r="F35" s="1090"/>
      <c r="G35" s="1090"/>
      <c r="H35" s="1088"/>
      <c r="I35" s="1089"/>
      <c r="J35" s="1093"/>
      <c r="K35" s="1089"/>
      <c r="L35" s="1089"/>
    </row>
    <row r="36" spans="1:14" s="888" customFormat="1">
      <c r="A36" s="1087"/>
      <c r="C36" s="1088"/>
      <c r="D36" s="1088"/>
      <c r="E36" s="1088"/>
      <c r="F36" s="1090"/>
      <c r="G36" s="1090"/>
      <c r="H36" s="1088"/>
      <c r="I36" s="1089"/>
      <c r="J36" s="1093"/>
      <c r="K36" s="1089"/>
      <c r="L36" s="1089"/>
    </row>
    <row r="37" spans="1:14" s="1003" customFormat="1" ht="15.6">
      <c r="A37" s="1095"/>
      <c r="B37" s="164"/>
      <c r="C37" s="1096"/>
      <c r="D37" s="1096"/>
      <c r="E37" s="1096"/>
      <c r="F37" s="1096"/>
      <c r="G37" s="1096"/>
      <c r="H37" s="1096"/>
      <c r="I37" s="1096"/>
      <c r="J37" s="1096"/>
      <c r="K37" s="1097"/>
      <c r="L37" s="1097"/>
    </row>
    <row r="38" spans="1:14" ht="21">
      <c r="A38" s="361" t="s">
        <v>941</v>
      </c>
      <c r="B38" s="1003"/>
      <c r="L38" s="1003"/>
    </row>
    <row r="39" spans="1:14" ht="15.6">
      <c r="E39" s="899" t="str">
        <f>+A5</f>
        <v>Schedule F3</v>
      </c>
      <c r="J39" s="894" t="s">
        <v>602</v>
      </c>
      <c r="L39" s="1003"/>
    </row>
    <row r="40" spans="1:14" ht="15.6">
      <c r="E40" s="1098" t="s">
        <v>525</v>
      </c>
      <c r="L40" s="1003"/>
    </row>
    <row r="41" spans="1:14" ht="15.6">
      <c r="E41" s="1099" t="str">
        <f>+A7</f>
        <v>Incentives</v>
      </c>
      <c r="L41" s="1003"/>
    </row>
    <row r="42" spans="1:14" ht="13.8">
      <c r="L42" s="1003"/>
    </row>
    <row r="43" spans="1:14" ht="13.8">
      <c r="L43" s="1003"/>
    </row>
    <row r="44" spans="1:14" s="888" customFormat="1">
      <c r="A44" s="1100" t="s">
        <v>544</v>
      </c>
    </row>
    <row r="45" spans="1:14" s="888" customFormat="1"/>
    <row r="46" spans="1:14" s="888" customFormat="1"/>
    <row r="47" spans="1:14" s="888" customFormat="1" ht="27.75" customHeight="1">
      <c r="A47" s="1101">
        <f>+A30+1</f>
        <v>4</v>
      </c>
      <c r="B47" s="1102" t="s">
        <v>545</v>
      </c>
      <c r="C47" s="1103"/>
      <c r="D47" s="1103" t="s">
        <v>191</v>
      </c>
      <c r="E47" s="1104" t="s">
        <v>546</v>
      </c>
      <c r="F47" s="1105"/>
      <c r="G47" s="1105"/>
      <c r="H47" s="1105"/>
      <c r="I47" s="1105"/>
      <c r="J47" s="1105"/>
      <c r="K47" s="1027"/>
      <c r="L47" s="1027"/>
      <c r="M47" s="1027"/>
      <c r="N47" s="1027"/>
    </row>
    <row r="48" spans="1:14" s="888" customFormat="1" ht="12.75" customHeight="1">
      <c r="A48" s="1101">
        <f>+A47+1</f>
        <v>5</v>
      </c>
      <c r="B48" s="1105" t="s">
        <v>547</v>
      </c>
      <c r="C48" s="1106"/>
      <c r="D48" s="1423">
        <v>2021</v>
      </c>
      <c r="E48" s="1424">
        <v>2.8E-3</v>
      </c>
      <c r="F48" s="1107"/>
      <c r="G48" s="1107"/>
      <c r="H48" s="1107"/>
      <c r="I48" s="1105"/>
      <c r="J48" s="1105"/>
      <c r="K48" s="1027"/>
      <c r="L48" s="1027"/>
      <c r="M48" s="1027"/>
      <c r="N48" s="1027"/>
    </row>
    <row r="49" spans="1:14" s="888" customFormat="1" ht="12.75" customHeight="1">
      <c r="A49" s="1101">
        <f t="shared" ref="A49:A66" si="0">+A48+1</f>
        <v>6</v>
      </c>
      <c r="B49" s="1105" t="s">
        <v>548</v>
      </c>
      <c r="C49" s="1106"/>
      <c r="D49" s="1423">
        <v>2021</v>
      </c>
      <c r="E49" s="1424">
        <v>2.5000000000000001E-3</v>
      </c>
      <c r="F49" s="1107"/>
      <c r="G49" s="1107"/>
      <c r="H49" s="1107"/>
      <c r="I49" s="1105"/>
      <c r="J49" s="1105"/>
      <c r="K49" s="1027"/>
      <c r="L49" s="1027"/>
      <c r="M49" s="1027"/>
      <c r="N49" s="1027"/>
    </row>
    <row r="50" spans="1:14" s="888" customFormat="1" ht="12.75" customHeight="1">
      <c r="A50" s="1101">
        <f t="shared" si="0"/>
        <v>7</v>
      </c>
      <c r="B50" s="1105" t="s">
        <v>549</v>
      </c>
      <c r="C50" s="1106"/>
      <c r="D50" s="1423">
        <v>2021</v>
      </c>
      <c r="E50" s="1424">
        <v>2.8E-3</v>
      </c>
      <c r="F50" s="1107"/>
      <c r="G50" s="1107"/>
      <c r="H50" s="1107"/>
      <c r="I50" s="1105"/>
      <c r="J50" s="1105"/>
      <c r="K50" s="1027"/>
      <c r="L50" s="1027"/>
      <c r="M50" s="1027"/>
      <c r="N50" s="1027"/>
    </row>
    <row r="51" spans="1:14" s="888" customFormat="1" ht="12.75" customHeight="1">
      <c r="A51" s="1101">
        <f t="shared" si="0"/>
        <v>8</v>
      </c>
      <c r="B51" s="1105" t="s">
        <v>550</v>
      </c>
      <c r="C51" s="1106"/>
      <c r="D51" s="1423">
        <v>2021</v>
      </c>
      <c r="E51" s="1424">
        <v>2.7000000000000001E-3</v>
      </c>
      <c r="F51" s="1107"/>
      <c r="G51" s="1107"/>
      <c r="H51" s="1107"/>
      <c r="I51" s="1105"/>
      <c r="J51" s="1105"/>
      <c r="K51" s="1027"/>
      <c r="L51" s="1027"/>
      <c r="M51" s="1027"/>
      <c r="N51" s="1027"/>
    </row>
    <row r="52" spans="1:14" s="888" customFormat="1" ht="12.75" customHeight="1">
      <c r="A52" s="1101">
        <f t="shared" si="0"/>
        <v>9</v>
      </c>
      <c r="B52" s="1105" t="s">
        <v>551</v>
      </c>
      <c r="C52" s="1106"/>
      <c r="D52" s="1423">
        <v>2021</v>
      </c>
      <c r="E52" s="1424">
        <v>2.8E-3</v>
      </c>
      <c r="F52" s="1107"/>
      <c r="G52" s="1107"/>
      <c r="H52" s="1107"/>
      <c r="I52" s="1105"/>
      <c r="J52" s="1105"/>
      <c r="K52" s="1027"/>
      <c r="L52" s="1027"/>
      <c r="M52" s="1027"/>
      <c r="N52" s="1027"/>
    </row>
    <row r="53" spans="1:14" s="888" customFormat="1" ht="12.75" customHeight="1">
      <c r="A53" s="1101">
        <f t="shared" si="0"/>
        <v>10</v>
      </c>
      <c r="B53" s="1105" t="s">
        <v>552</v>
      </c>
      <c r="C53" s="1106"/>
      <c r="D53" s="1423">
        <v>2021</v>
      </c>
      <c r="E53" s="1424">
        <v>2.7000000000000001E-3</v>
      </c>
      <c r="F53" s="1107"/>
      <c r="G53" s="1107"/>
      <c r="H53" s="1107"/>
      <c r="I53" s="1105"/>
      <c r="J53" s="1105"/>
      <c r="K53" s="1027"/>
      <c r="L53" s="1027"/>
      <c r="M53" s="1027"/>
      <c r="N53" s="1027"/>
    </row>
    <row r="54" spans="1:14" s="888" customFormat="1" ht="12.75" customHeight="1">
      <c r="A54" s="1101">
        <f t="shared" si="0"/>
        <v>11</v>
      </c>
      <c r="B54" s="1105" t="s">
        <v>553</v>
      </c>
      <c r="C54" s="1106"/>
      <c r="D54" s="1423">
        <v>2021</v>
      </c>
      <c r="E54" s="1424">
        <v>2.8E-3</v>
      </c>
      <c r="F54" s="1107"/>
      <c r="G54" s="1107"/>
      <c r="H54" s="1107"/>
      <c r="I54" s="1105"/>
      <c r="J54" s="1105"/>
      <c r="K54" s="1027"/>
      <c r="L54" s="1027"/>
      <c r="M54" s="1027"/>
      <c r="N54" s="1027"/>
    </row>
    <row r="55" spans="1:14" s="888" customFormat="1" ht="12.75" customHeight="1">
      <c r="A55" s="1101">
        <f t="shared" si="0"/>
        <v>12</v>
      </c>
      <c r="B55" s="1105" t="s">
        <v>554</v>
      </c>
      <c r="C55" s="1106"/>
      <c r="D55" s="1423">
        <v>2021</v>
      </c>
      <c r="E55" s="1424">
        <v>2.8E-3</v>
      </c>
      <c r="F55" s="1107"/>
      <c r="G55" s="1107"/>
      <c r="H55" s="1107"/>
      <c r="I55" s="1105"/>
      <c r="J55" s="1105"/>
      <c r="K55" s="1027"/>
      <c r="L55" s="1027"/>
      <c r="M55" s="1027"/>
      <c r="N55" s="1027"/>
    </row>
    <row r="56" spans="1:14" s="888" customFormat="1" ht="12.75" customHeight="1">
      <c r="A56" s="1101">
        <f t="shared" si="0"/>
        <v>13</v>
      </c>
      <c r="B56" s="1105" t="s">
        <v>555</v>
      </c>
      <c r="C56" s="1106"/>
      <c r="D56" s="1423">
        <v>2021</v>
      </c>
      <c r="E56" s="1424">
        <v>2.7000000000000001E-3</v>
      </c>
      <c r="F56" s="1107"/>
      <c r="G56" s="1107"/>
      <c r="H56" s="1107"/>
      <c r="I56" s="1105"/>
      <c r="J56" s="1105"/>
      <c r="K56" s="1027"/>
      <c r="L56" s="1027"/>
      <c r="M56" s="1027"/>
      <c r="N56" s="1027"/>
    </row>
    <row r="57" spans="1:14" s="888" customFormat="1" ht="12.75" customHeight="1">
      <c r="A57" s="1101">
        <f t="shared" si="0"/>
        <v>14</v>
      </c>
      <c r="B57" s="1105" t="s">
        <v>556</v>
      </c>
      <c r="C57" s="1106"/>
      <c r="D57" s="1423">
        <v>2021</v>
      </c>
      <c r="E57" s="1424">
        <v>2.8E-3</v>
      </c>
      <c r="F57" s="1107"/>
      <c r="G57" s="1107"/>
      <c r="H57" s="1107"/>
      <c r="I57" s="1105"/>
      <c r="J57" s="1105"/>
      <c r="K57" s="1027"/>
      <c r="L57" s="1027"/>
      <c r="M57" s="1027"/>
      <c r="N57" s="1027"/>
    </row>
    <row r="58" spans="1:14" s="888" customFormat="1" ht="12.75" customHeight="1">
      <c r="A58" s="1101">
        <f t="shared" si="0"/>
        <v>15</v>
      </c>
      <c r="B58" s="1105" t="s">
        <v>557</v>
      </c>
      <c r="C58" s="1106"/>
      <c r="D58" s="1423">
        <v>2021</v>
      </c>
      <c r="E58" s="1424">
        <v>2.7000000000000001E-3</v>
      </c>
      <c r="F58" s="1107"/>
      <c r="G58" s="1107"/>
      <c r="H58" s="1107"/>
      <c r="I58" s="1105"/>
      <c r="J58" s="1105"/>
      <c r="K58" s="1027"/>
      <c r="L58" s="1027"/>
      <c r="M58" s="1027"/>
      <c r="N58" s="1027"/>
    </row>
    <row r="59" spans="1:14" s="888" customFormat="1" ht="15">
      <c r="A59" s="1101">
        <f t="shared" si="0"/>
        <v>16</v>
      </c>
      <c r="B59" s="1105" t="s">
        <v>558</v>
      </c>
      <c r="C59" s="1106"/>
      <c r="D59" s="1423">
        <v>2021</v>
      </c>
      <c r="E59" s="1424">
        <v>2.8E-3</v>
      </c>
      <c r="F59" s="1107"/>
      <c r="G59" s="1107"/>
      <c r="H59" s="1107"/>
      <c r="I59" s="1105"/>
      <c r="J59" s="1105"/>
      <c r="K59" s="1027"/>
      <c r="L59" s="1027"/>
      <c r="M59" s="1027"/>
      <c r="N59" s="1027"/>
    </row>
    <row r="60" spans="1:14" s="888" customFormat="1" ht="15">
      <c r="A60" s="1101">
        <f t="shared" si="0"/>
        <v>17</v>
      </c>
      <c r="B60" s="1105" t="s">
        <v>547</v>
      </c>
      <c r="C60" s="1106"/>
      <c r="D60" s="1423">
        <v>2022</v>
      </c>
      <c r="E60" s="1424">
        <v>2.8E-3</v>
      </c>
      <c r="F60" s="1107"/>
      <c r="G60" s="1107"/>
      <c r="H60" s="1107"/>
      <c r="I60" s="1105"/>
      <c r="J60" s="1105"/>
      <c r="K60" s="1027"/>
      <c r="L60" s="1027"/>
      <c r="M60" s="1027"/>
      <c r="N60" s="1027"/>
    </row>
    <row r="61" spans="1:14" s="888" customFormat="1" ht="15">
      <c r="A61" s="1101">
        <f t="shared" si="0"/>
        <v>18</v>
      </c>
      <c r="B61" s="1105" t="s">
        <v>548</v>
      </c>
      <c r="C61" s="1106"/>
      <c r="D61" s="1423">
        <v>2022</v>
      </c>
      <c r="E61" s="1424">
        <v>2.5000000000000001E-3</v>
      </c>
      <c r="F61" s="1107"/>
      <c r="G61" s="1107"/>
      <c r="H61" s="1107"/>
      <c r="I61" s="1105"/>
      <c r="J61" s="1105"/>
      <c r="K61" s="1027"/>
      <c r="L61" s="1027"/>
      <c r="M61" s="1027"/>
      <c r="N61" s="1027"/>
    </row>
    <row r="62" spans="1:14" s="888" customFormat="1" ht="15">
      <c r="A62" s="1101">
        <f t="shared" si="0"/>
        <v>19</v>
      </c>
      <c r="B62" s="1105" t="s">
        <v>549</v>
      </c>
      <c r="C62" s="1106"/>
      <c r="D62" s="1423">
        <v>2022</v>
      </c>
      <c r="E62" s="1424">
        <v>2.8E-3</v>
      </c>
      <c r="F62" s="1107"/>
      <c r="G62" s="1107"/>
      <c r="H62" s="1107"/>
      <c r="I62" s="1105"/>
      <c r="J62" s="1105"/>
      <c r="K62" s="1027"/>
      <c r="L62" s="1027"/>
      <c r="M62" s="1027"/>
      <c r="N62" s="1027"/>
    </row>
    <row r="63" spans="1:14" s="888" customFormat="1" ht="15">
      <c r="A63" s="1101">
        <f t="shared" si="0"/>
        <v>20</v>
      </c>
      <c r="B63" s="1105" t="s">
        <v>550</v>
      </c>
      <c r="C63" s="1106"/>
      <c r="D63" s="1423">
        <v>2022</v>
      </c>
      <c r="E63" s="1424">
        <v>2.7000000000000001E-3</v>
      </c>
      <c r="F63" s="1107"/>
      <c r="G63" s="1107"/>
      <c r="H63" s="1107"/>
      <c r="I63" s="1105"/>
      <c r="J63" s="1105"/>
      <c r="K63" s="1027"/>
      <c r="L63" s="1027"/>
      <c r="M63" s="1027"/>
      <c r="N63" s="1027"/>
    </row>
    <row r="64" spans="1:14" s="888" customFormat="1" ht="15">
      <c r="A64" s="1101">
        <f t="shared" si="0"/>
        <v>21</v>
      </c>
      <c r="B64" s="1105" t="s">
        <v>551</v>
      </c>
      <c r="C64" s="1106"/>
      <c r="D64" s="1423">
        <v>2022</v>
      </c>
      <c r="E64" s="1424">
        <v>2.8E-3</v>
      </c>
      <c r="F64" s="1107"/>
      <c r="G64" s="1107"/>
      <c r="H64" s="1107"/>
      <c r="I64" s="1105"/>
      <c r="J64" s="1105"/>
      <c r="K64" s="1027"/>
      <c r="L64" s="1027"/>
      <c r="M64" s="1027"/>
      <c r="N64" s="1027"/>
    </row>
    <row r="65" spans="1:14" s="888" customFormat="1" ht="13.5" customHeight="1">
      <c r="A65" s="1101">
        <f t="shared" si="0"/>
        <v>22</v>
      </c>
      <c r="B65" s="1105" t="s">
        <v>552</v>
      </c>
      <c r="C65" s="1105"/>
      <c r="D65" s="1423">
        <v>2022</v>
      </c>
      <c r="E65" s="1424">
        <v>2.7000000000000001E-3</v>
      </c>
      <c r="F65" s="1107"/>
      <c r="G65" s="1107"/>
      <c r="H65" s="1107"/>
      <c r="I65" s="1105"/>
      <c r="J65" s="1105"/>
      <c r="K65" s="1027"/>
      <c r="L65" s="1027"/>
      <c r="M65" s="1027"/>
      <c r="N65" s="1027"/>
    </row>
    <row r="66" spans="1:14" s="888" customFormat="1" ht="13.5" customHeight="1">
      <c r="A66" s="1101">
        <f t="shared" si="0"/>
        <v>23</v>
      </c>
      <c r="B66" s="1105" t="s">
        <v>553</v>
      </c>
      <c r="C66" s="1108"/>
      <c r="D66" s="1423">
        <v>2022</v>
      </c>
      <c r="E66" s="1424">
        <v>3.0999999999999999E-3</v>
      </c>
      <c r="F66" s="1107"/>
      <c r="G66" s="1107"/>
      <c r="H66" s="1107"/>
      <c r="I66" s="1105"/>
      <c r="J66" s="1105"/>
      <c r="K66" s="1027"/>
      <c r="L66" s="1027"/>
      <c r="M66" s="1027"/>
      <c r="N66" s="1027"/>
    </row>
    <row r="67" spans="1:14" s="888" customFormat="1" ht="13.5" customHeight="1">
      <c r="A67" s="1101"/>
      <c r="B67" s="1105"/>
      <c r="C67" s="1108"/>
      <c r="D67" s="1425"/>
      <c r="E67" s="1426">
        <f>SUM(E48:E66)</f>
        <v>5.2299999999999999E-2</v>
      </c>
      <c r="F67" s="1107"/>
      <c r="G67" s="1107"/>
      <c r="H67" s="1107"/>
      <c r="I67" s="1105"/>
      <c r="J67" s="1105"/>
      <c r="K67" s="1027"/>
      <c r="L67" s="1027"/>
      <c r="M67" s="1027"/>
      <c r="N67" s="1027"/>
    </row>
    <row r="68" spans="1:14" s="888" customFormat="1" ht="15">
      <c r="A68" s="1101">
        <f>+A66+1</f>
        <v>24</v>
      </c>
      <c r="B68" s="1109" t="s">
        <v>559</v>
      </c>
      <c r="C68" s="1110"/>
      <c r="D68" s="1111"/>
      <c r="E68" s="1112">
        <f>E67/19</f>
        <v>2.7526315789473685E-3</v>
      </c>
      <c r="F68" s="1107"/>
      <c r="G68" s="1107"/>
      <c r="H68" s="1113">
        <f>E68</f>
        <v>2.7526315789473685E-3</v>
      </c>
      <c r="I68" s="1105"/>
      <c r="J68" s="1105"/>
      <c r="K68" s="1027"/>
      <c r="L68" s="1027"/>
      <c r="M68" s="1027"/>
      <c r="N68" s="1027"/>
    </row>
    <row r="69" spans="1:14" s="888" customFormat="1" ht="15">
      <c r="A69" s="1101"/>
      <c r="B69" s="1105"/>
      <c r="C69" s="1105"/>
      <c r="D69" s="1107"/>
      <c r="E69" s="1107"/>
      <c r="F69" s="1107"/>
      <c r="G69" s="1107"/>
      <c r="H69" s="1107"/>
      <c r="I69" s="1105"/>
      <c r="J69" s="1105"/>
      <c r="K69" s="1027"/>
      <c r="L69" s="1027"/>
      <c r="M69" s="1027"/>
      <c r="N69" s="1027"/>
    </row>
    <row r="70" spans="1:14" s="888" customFormat="1" ht="15">
      <c r="A70" s="1114" t="s">
        <v>560</v>
      </c>
      <c r="C70" s="1105"/>
      <c r="D70" s="1107"/>
      <c r="E70" s="1107"/>
      <c r="F70" s="1107"/>
      <c r="G70" s="1107"/>
      <c r="H70" s="1107"/>
      <c r="I70" s="1105"/>
      <c r="J70" s="1105"/>
      <c r="K70" s="1027"/>
      <c r="L70" s="1027"/>
      <c r="M70" s="1027"/>
      <c r="N70" s="1027"/>
    </row>
    <row r="71" spans="1:14" s="888" customFormat="1" ht="15">
      <c r="A71" s="1101"/>
      <c r="B71" s="997" t="s">
        <v>101</v>
      </c>
      <c r="C71" s="1103" t="s">
        <v>102</v>
      </c>
      <c r="D71" s="1103"/>
      <c r="E71" s="1103"/>
      <c r="F71" s="1103"/>
      <c r="G71" s="1103" t="s">
        <v>291</v>
      </c>
      <c r="H71" s="1103" t="s">
        <v>526</v>
      </c>
      <c r="I71" s="1103" t="s">
        <v>527</v>
      </c>
      <c r="J71" s="1105"/>
      <c r="K71" s="1027"/>
      <c r="L71" s="1027"/>
      <c r="M71" s="1027"/>
      <c r="N71" s="1027"/>
    </row>
    <row r="72" spans="1:14" s="888" customFormat="1" ht="15">
      <c r="A72" s="1101"/>
      <c r="B72" s="1115" t="s">
        <v>561</v>
      </c>
      <c r="C72" s="2018" t="s">
        <v>530</v>
      </c>
      <c r="D72" s="2019"/>
      <c r="E72" s="2019"/>
      <c r="F72" s="2020"/>
      <c r="G72" s="1116" t="s">
        <v>172</v>
      </c>
      <c r="H72" s="1116" t="s">
        <v>531</v>
      </c>
      <c r="I72" s="1116" t="s">
        <v>562</v>
      </c>
      <c r="J72" s="1105"/>
      <c r="K72" s="1027"/>
      <c r="L72" s="1027"/>
      <c r="M72" s="1027"/>
      <c r="N72" s="1027"/>
    </row>
    <row r="73" spans="1:14" s="888" customFormat="1" ht="15">
      <c r="A73" s="1101"/>
      <c r="B73" s="1117" t="s">
        <v>540</v>
      </c>
      <c r="C73" s="2021" t="s">
        <v>563</v>
      </c>
      <c r="D73" s="2022"/>
      <c r="E73" s="2022"/>
      <c r="F73" s="2023"/>
      <c r="G73" s="1118" t="s">
        <v>564</v>
      </c>
      <c r="H73" s="1119" t="s">
        <v>565</v>
      </c>
      <c r="I73" s="1118" t="s">
        <v>566</v>
      </c>
      <c r="J73" s="1105"/>
      <c r="K73" s="1027"/>
      <c r="L73" s="1027"/>
      <c r="M73" s="1027"/>
      <c r="N73" s="1027"/>
    </row>
    <row r="74" spans="1:14" s="888" customFormat="1" ht="15">
      <c r="A74" s="1101">
        <v>25</v>
      </c>
      <c r="B74" s="1120">
        <v>0</v>
      </c>
      <c r="C74" s="2024" t="s">
        <v>2041</v>
      </c>
      <c r="D74" s="2025"/>
      <c r="E74" s="2025"/>
      <c r="F74" s="2026"/>
      <c r="G74" s="1469">
        <v>444466.62050464749</v>
      </c>
      <c r="H74" s="1470">
        <v>16871.017195155349</v>
      </c>
      <c r="I74" s="1774">
        <f>+G74+H74</f>
        <v>461337.63769980287</v>
      </c>
      <c r="J74" s="1449"/>
      <c r="K74" s="1123"/>
      <c r="L74" s="1027"/>
      <c r="M74" s="1027"/>
      <c r="N74" s="1027"/>
    </row>
    <row r="75" spans="1:14" s="888" customFormat="1" ht="15">
      <c r="A75" s="1101" t="s">
        <v>567</v>
      </c>
      <c r="B75" s="1120">
        <v>0</v>
      </c>
      <c r="C75" s="2024" t="s">
        <v>2042</v>
      </c>
      <c r="D75" s="2025"/>
      <c r="E75" s="2025"/>
      <c r="F75" s="2026"/>
      <c r="G75" s="1469">
        <v>11245.238109137863</v>
      </c>
      <c r="H75" s="1470">
        <v>426.84556443738018</v>
      </c>
      <c r="I75" s="1774">
        <f t="shared" ref="I75:I79" si="1">+G75+H75</f>
        <v>11672.083673575244</v>
      </c>
      <c r="J75" s="1449"/>
      <c r="K75" s="1027"/>
      <c r="L75" s="1027"/>
      <c r="M75" s="1027"/>
      <c r="N75" s="1027"/>
    </row>
    <row r="76" spans="1:14" s="888" customFormat="1" ht="15">
      <c r="A76" s="1101" t="s">
        <v>568</v>
      </c>
      <c r="B76" s="1120">
        <v>0</v>
      </c>
      <c r="C76" s="2024" t="s">
        <v>2043</v>
      </c>
      <c r="D76" s="2025"/>
      <c r="E76" s="2025"/>
      <c r="F76" s="2026"/>
      <c r="G76" s="1469">
        <v>85.178981351200491</v>
      </c>
      <c r="H76" s="1470">
        <v>3.2332148079203042</v>
      </c>
      <c r="I76" s="1774">
        <f t="shared" si="1"/>
        <v>88.412196159120796</v>
      </c>
      <c r="J76" s="1449"/>
      <c r="K76" s="1027"/>
      <c r="L76" s="1027"/>
      <c r="M76" s="1027"/>
      <c r="N76" s="1027"/>
    </row>
    <row r="77" spans="1:14" s="888" customFormat="1" ht="15">
      <c r="A77" s="1101" t="s">
        <v>569</v>
      </c>
      <c r="B77" s="1121"/>
      <c r="C77" s="2024"/>
      <c r="D77" s="2025"/>
      <c r="E77" s="2025"/>
      <c r="F77" s="2026"/>
      <c r="G77" s="1121"/>
      <c r="H77" s="1121"/>
      <c r="I77" s="1122">
        <f t="shared" si="1"/>
        <v>0</v>
      </c>
      <c r="J77" s="1105"/>
      <c r="K77" s="1027"/>
      <c r="L77" s="1027"/>
      <c r="M77" s="1027"/>
      <c r="N77" s="1027"/>
    </row>
    <row r="78" spans="1:14" s="888" customFormat="1" ht="15">
      <c r="A78" s="1101" t="s">
        <v>541</v>
      </c>
      <c r="B78" s="1124"/>
      <c r="C78" s="2011"/>
      <c r="D78" s="2012"/>
      <c r="E78" s="2012"/>
      <c r="F78" s="2013"/>
      <c r="G78" s="977"/>
      <c r="H78" s="977"/>
      <c r="I78" s="1122">
        <f t="shared" si="1"/>
        <v>0</v>
      </c>
      <c r="J78" s="1105"/>
      <c r="K78" s="1027"/>
      <c r="L78" s="1027"/>
      <c r="M78" s="1027"/>
      <c r="N78" s="1027"/>
    </row>
    <row r="79" spans="1:14" s="888" customFormat="1" ht="15">
      <c r="A79" s="1101" t="s">
        <v>570</v>
      </c>
      <c r="B79" s="1125"/>
      <c r="C79" s="2014"/>
      <c r="D79" s="2015"/>
      <c r="E79" s="2015"/>
      <c r="F79" s="2016"/>
      <c r="G79" s="1126"/>
      <c r="H79" s="1126"/>
      <c r="I79" s="1127">
        <f t="shared" si="1"/>
        <v>0</v>
      </c>
      <c r="J79" s="1105"/>
      <c r="K79" s="1027"/>
      <c r="L79" s="1027"/>
      <c r="M79" s="1027"/>
      <c r="N79" s="1027"/>
    </row>
    <row r="80" spans="1:14" s="888" customFormat="1" ht="15">
      <c r="A80" s="1128">
        <v>26</v>
      </c>
      <c r="B80" s="1105" t="s">
        <v>4</v>
      </c>
      <c r="D80" s="1105"/>
      <c r="E80" s="1105"/>
      <c r="F80" s="1105"/>
      <c r="G80" s="1105"/>
      <c r="H80" s="1105"/>
      <c r="I80" s="1129">
        <f>SUM(I74:I79)</f>
        <v>473098.13356953725</v>
      </c>
      <c r="J80" s="1105"/>
      <c r="K80" s="1027"/>
      <c r="L80" s="1027"/>
      <c r="M80" s="1027"/>
      <c r="N80" s="1027"/>
    </row>
    <row r="81" spans="1:14" s="888" customFormat="1" ht="15">
      <c r="A81" s="1101"/>
      <c r="C81" s="1105"/>
      <c r="D81" s="1130"/>
      <c r="E81" s="1130"/>
      <c r="F81" s="1130"/>
      <c r="G81" s="1130"/>
      <c r="H81" s="1130"/>
      <c r="I81" s="1130"/>
      <c r="J81" s="1130"/>
      <c r="K81" s="1131"/>
      <c r="L81" s="1131"/>
      <c r="M81" s="1131"/>
      <c r="N81" s="1131"/>
    </row>
    <row r="82" spans="1:14" s="888" customFormat="1" ht="30" customHeight="1">
      <c r="A82" s="1132" t="s">
        <v>571</v>
      </c>
      <c r="B82" s="1132" t="s">
        <v>456</v>
      </c>
      <c r="C82" s="2017" t="s">
        <v>1787</v>
      </c>
      <c r="D82" s="2017"/>
      <c r="E82" s="2017"/>
      <c r="F82" s="2017"/>
      <c r="G82" s="2017"/>
      <c r="H82" s="2017"/>
      <c r="I82" s="2017"/>
      <c r="J82" s="2017"/>
      <c r="K82" s="1133"/>
      <c r="L82" s="1133"/>
      <c r="M82" s="1133"/>
      <c r="N82" s="1133"/>
    </row>
    <row r="83" spans="1:14">
      <c r="A83" s="1134"/>
      <c r="B83" s="1135"/>
    </row>
    <row r="84" spans="1:14">
      <c r="A84" s="1136"/>
      <c r="B84" s="1137"/>
      <c r="C84" s="2010"/>
      <c r="D84" s="2010"/>
      <c r="E84" s="2010"/>
      <c r="F84" s="2010"/>
      <c r="G84" s="2010"/>
      <c r="H84" s="2010"/>
      <c r="I84" s="2010"/>
      <c r="J84" s="1138"/>
    </row>
    <row r="85" spans="1:14" ht="57" customHeight="1"/>
  </sheetData>
  <customSheetViews>
    <customSheetView guid="{B321D76C-CDE5-48BB-9CDE-80FF97D58FCF}" showPageBreaks="1" printArea="1" view="pageBreakPreview" topLeftCell="A7">
      <selection activeCell="D38" sqref="D38"/>
      <rowBreaks count="1" manualBreakCount="1">
        <brk id="37" max="9" man="1"/>
      </rowBreaks>
      <pageMargins left="0.7" right="0.7" top="0.75" bottom="0.75" header="0.3" footer="0.3"/>
      <pageSetup scale="60" fitToHeight="2" orientation="landscape" r:id="rId1"/>
    </customSheetView>
  </customSheetViews>
  <mergeCells count="15">
    <mergeCell ref="A8:J8"/>
    <mergeCell ref="A7:J7"/>
    <mergeCell ref="A6:J6"/>
    <mergeCell ref="A5:J5"/>
    <mergeCell ref="D32:K32"/>
    <mergeCell ref="C84:I84"/>
    <mergeCell ref="C78:F78"/>
    <mergeCell ref="C79:F79"/>
    <mergeCell ref="C82:J82"/>
    <mergeCell ref="C72:F72"/>
    <mergeCell ref="C73:F73"/>
    <mergeCell ref="C74:F74"/>
    <mergeCell ref="C75:F75"/>
    <mergeCell ref="C76:F76"/>
    <mergeCell ref="C77:F77"/>
  </mergeCells>
  <pageMargins left="0.7" right="0.7" top="0.75" bottom="0.75" header="0.3" footer="0.3"/>
  <pageSetup scale="60" fitToHeight="2" orientation="landscape" r:id="rId2"/>
  <rowBreaks count="1" manualBreakCount="1">
    <brk id="37" max="9" man="1"/>
  </rowBreak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2D050"/>
    <pageSetUpPr fitToPage="1"/>
  </sheetPr>
  <dimension ref="A1:J80"/>
  <sheetViews>
    <sheetView view="pageBreakPreview" zoomScale="80" zoomScaleNormal="110" zoomScaleSheetLayoutView="80" workbookViewId="0">
      <selection activeCell="F81" sqref="F81"/>
    </sheetView>
  </sheetViews>
  <sheetFormatPr defaultColWidth="9" defaultRowHeight="13.8"/>
  <cols>
    <col min="1" max="1" width="6.77734375" style="1883" customWidth="1"/>
    <col min="2" max="2" width="42" style="1883" customWidth="1"/>
    <col min="3" max="5" width="17.109375" style="1540" customWidth="1"/>
    <col min="6" max="7" width="17.109375" style="1883" customWidth="1"/>
    <col min="8" max="8" width="19.44140625" style="1460" customWidth="1"/>
    <col min="9" max="9" width="17.109375" style="1886" bestFit="1" customWidth="1"/>
    <col min="10" max="10" width="12.77734375" style="1883" customWidth="1"/>
    <col min="11" max="16384" width="9" style="1883"/>
  </cols>
  <sheetData>
    <row r="1" spans="1:9" s="1537" customFormat="1" ht="15.6">
      <c r="A1" s="1533" t="s">
        <v>913</v>
      </c>
      <c r="C1" s="1540"/>
      <c r="D1" s="1540"/>
      <c r="E1" s="1540"/>
      <c r="H1" s="1453"/>
      <c r="I1" s="1881"/>
    </row>
    <row r="2" spans="1:9" s="1537" customFormat="1">
      <c r="C2" s="1540"/>
      <c r="D2" s="1540"/>
      <c r="E2" s="1540"/>
      <c r="H2" s="1453"/>
      <c r="I2" s="1881"/>
    </row>
    <row r="3" spans="1:9" s="1537" customFormat="1">
      <c r="C3" s="1540"/>
      <c r="D3" s="1540"/>
      <c r="E3" s="1540"/>
      <c r="H3" s="1453"/>
      <c r="I3" s="1881"/>
    </row>
    <row r="4" spans="1:9" s="1537" customFormat="1" ht="18">
      <c r="A4" s="2030" t="s">
        <v>200</v>
      </c>
      <c r="B4" s="2030"/>
      <c r="C4" s="2030"/>
      <c r="D4" s="2030"/>
      <c r="E4" s="2030"/>
      <c r="F4" s="2030"/>
      <c r="G4" s="2030"/>
      <c r="H4" s="1454"/>
      <c r="I4" s="1881"/>
    </row>
    <row r="5" spans="1:9" s="1537" customFormat="1" ht="18">
      <c r="A5" s="2030" t="s">
        <v>103</v>
      </c>
      <c r="B5" s="2030"/>
      <c r="C5" s="2030"/>
      <c r="D5" s="2030"/>
      <c r="E5" s="2030"/>
      <c r="F5" s="2030"/>
      <c r="G5" s="2030"/>
      <c r="H5" s="1454"/>
      <c r="I5" s="1881"/>
    </row>
    <row r="6" spans="1:9" s="1537" customFormat="1" ht="18">
      <c r="A6" s="2031" t="str">
        <f>SUMMARY!A7</f>
        <v>YEAR ENDING DECEMBER 31, 2021</v>
      </c>
      <c r="B6" s="2031"/>
      <c r="C6" s="2031"/>
      <c r="D6" s="2031"/>
      <c r="E6" s="2031"/>
      <c r="F6" s="2031"/>
      <c r="G6" s="2031"/>
      <c r="H6" s="1454"/>
      <c r="I6" s="1881"/>
    </row>
    <row r="7" spans="1:9" s="1537" customFormat="1" ht="18">
      <c r="A7" s="1541"/>
      <c r="B7" s="1453"/>
      <c r="C7" s="1543"/>
      <c r="D7" s="1622"/>
      <c r="E7" s="1543"/>
      <c r="F7" s="1541"/>
      <c r="G7" s="1541"/>
      <c r="H7" s="1455"/>
      <c r="I7" s="1881"/>
    </row>
    <row r="8" spans="1:9" s="1537" customFormat="1" ht="18">
      <c r="A8" s="2032" t="s">
        <v>912</v>
      </c>
      <c r="B8" s="2032"/>
      <c r="C8" s="2032"/>
      <c r="D8" s="2032"/>
      <c r="E8" s="2032"/>
      <c r="F8" s="2032"/>
      <c r="G8" s="2032"/>
      <c r="H8" s="1456"/>
      <c r="I8" s="1881"/>
    </row>
    <row r="9" spans="1:9" s="1537" customFormat="1" ht="18">
      <c r="A9" s="2029" t="s">
        <v>712</v>
      </c>
      <c r="B9" s="2029"/>
      <c r="C9" s="2029"/>
      <c r="D9" s="2029"/>
      <c r="E9" s="2029"/>
      <c r="F9" s="2029"/>
      <c r="G9" s="2029"/>
      <c r="H9" s="1454"/>
      <c r="I9" s="1881"/>
    </row>
    <row r="10" spans="1:9" s="1537" customFormat="1" ht="15.75" customHeight="1">
      <c r="A10" s="2029"/>
      <c r="B10" s="2029"/>
      <c r="C10" s="2029"/>
      <c r="D10" s="2029"/>
      <c r="E10" s="2029"/>
      <c r="F10" s="2029"/>
      <c r="G10" s="2029"/>
      <c r="H10" s="1453"/>
      <c r="I10" s="1881"/>
    </row>
    <row r="11" spans="1:9" s="1537" customFormat="1">
      <c r="A11" s="1882"/>
      <c r="B11" s="1882" t="s">
        <v>192</v>
      </c>
      <c r="C11" s="1882" t="s">
        <v>193</v>
      </c>
      <c r="D11" s="1882" t="s">
        <v>194</v>
      </c>
      <c r="E11" s="1882" t="s">
        <v>195</v>
      </c>
      <c r="F11" s="1882" t="s">
        <v>196</v>
      </c>
      <c r="G11" s="1882" t="s">
        <v>371</v>
      </c>
      <c r="H11" s="1457"/>
      <c r="I11" s="1881"/>
    </row>
    <row r="12" spans="1:9" ht="14.4">
      <c r="B12" s="1884"/>
      <c r="C12" s="1885"/>
      <c r="D12" s="1885"/>
      <c r="E12" s="1885"/>
      <c r="F12" s="1142" t="s">
        <v>714</v>
      </c>
      <c r="G12" s="1142" t="s">
        <v>729</v>
      </c>
      <c r="H12" s="1458"/>
    </row>
    <row r="13" spans="1:9" s="1537" customFormat="1" ht="18" customHeight="1" thickBot="1">
      <c r="A13" s="1887" t="s">
        <v>1</v>
      </c>
      <c r="B13" s="1888" t="s">
        <v>338</v>
      </c>
      <c r="C13" s="1143" t="s">
        <v>53</v>
      </c>
      <c r="D13" s="1143" t="s">
        <v>27</v>
      </c>
      <c r="E13" s="1143" t="s">
        <v>719</v>
      </c>
      <c r="F13" s="1144" t="s">
        <v>715</v>
      </c>
      <c r="G13" s="1145" t="s">
        <v>612</v>
      </c>
      <c r="H13" s="1453"/>
      <c r="I13" s="1881"/>
    </row>
    <row r="14" spans="1:9" s="1537" customFormat="1" ht="15" thickBot="1">
      <c r="B14" s="1889"/>
      <c r="C14" s="1890"/>
      <c r="D14" s="1891"/>
      <c r="E14" s="1891"/>
      <c r="F14" s="1892"/>
      <c r="G14" s="1893"/>
      <c r="H14" s="1453"/>
      <c r="I14" s="1881"/>
    </row>
    <row r="15" spans="1:9" s="1537" customFormat="1" ht="14.4">
      <c r="A15" s="1894" t="s">
        <v>471</v>
      </c>
      <c r="B15" s="1895" t="s">
        <v>125</v>
      </c>
      <c r="C15" s="1896">
        <f>SUM('WP-AB'!D39:V39,'WP-AB'!AP39)</f>
        <v>106102136.52000001</v>
      </c>
      <c r="D15" s="1896">
        <f>SUM('WP-AB'!W39:AF39)</f>
        <v>0</v>
      </c>
      <c r="E15" s="1896">
        <f>SUM('WP-AB'!AG39,'WP-AB'!AH39,'WP-AB'!AI39,'WP-AB'!AJ39,'WP-AB'!AK39,'WP-AB'!AL39,'WP-AB'!AR39:AV39)</f>
        <v>432710145.56</v>
      </c>
      <c r="F15" s="1897">
        <f>SUM(C15:E15)</f>
        <v>538812282.08000004</v>
      </c>
      <c r="G15" s="1146">
        <f>SUM(F15)</f>
        <v>538812282.08000004</v>
      </c>
      <c r="H15" s="1459"/>
      <c r="I15" s="1881"/>
    </row>
    <row r="16" spans="1:9" s="1537" customFormat="1" ht="14.4">
      <c r="A16" s="1894" t="s">
        <v>473</v>
      </c>
      <c r="B16" s="1895" t="s">
        <v>108</v>
      </c>
      <c r="C16" s="1896">
        <f>SUM('WP-AB'!D19:V19,'WP-AB'!AP19)</f>
        <v>189902608.02999997</v>
      </c>
      <c r="D16" s="1896">
        <f>SUM('WP-AB'!W19:AF19)</f>
        <v>0</v>
      </c>
      <c r="E16" s="1896">
        <f>SUM('WP-AB'!AG19,'WP-AB'!AH19,'WP-AB'!AI19,'WP-AB'!AJ19,'WP-AB'!AK19,'WP-AB'!AL19)</f>
        <v>0</v>
      </c>
      <c r="F16" s="1897">
        <f t="shared" ref="F16:F30" si="0">SUM(C16:E16)</f>
        <v>189902608.02999997</v>
      </c>
      <c r="G16" s="1146">
        <f>SUM(F16:F16)</f>
        <v>189902608.02999997</v>
      </c>
      <c r="H16" s="1459"/>
      <c r="I16" s="1881"/>
    </row>
    <row r="17" spans="1:9" s="1537" customFormat="1" ht="14.4">
      <c r="A17" s="1894" t="s">
        <v>495</v>
      </c>
      <c r="B17" s="1895" t="s">
        <v>129</v>
      </c>
      <c r="C17" s="1896"/>
      <c r="D17" s="1896">
        <f>SUM('WP-AB'!D43:AF43)</f>
        <v>125470679.24999999</v>
      </c>
      <c r="E17" s="1896">
        <f>SUM('WP-AB'!AG43,'WP-AB'!AH43,'WP-AB'!AI43,'WP-AB'!AJ43,'WP-AB'!AK43,'WP-AB'!AL43)</f>
        <v>723089906.86000001</v>
      </c>
      <c r="F17" s="1897">
        <f t="shared" si="0"/>
        <v>848560586.11000001</v>
      </c>
      <c r="G17" s="1146">
        <f>F17</f>
        <v>848560586.11000001</v>
      </c>
      <c r="H17" s="1459"/>
      <c r="I17" s="1881"/>
    </row>
    <row r="18" spans="1:9" s="1537" customFormat="1" ht="15" thickBot="1">
      <c r="A18" s="1894" t="s">
        <v>541</v>
      </c>
      <c r="B18" s="1898" t="s">
        <v>1165</v>
      </c>
      <c r="C18" s="1899" t="s">
        <v>1165</v>
      </c>
      <c r="D18" s="1899" t="s">
        <v>1165</v>
      </c>
      <c r="E18" s="1899" t="s">
        <v>1165</v>
      </c>
      <c r="F18" s="1900" t="s">
        <v>1165</v>
      </c>
      <c r="G18" s="1900" t="s">
        <v>1165</v>
      </c>
      <c r="H18" s="1459"/>
      <c r="I18" s="1881"/>
    </row>
    <row r="19" spans="1:9" s="1537" customFormat="1" ht="14.4">
      <c r="A19" s="1883" t="s">
        <v>1265</v>
      </c>
      <c r="B19" s="1901" t="s">
        <v>425</v>
      </c>
      <c r="C19" s="1896">
        <f>SUM('WP-AB'!D20:V20,'WP-AB'!AP20)</f>
        <v>0</v>
      </c>
      <c r="D19" s="1896">
        <f>SUM('WP-AB'!W20:AF20)</f>
        <v>0</v>
      </c>
      <c r="E19" s="1896">
        <f>SUM('WP-AB'!AG20,'WP-AB'!AH20,'WP-AB'!AI20,'WP-AB'!AJ20,'WP-AB'!AK20,'WP-AB'!AL20)</f>
        <v>0</v>
      </c>
      <c r="F19" s="1897">
        <f t="shared" si="0"/>
        <v>0</v>
      </c>
      <c r="G19" s="1902"/>
      <c r="H19" s="1459"/>
      <c r="I19" s="1881"/>
    </row>
    <row r="20" spans="1:9" s="1537" customFormat="1" ht="14.4">
      <c r="A20" s="1883" t="s">
        <v>1266</v>
      </c>
      <c r="B20" s="1895" t="s">
        <v>110</v>
      </c>
      <c r="C20" s="1896">
        <f>SUM('WP-AB'!D23:V23,'WP-AB'!AP23)</f>
        <v>9959655.3300000019</v>
      </c>
      <c r="D20" s="1896">
        <f>SUM('WP-AB'!W23:AF23)</f>
        <v>0</v>
      </c>
      <c r="E20" s="1896">
        <f>SUM('WP-AB'!AG23,'WP-AB'!AH23,'WP-AB'!AI23,'WP-AB'!AJ23,'WP-AB'!AK23,'WP-AB'!AL23)</f>
        <v>0</v>
      </c>
      <c r="F20" s="1897">
        <f t="shared" si="0"/>
        <v>9959655.3300000019</v>
      </c>
      <c r="G20" s="1903"/>
      <c r="H20" s="1459"/>
      <c r="I20" s="1881"/>
    </row>
    <row r="21" spans="1:9" s="1537" customFormat="1" ht="14.4">
      <c r="A21" s="1883" t="s">
        <v>1267</v>
      </c>
      <c r="B21" s="1895" t="s">
        <v>111</v>
      </c>
      <c r="C21" s="1896">
        <f>SUM('WP-AB'!D24:V24,'WP-AB'!AP24)</f>
        <v>652611.94999999995</v>
      </c>
      <c r="D21" s="1896">
        <f>SUM('WP-AB'!W24:AF24)</f>
        <v>0</v>
      </c>
      <c r="E21" s="1896">
        <f>SUM('WP-AB'!AG24,'WP-AB'!AH24,'WP-AB'!AI24,'WP-AB'!AJ24,'WP-AB'!AK24,'WP-AB'!AL24)</f>
        <v>0</v>
      </c>
      <c r="F21" s="1897">
        <f t="shared" si="0"/>
        <v>652611.94999999995</v>
      </c>
      <c r="G21" s="1903"/>
      <c r="H21" s="1459"/>
      <c r="I21" s="1881"/>
    </row>
    <row r="22" spans="1:9" s="1537" customFormat="1" ht="14.4">
      <c r="A22" s="1883" t="s">
        <v>1268</v>
      </c>
      <c r="B22" s="1895" t="s">
        <v>427</v>
      </c>
      <c r="C22" s="1896">
        <f>SUM('WP-AB'!D25:V25,'WP-AB'!AP25)</f>
        <v>8552741.5</v>
      </c>
      <c r="D22" s="1896">
        <f>SUM('WP-AB'!W25:AF25)</f>
        <v>0</v>
      </c>
      <c r="E22" s="1896">
        <f>SUM('WP-AB'!AG25,'WP-AB'!AH25,'WP-AB'!AI25,'WP-AB'!AJ25,'WP-AB'!AK25,'WP-AB'!AL25)</f>
        <v>0</v>
      </c>
      <c r="F22" s="1897">
        <f t="shared" si="0"/>
        <v>8552741.5</v>
      </c>
      <c r="G22" s="1903"/>
      <c r="H22" s="1459"/>
      <c r="I22" s="1881"/>
    </row>
    <row r="23" spans="1:9" s="1537" customFormat="1" ht="14.4">
      <c r="A23" s="1883" t="s">
        <v>1269</v>
      </c>
      <c r="B23" s="1895" t="s">
        <v>112</v>
      </c>
      <c r="C23" s="1896">
        <f>SUM('WP-AB'!D26:V26,'WP-AB'!AP26)</f>
        <v>30469980.899999999</v>
      </c>
      <c r="D23" s="1896">
        <f>SUM('WP-AB'!W26:AF26)</f>
        <v>0</v>
      </c>
      <c r="E23" s="1896">
        <f>SUM('WP-AB'!AG26,'WP-AB'!AH26,'WP-AB'!AI26,'WP-AB'!AJ26,'WP-AB'!AK26,'WP-AB'!AL26)</f>
        <v>1869020</v>
      </c>
      <c r="F23" s="1897">
        <f t="shared" si="0"/>
        <v>32339000.899999999</v>
      </c>
      <c r="G23" s="1903"/>
      <c r="H23" s="1459"/>
      <c r="I23" s="1881"/>
    </row>
    <row r="24" spans="1:9" s="1537" customFormat="1" ht="14.4">
      <c r="A24" s="1883" t="s">
        <v>1270</v>
      </c>
      <c r="B24" s="1895" t="s">
        <v>118</v>
      </c>
      <c r="C24" s="1896">
        <f>SUM('WP-AB'!D32:V32,'WP-AB'!AP32)</f>
        <v>4351606.1700000009</v>
      </c>
      <c r="D24" s="1896">
        <f>SUM('WP-AB'!W32:AF32)</f>
        <v>0</v>
      </c>
      <c r="E24" s="1896">
        <f>SUM('WP-AB'!AG32,'WP-AB'!AH32,'WP-AB'!AI32,'WP-AB'!AJ32,'WP-AB'!AK32,'WP-AB'!AL32)</f>
        <v>0</v>
      </c>
      <c r="F24" s="1897">
        <f t="shared" si="0"/>
        <v>4351606.1700000009</v>
      </c>
      <c r="G24" s="1903"/>
      <c r="H24" s="1459"/>
      <c r="I24" s="1881"/>
    </row>
    <row r="25" spans="1:9" s="1537" customFormat="1" ht="14.4">
      <c r="A25" s="1883" t="s">
        <v>1271</v>
      </c>
      <c r="B25" s="1895" t="s">
        <v>119</v>
      </c>
      <c r="C25" s="1896">
        <f>SUM('WP-AB'!D33:V33,'WP-AB'!AP33)</f>
        <v>20804823.739999998</v>
      </c>
      <c r="D25" s="1896">
        <f>SUM('WP-AB'!W33:AF33)</f>
        <v>0</v>
      </c>
      <c r="E25" s="1896">
        <f>SUM('WP-AB'!AG33,'WP-AB'!AH33,'WP-AB'!AI33,'WP-AB'!AJ33,'WP-AB'!AK33,'WP-AB'!AL33)</f>
        <v>0</v>
      </c>
      <c r="F25" s="1897">
        <f t="shared" si="0"/>
        <v>20804823.739999998</v>
      </c>
      <c r="G25" s="1903"/>
      <c r="H25" s="1459"/>
      <c r="I25" s="1881"/>
    </row>
    <row r="26" spans="1:9" s="1537" customFormat="1" ht="14.4">
      <c r="A26" s="1883" t="s">
        <v>1272</v>
      </c>
      <c r="B26" s="1895" t="s">
        <v>120</v>
      </c>
      <c r="C26" s="1896">
        <f>SUM('WP-AB'!D34:V34,'WP-AB'!AP34)</f>
        <v>18968090.990000002</v>
      </c>
      <c r="D26" s="1896">
        <f>SUM('WP-AB'!W34:AF34)</f>
        <v>0</v>
      </c>
      <c r="E26" s="1896">
        <f>SUM('WP-AB'!AG34,'WP-AB'!AH34,'WP-AB'!AI34,'WP-AB'!AJ34,'WP-AB'!AK34,'WP-AB'!AL34,'WP-AB'!AR34:AV34)</f>
        <v>7165114.6299999999</v>
      </c>
      <c r="F26" s="1897">
        <f t="shared" si="0"/>
        <v>26133205.620000001</v>
      </c>
      <c r="G26" s="1903"/>
      <c r="H26" s="1459"/>
      <c r="I26" s="1881"/>
    </row>
    <row r="27" spans="1:9" s="1537" customFormat="1" ht="14.4">
      <c r="A27" s="1883" t="s">
        <v>1576</v>
      </c>
      <c r="B27" s="1895" t="s">
        <v>126</v>
      </c>
      <c r="C27" s="1896">
        <f>SUM('WP-AB'!D40:V40,'WP-AB'!AP40)</f>
        <v>0</v>
      </c>
      <c r="D27" s="1896">
        <f>SUM('WP-AB'!W40:AF40)</f>
        <v>6185717.5100000007</v>
      </c>
      <c r="E27" s="1896">
        <f>SUM('WP-AB'!AG40,'WP-AB'!AH40,'WP-AB'!AI40,'WP-AB'!AJ40,'WP-AB'!AK40,'WP-AB'!AL40)</f>
        <v>0</v>
      </c>
      <c r="F27" s="1897">
        <f t="shared" si="0"/>
        <v>6185717.5100000007</v>
      </c>
      <c r="G27" s="1903"/>
      <c r="H27" s="1459"/>
      <c r="I27" s="1881"/>
    </row>
    <row r="28" spans="1:9" s="1537" customFormat="1" ht="14.4">
      <c r="A28" s="1883" t="s">
        <v>1577</v>
      </c>
      <c r="B28" s="1895" t="s">
        <v>127</v>
      </c>
      <c r="C28" s="1896">
        <f>SUM('WP-AB'!D41:V41,'WP-AB'!AP41)</f>
        <v>0</v>
      </c>
      <c r="D28" s="1896">
        <f>SUM('WP-AB'!W41:AF41)</f>
        <v>2683087.6</v>
      </c>
      <c r="E28" s="1896">
        <f>SUM('WP-AB'!AG41,'WP-AB'!AH41,'WP-AB'!AI41,'WP-AB'!AJ41,'WP-AB'!AK41,'WP-AB'!AL41)</f>
        <v>0</v>
      </c>
      <c r="F28" s="1897">
        <f t="shared" si="0"/>
        <v>2683087.6</v>
      </c>
      <c r="G28" s="1903"/>
      <c r="H28" s="1459"/>
      <c r="I28" s="1881"/>
    </row>
    <row r="29" spans="1:9" s="1537" customFormat="1" ht="14.4">
      <c r="A29" s="1883" t="s">
        <v>1578</v>
      </c>
      <c r="B29" s="1895" t="s">
        <v>128</v>
      </c>
      <c r="C29" s="1896">
        <f>SUM('WP-AB'!D42:V42,'WP-AB'!AP42)</f>
        <v>0</v>
      </c>
      <c r="D29" s="1896">
        <f>SUM('WP-AB'!W42:AF42)</f>
        <v>4496308.38</v>
      </c>
      <c r="E29" s="1896">
        <f>SUM('WP-AB'!AG42,'WP-AB'!AH42,'WP-AB'!AI42,'WP-AB'!AJ42,'WP-AB'!AK42,'WP-AB'!AL42)</f>
        <v>0</v>
      </c>
      <c r="F29" s="1897">
        <f t="shared" si="0"/>
        <v>4496308.38</v>
      </c>
      <c r="G29" s="1903"/>
      <c r="H29" s="1459"/>
      <c r="I29" s="1881"/>
    </row>
    <row r="30" spans="1:9" s="1537" customFormat="1" ht="14.4">
      <c r="A30" s="1883" t="s">
        <v>1579</v>
      </c>
      <c r="B30" s="1895" t="s">
        <v>130</v>
      </c>
      <c r="C30" s="1896">
        <f>SUM('WP-AB'!D44:V44,'WP-AB'!AP44)</f>
        <v>0</v>
      </c>
      <c r="D30" s="1896">
        <f>SUM('WP-AB'!W44:AF44)</f>
        <v>13094560.33</v>
      </c>
      <c r="E30" s="1896">
        <f>SUM('WP-AB'!AG44,'WP-AB'!AH44,'WP-AB'!AI44,'WP-AB'!AJ44,'WP-AB'!AK44,'WP-AB'!AL44)</f>
        <v>0</v>
      </c>
      <c r="F30" s="1897">
        <f t="shared" si="0"/>
        <v>13094560.33</v>
      </c>
      <c r="G30" s="1903"/>
      <c r="H30" s="1459"/>
      <c r="I30" s="1881"/>
    </row>
    <row r="31" spans="1:9" s="1537" customFormat="1" ht="14.4">
      <c r="A31" s="1883" t="s">
        <v>1580</v>
      </c>
      <c r="B31" s="1895" t="s">
        <v>137</v>
      </c>
      <c r="C31" s="1896">
        <f>SUM('WP-AB'!D51:V51,'WP-AB'!AP51)</f>
        <v>12537000.34</v>
      </c>
      <c r="D31" s="1896">
        <f>SUM('WP-AB'!W51:AF51)</f>
        <v>0</v>
      </c>
      <c r="E31" s="1896">
        <f>SUM('WP-AB'!AG51,'WP-AB'!AH51,'WP-AB'!AI51,'WP-AB'!AJ51,'WP-AB'!AK51,'WP-AB'!AL51,'WP-AB'!AR51:AV51)</f>
        <v>126210786.65000002</v>
      </c>
      <c r="F31" s="1897">
        <f>SUM(C31:E31)</f>
        <v>138747786.99000001</v>
      </c>
      <c r="G31" s="1903"/>
      <c r="H31" s="1459"/>
      <c r="I31" s="1881"/>
    </row>
    <row r="32" spans="1:9" s="1537" customFormat="1" ht="14.4">
      <c r="A32" s="1883" t="s">
        <v>1581</v>
      </c>
      <c r="B32" s="1895" t="s">
        <v>633</v>
      </c>
      <c r="C32" s="1896"/>
      <c r="D32" s="1896"/>
      <c r="E32" s="1896">
        <v>0</v>
      </c>
      <c r="F32" s="1897">
        <f>SUM(C32:E32)</f>
        <v>0</v>
      </c>
      <c r="G32" s="1903"/>
      <c r="H32" s="1459"/>
      <c r="I32" s="1881"/>
    </row>
    <row r="33" spans="1:9" s="1537" customFormat="1" ht="14.4">
      <c r="A33" s="1883" t="s">
        <v>1582</v>
      </c>
      <c r="B33" s="1895" t="s">
        <v>138</v>
      </c>
      <c r="C33" s="1896">
        <f>SUM('WP-AB'!D52:V52,'WP-AB'!AP52)</f>
        <v>4699280</v>
      </c>
      <c r="D33" s="1896">
        <f>SUM('WP-AB'!W52:AF52)</f>
        <v>17743705.199999999</v>
      </c>
      <c r="E33" s="1896">
        <f>SUM('WP-AB'!AG52,'WP-AB'!AH52,'WP-AB'!AI52,'WP-AB'!AJ52,'WP-AB'!AK52,'WP-AB'!AL52)</f>
        <v>0</v>
      </c>
      <c r="F33" s="1897">
        <f t="shared" ref="F33:F72" si="1">SUM(C33:E33)</f>
        <v>22442985.199999999</v>
      </c>
      <c r="G33" s="1903"/>
      <c r="H33" s="1459"/>
    </row>
    <row r="34" spans="1:9" s="1537" customFormat="1" ht="14.4">
      <c r="A34" s="1883" t="s">
        <v>1583</v>
      </c>
      <c r="B34" s="1895" t="s">
        <v>139</v>
      </c>
      <c r="C34" s="1896">
        <f>SUM('WP-AB'!D53:V53,'WP-AB'!AP53)</f>
        <v>0</v>
      </c>
      <c r="D34" s="1896">
        <f>SUM('WP-AB'!W53:AF53)</f>
        <v>0</v>
      </c>
      <c r="E34" s="1896">
        <f>SUM('WP-AB'!AG53,'WP-AB'!AH53,'WP-AB'!AI53,'WP-AB'!AJ53,'WP-AB'!AK53,'WP-AB'!AL53)</f>
        <v>93473233.829999998</v>
      </c>
      <c r="F34" s="1897">
        <f t="shared" si="1"/>
        <v>93473233.829999998</v>
      </c>
      <c r="G34" s="1903"/>
      <c r="H34" s="1459"/>
    </row>
    <row r="35" spans="1:9" s="1537" customFormat="1" ht="14.4">
      <c r="A35" s="1883" t="s">
        <v>1584</v>
      </c>
      <c r="B35" s="1895" t="s">
        <v>140</v>
      </c>
      <c r="C35" s="1896">
        <f>SUM('WP-AB'!D54:V54,'WP-AB'!AP54)</f>
        <v>0</v>
      </c>
      <c r="D35" s="1896">
        <f>SUM('WP-AB'!W54:AF54)</f>
        <v>0</v>
      </c>
      <c r="E35" s="1896">
        <f>SUM('WP-AB'!AG54,'WP-AB'!AH54,'WP-AB'!AI54,'WP-AB'!AJ54,'WP-AB'!AK54,'WP-AB'!AL54)</f>
        <v>25677471.309999999</v>
      </c>
      <c r="F35" s="1897">
        <f t="shared" si="1"/>
        <v>25677471.309999999</v>
      </c>
      <c r="G35" s="1903"/>
      <c r="H35" s="1459"/>
    </row>
    <row r="36" spans="1:9" s="1537" customFormat="1" ht="14.4">
      <c r="A36" s="1883" t="s">
        <v>1585</v>
      </c>
      <c r="B36" s="1895" t="s">
        <v>141</v>
      </c>
      <c r="C36" s="1896">
        <f>SUM('WP-AB'!D55:V55,'WP-AB'!AP55)</f>
        <v>0</v>
      </c>
      <c r="D36" s="1896">
        <f>SUM('WP-AB'!W55:AF55)</f>
        <v>0</v>
      </c>
      <c r="E36" s="1896">
        <f>SUM('WP-AB'!AG55,'WP-AB'!AH55,'WP-AB'!AI55,'WP-AB'!AJ55,'WP-AB'!AK55,'WP-AB'!AL55)</f>
        <v>-46897418.560000002</v>
      </c>
      <c r="F36" s="1897">
        <f t="shared" si="1"/>
        <v>-46897418.560000002</v>
      </c>
      <c r="G36" s="1903"/>
      <c r="H36" s="1459"/>
    </row>
    <row r="37" spans="1:9" s="1537" customFormat="1" ht="14.4">
      <c r="A37" s="1883" t="s">
        <v>1586</v>
      </c>
      <c r="B37" s="1895" t="s">
        <v>428</v>
      </c>
      <c r="C37" s="1896">
        <f>SUM('WP-AB'!D56:V56,'WP-AB'!AP56)</f>
        <v>0</v>
      </c>
      <c r="D37" s="1896">
        <f>SUM('WP-AB'!W56:AF56)</f>
        <v>0</v>
      </c>
      <c r="E37" s="1896">
        <f>SUM('WP-AB'!AG56,'WP-AB'!AH56,'WP-AB'!AI56,'WP-AB'!AJ56,'WP-AB'!AK56,'WP-AB'!AL56)</f>
        <v>35126414.310000002</v>
      </c>
      <c r="F37" s="1897">
        <f t="shared" si="1"/>
        <v>35126414.310000002</v>
      </c>
      <c r="G37" s="1903"/>
      <c r="H37" s="1459"/>
    </row>
    <row r="38" spans="1:9" s="1537" customFormat="1" ht="14.4">
      <c r="A38" s="1883" t="s">
        <v>1587</v>
      </c>
      <c r="B38" s="1895" t="s">
        <v>375</v>
      </c>
      <c r="C38" s="1896">
        <f>SUM('WP-AB'!D57:V57,'WP-AB'!AP57)</f>
        <v>5404120.7200000007</v>
      </c>
      <c r="D38" s="1896">
        <f>SUM('WP-AB'!W57:AF57)</f>
        <v>628179.26</v>
      </c>
      <c r="E38" s="1896">
        <f>SUM('WP-AB'!AG57,'WP-AB'!AH57,'WP-AB'!AI57,'WP-AB'!AJ57,'WP-AB'!AK57,'WP-AB'!AL57)</f>
        <v>844546.8</v>
      </c>
      <c r="F38" s="1897">
        <f t="shared" si="1"/>
        <v>6876846.7800000003</v>
      </c>
      <c r="G38" s="1903"/>
      <c r="H38" s="1459"/>
    </row>
    <row r="39" spans="1:9" s="1537" customFormat="1" ht="14.4">
      <c r="A39" s="1894" t="s">
        <v>1588</v>
      </c>
      <c r="B39" s="1895" t="s">
        <v>332</v>
      </c>
      <c r="C39" s="1896">
        <f>SUM('WP-AB'!D58:V58,'WP-AB'!AP58)</f>
        <v>5957272.25</v>
      </c>
      <c r="D39" s="1896">
        <f>SUM('WP-AB'!W58:AF58)</f>
        <v>916341.84</v>
      </c>
      <c r="E39" s="1896">
        <f>SUM('WP-AB'!AG58,'WP-AB'!AH58,'WP-AB'!AI58,'WP-AB'!AJ58,'WP-AB'!AK58,'WP-AB'!AL58)</f>
        <v>124888.97</v>
      </c>
      <c r="F39" s="1897">
        <f t="shared" si="1"/>
        <v>6998503.0599999996</v>
      </c>
      <c r="G39" s="1903"/>
      <c r="H39" s="1459"/>
    </row>
    <row r="40" spans="1:9" s="1537" customFormat="1" ht="14.4">
      <c r="A40" s="1894" t="s">
        <v>1589</v>
      </c>
      <c r="B40" s="1895" t="s">
        <v>429</v>
      </c>
      <c r="C40" s="1896">
        <f>SUM('WP-AB'!D60:V60,'WP-AB'!AP60)</f>
        <v>0</v>
      </c>
      <c r="D40" s="1896">
        <f>SUM('WP-AB'!W60:AF60)</f>
        <v>0</v>
      </c>
      <c r="E40" s="1896">
        <f>SUM('WP-AB'!AG60,'WP-AB'!AH60,'WP-AB'!AI60,'WP-AB'!AJ60,'WP-AB'!AK60,'WP-AB'!AL60)</f>
        <v>0</v>
      </c>
      <c r="F40" s="1897">
        <f t="shared" si="1"/>
        <v>0</v>
      </c>
      <c r="G40" s="1903"/>
      <c r="H40" s="1459"/>
    </row>
    <row r="41" spans="1:9" s="1537" customFormat="1" ht="14.4">
      <c r="A41" s="1894" t="s">
        <v>1590</v>
      </c>
      <c r="B41" s="1895" t="s">
        <v>738</v>
      </c>
      <c r="C41" s="1896">
        <f>SUM('WP-AB'!D59:V59,'WP-AB'!AP59)</f>
        <v>0</v>
      </c>
      <c r="D41" s="1896">
        <f>SUM('WP-AB'!W59:AF59)</f>
        <v>0</v>
      </c>
      <c r="E41" s="1896">
        <f>SUM('WP-AB'!AG59,'WP-AB'!AH59,'WP-AB'!AI59,'WP-AB'!AJ59,'WP-AB'!AK59,'WP-AB'!AL59)</f>
        <v>20773463.379999999</v>
      </c>
      <c r="F41" s="1897">
        <f t="shared" si="1"/>
        <v>20773463.379999999</v>
      </c>
      <c r="G41" s="1903"/>
      <c r="H41" s="1459"/>
    </row>
    <row r="42" spans="1:9" s="1537" customFormat="1" ht="14.4">
      <c r="A42" s="1894" t="s">
        <v>1591</v>
      </c>
      <c r="B42" s="1895" t="s">
        <v>430</v>
      </c>
      <c r="C42" s="1896">
        <f>SUM('WP-AB'!D61:V61,'WP-AB'!AP61)</f>
        <v>5975280</v>
      </c>
      <c r="D42" s="1896">
        <f>SUM('WP-AB'!W61:AF61)</f>
        <v>0</v>
      </c>
      <c r="E42" s="1896">
        <f>SUM('WP-AB'!AG61,'WP-AB'!AH61,'WP-AB'!AI61,'WP-AB'!AJ61,'WP-AB'!AK61,'WP-AB'!AL61)</f>
        <v>0</v>
      </c>
      <c r="F42" s="1897">
        <f t="shared" si="1"/>
        <v>5975280</v>
      </c>
      <c r="G42" s="1903"/>
      <c r="H42" s="1459"/>
    </row>
    <row r="43" spans="1:9" s="1537" customFormat="1" ht="14.4">
      <c r="A43" s="1894" t="s">
        <v>1592</v>
      </c>
      <c r="B43" s="1895" t="s">
        <v>142</v>
      </c>
      <c r="C43" s="1896">
        <f>SUM('WP-AB'!D62:V62,'WP-AB'!AP62)</f>
        <v>92125.489999999991</v>
      </c>
      <c r="D43" s="1896">
        <f>SUM('WP-AB'!W62:AF62)</f>
        <v>46133.760000000002</v>
      </c>
      <c r="E43" s="1896">
        <f>SUM('WP-AB'!AG62,'WP-AB'!AH62,'WP-AB'!AI62,'WP-AB'!AJ62,'WP-AB'!AK62,'WP-AB'!AL62)</f>
        <v>163443.20000000001</v>
      </c>
      <c r="F43" s="1897">
        <f t="shared" si="1"/>
        <v>301702.45</v>
      </c>
      <c r="G43" s="1903"/>
      <c r="H43" s="1459"/>
    </row>
    <row r="44" spans="1:9" s="1537" customFormat="1" ht="14.4">
      <c r="A44" s="1894" t="s">
        <v>1593</v>
      </c>
      <c r="B44" s="1895" t="s">
        <v>604</v>
      </c>
      <c r="C44" s="1896">
        <f>SUM('WP-AB'!D65:V65,'WP-AB'!AP65)</f>
        <v>0</v>
      </c>
      <c r="D44" s="1896">
        <f>SUM('WP-AB'!W65:AF65)</f>
        <v>0</v>
      </c>
      <c r="E44" s="1896">
        <f>SUM('WP-AB'!AG65,'WP-AB'!AH65,'WP-AB'!AI65,'WP-AB'!AJ65,'WP-AB'!AK65,'WP-AB'!AL65)</f>
        <v>219663.86</v>
      </c>
      <c r="F44" s="1897">
        <f t="shared" si="1"/>
        <v>219663.86</v>
      </c>
      <c r="G44" s="1903"/>
      <c r="H44" s="1459"/>
      <c r="I44" s="1881"/>
    </row>
    <row r="45" spans="1:9" s="1537" customFormat="1" ht="14.4">
      <c r="A45" s="1894" t="s">
        <v>1594</v>
      </c>
      <c r="B45" s="1895" t="s">
        <v>431</v>
      </c>
      <c r="C45" s="1896">
        <f>SUM('WP-AB'!D66:V66,'WP-AB'!AP66)</f>
        <v>117.66</v>
      </c>
      <c r="D45" s="1896">
        <f>SUM('WP-AB'!W66:AF66)</f>
        <v>0</v>
      </c>
      <c r="E45" s="1896">
        <f>SUM('WP-AB'!AG66,'WP-AB'!AH66,'WP-AB'!AI66,'WP-AB'!AJ66,'WP-AB'!AK66,'WP-AB'!AL66)</f>
        <v>12360597.189999999</v>
      </c>
      <c r="F45" s="1897">
        <f t="shared" si="1"/>
        <v>12360714.85</v>
      </c>
      <c r="G45" s="1903"/>
      <c r="H45" s="1459"/>
    </row>
    <row r="46" spans="1:9" s="1537" customFormat="1" ht="14.4">
      <c r="A46" s="1894" t="s">
        <v>1595</v>
      </c>
      <c r="B46" s="1895" t="s">
        <v>143</v>
      </c>
      <c r="C46" s="1896">
        <v>5016028.99</v>
      </c>
      <c r="D46" s="1896">
        <v>2838655.84</v>
      </c>
      <c r="E46" s="1896">
        <v>4369617.8100000005</v>
      </c>
      <c r="F46" s="1897">
        <f t="shared" si="1"/>
        <v>12224302.640000001</v>
      </c>
      <c r="G46" s="1903"/>
      <c r="H46" s="1459"/>
    </row>
    <row r="47" spans="1:9" s="1537" customFormat="1" ht="14.4">
      <c r="A47" s="1894" t="s">
        <v>1596</v>
      </c>
      <c r="B47" s="1895" t="s">
        <v>144</v>
      </c>
      <c r="C47" s="1896">
        <f>SUM('WP-AB'!D63:V63,'WP-AB'!AP63)</f>
        <v>0</v>
      </c>
      <c r="D47" s="1896">
        <f>SUM('WP-AB'!W63:AF63)</f>
        <v>0</v>
      </c>
      <c r="E47" s="1896">
        <f>SUM('WP-AB'!AG63,'WP-AB'!AH63,'WP-AB'!AI63,'WP-AB'!AJ63,'WP-AB'!AK63,'WP-AB'!AL63)</f>
        <v>2091068.94</v>
      </c>
      <c r="F47" s="1897">
        <f t="shared" si="1"/>
        <v>2091068.94</v>
      </c>
      <c r="G47" s="1903"/>
      <c r="H47" s="1459"/>
    </row>
    <row r="48" spans="1:9" s="1537" customFormat="1" ht="14.4">
      <c r="A48" s="1894" t="s">
        <v>1597</v>
      </c>
      <c r="B48" s="1895" t="s">
        <v>432</v>
      </c>
      <c r="C48" s="1896">
        <f>SUM('WP-AB'!D67:V67,'WP-AB'!AP67)</f>
        <v>0</v>
      </c>
      <c r="D48" s="1896">
        <f>SUM('WP-AB'!W67:AF67)</f>
        <v>0</v>
      </c>
      <c r="E48" s="1896">
        <f>SUM('WP-AB'!AF67,'WP-AB'!AG67,'WP-AB'!AH67,'WP-AB'!AI67,'WP-AB'!AJ67,'WP-AB'!AK67,'WP-AB'!AL67)</f>
        <v>4757236.82</v>
      </c>
      <c r="F48" s="1897">
        <f t="shared" ref="F48:F51" si="2">SUM(C48:E48)</f>
        <v>4757236.82</v>
      </c>
      <c r="H48" s="1459"/>
    </row>
    <row r="49" spans="1:9" s="1537" customFormat="1" ht="16.2">
      <c r="A49" s="1894" t="s">
        <v>1988</v>
      </c>
      <c r="B49" s="1904" t="s">
        <v>1987</v>
      </c>
      <c r="C49" s="1905"/>
      <c r="D49" s="1905"/>
      <c r="E49" s="1905">
        <f>SUM('WP-AB'!AG70:AN70,'WP-AB'!AR70:AV70)</f>
        <v>97555523.049999997</v>
      </c>
      <c r="F49" s="1897">
        <f t="shared" si="2"/>
        <v>97555523.049999997</v>
      </c>
      <c r="G49" s="1147"/>
      <c r="H49" s="1459"/>
    </row>
    <row r="50" spans="1:9" s="1537" customFormat="1" ht="14.4">
      <c r="A50" s="1894" t="s">
        <v>1989</v>
      </c>
      <c r="B50" s="1904" t="s">
        <v>1983</v>
      </c>
      <c r="C50" s="1905"/>
      <c r="D50" s="1905"/>
      <c r="E50" s="1905">
        <f>'WP-AB'!AX68</f>
        <v>0</v>
      </c>
      <c r="F50" s="1897">
        <f t="shared" si="2"/>
        <v>0</v>
      </c>
      <c r="H50" s="1459"/>
    </row>
    <row r="51" spans="1:9" s="1537" customFormat="1" ht="16.2">
      <c r="A51" s="1894" t="s">
        <v>1998</v>
      </c>
      <c r="B51" s="1904" t="s">
        <v>1992</v>
      </c>
      <c r="C51" s="1905"/>
      <c r="D51" s="1905"/>
      <c r="E51" s="1905">
        <f>SUM('WP-AB'!AO69,'WP-AB'!AP69)</f>
        <v>4212438.75</v>
      </c>
      <c r="F51" s="1897">
        <f t="shared" si="2"/>
        <v>4212438.75</v>
      </c>
      <c r="G51" s="1147" t="s">
        <v>628</v>
      </c>
      <c r="H51" s="1459"/>
    </row>
    <row r="52" spans="1:9" s="1537" customFormat="1" ht="15" thickBot="1">
      <c r="A52" s="1894" t="s">
        <v>541</v>
      </c>
      <c r="B52" s="1898" t="s">
        <v>1165</v>
      </c>
      <c r="C52" s="1899" t="s">
        <v>1165</v>
      </c>
      <c r="D52" s="1899" t="s">
        <v>1165</v>
      </c>
      <c r="E52" s="1899" t="s">
        <v>1165</v>
      </c>
      <c r="F52" s="1900" t="s">
        <v>1165</v>
      </c>
      <c r="G52" s="1918">
        <f>SUM(F19:F52)</f>
        <v>572170536.68999994</v>
      </c>
      <c r="H52" s="1906"/>
      <c r="I52" s="1881"/>
    </row>
    <row r="53" spans="1:9" s="1537" customFormat="1" ht="14.4">
      <c r="A53" s="1894" t="s">
        <v>1276</v>
      </c>
      <c r="B53" s="1901" t="s">
        <v>117</v>
      </c>
      <c r="C53" s="1896">
        <f>SUM('WP-AB'!D31:V31,'WP-AB'!AP31)</f>
        <v>16798711.330000002</v>
      </c>
      <c r="D53" s="1896">
        <f>SUM('WP-AB'!W31:AF31)</f>
        <v>0</v>
      </c>
      <c r="E53" s="1907">
        <f>SUM('WP-AB'!AG31,'WP-AB'!AH31,'WP-AB'!AI31,'WP-AB'!AJ31,'WP-AB'!AK31,'WP-AB'!AL31)</f>
        <v>0</v>
      </c>
      <c r="F53" s="1908">
        <f t="shared" si="1"/>
        <v>16798711.330000002</v>
      </c>
      <c r="G53" s="1902"/>
      <c r="H53" s="1459"/>
      <c r="I53" s="1881"/>
    </row>
    <row r="54" spans="1:9" s="1537" customFormat="1" ht="14.4">
      <c r="A54" s="1894" t="s">
        <v>1277</v>
      </c>
      <c r="B54" s="1895" t="s">
        <v>426</v>
      </c>
      <c r="C54" s="1896">
        <f>SUM('WP-AB'!D21:V21,'WP-AB'!AP21)</f>
        <v>12800204.43</v>
      </c>
      <c r="D54" s="1896">
        <f>SUM('WP-AB'!W21:AF21)</f>
        <v>0</v>
      </c>
      <c r="E54" s="1896">
        <f>SUM('WP-AB'!AG21,'WP-AB'!AH21,'WP-AB'!AI21,'WP-AB'!AJ21,'WP-AB'!AK21,'WP-AB'!AL21)</f>
        <v>0</v>
      </c>
      <c r="F54" s="1897">
        <f t="shared" si="1"/>
        <v>12800204.43</v>
      </c>
      <c r="G54" s="1903"/>
      <c r="H54" s="1459"/>
      <c r="I54" s="1881"/>
    </row>
    <row r="55" spans="1:9" s="1537" customFormat="1" ht="14.4">
      <c r="A55" s="1894" t="s">
        <v>1278</v>
      </c>
      <c r="B55" s="1895" t="s">
        <v>109</v>
      </c>
      <c r="C55" s="1896">
        <f>SUM('WP-AB'!D22:V22,'WP-AB'!AP22)</f>
        <v>2011.1</v>
      </c>
      <c r="D55" s="1896">
        <f>SUM('WP-AB'!W22:AF22)</f>
        <v>0</v>
      </c>
      <c r="E55" s="1896">
        <f>SUM('WP-AB'!AG22,'WP-AB'!AH22,'WP-AB'!AI22,'WP-AB'!AJ22,'WP-AB'!AK22,'WP-AB'!AL22)</f>
        <v>0</v>
      </c>
      <c r="F55" s="1897">
        <f t="shared" si="1"/>
        <v>2011.1</v>
      </c>
      <c r="G55" s="1903"/>
      <c r="H55" s="1459"/>
      <c r="I55" s="1881"/>
    </row>
    <row r="56" spans="1:9" s="1537" customFormat="1" ht="14.4">
      <c r="A56" s="1894" t="s">
        <v>1279</v>
      </c>
      <c r="B56" s="1895" t="s">
        <v>113</v>
      </c>
      <c r="C56" s="1896">
        <f>SUM('WP-AB'!D27:V27,'WP-AB'!AP27)</f>
        <v>811291.31</v>
      </c>
      <c r="D56" s="1896">
        <f>SUM('WP-AB'!W27:AF27)</f>
        <v>0</v>
      </c>
      <c r="E56" s="1896">
        <f>SUM('WP-AB'!AG27,'WP-AB'!AH27,'WP-AB'!AI27,'WP-AB'!AJ27,'WP-AB'!AK27,'WP-AB'!AL27)</f>
        <v>0</v>
      </c>
      <c r="F56" s="1897">
        <f t="shared" si="1"/>
        <v>811291.31</v>
      </c>
      <c r="G56" s="1903"/>
      <c r="H56" s="1459"/>
      <c r="I56" s="1881"/>
    </row>
    <row r="57" spans="1:9" s="1537" customFormat="1" ht="14.4">
      <c r="A57" s="1894" t="s">
        <v>1280</v>
      </c>
      <c r="B57" s="1895" t="s">
        <v>114</v>
      </c>
      <c r="C57" s="1896">
        <f>SUM('WP-AB'!D28:V28,'WP-AB'!AP28)</f>
        <v>17672643.32</v>
      </c>
      <c r="D57" s="1896">
        <f>SUM('WP-AB'!W28:AF28)</f>
        <v>0</v>
      </c>
      <c r="E57" s="1896">
        <f>SUM('WP-AB'!AG28,'WP-AB'!AH28,'WP-AB'!AI28,'WP-AB'!AJ28,'WP-AB'!AK28,'WP-AB'!AL28)</f>
        <v>0</v>
      </c>
      <c r="F57" s="1897">
        <f t="shared" si="1"/>
        <v>17672643.32</v>
      </c>
      <c r="G57" s="1903"/>
      <c r="H57" s="1459"/>
      <c r="I57" s="1881"/>
    </row>
    <row r="58" spans="1:9" s="1537" customFormat="1" ht="14.4">
      <c r="A58" s="1894" t="s">
        <v>1312</v>
      </c>
      <c r="B58" s="1895" t="s">
        <v>115</v>
      </c>
      <c r="C58" s="1896">
        <f>SUM('WP-AB'!D29:V29,'WP-AB'!AP29)</f>
        <v>9857189.75</v>
      </c>
      <c r="D58" s="1896">
        <f>SUM('WP-AB'!W29:AF29)</f>
        <v>0</v>
      </c>
      <c r="E58" s="1896">
        <f>SUM('WP-AB'!AG29,'WP-AB'!AH29,'WP-AB'!AI29,'WP-AB'!AJ29,'WP-AB'!AK29,'WP-AB'!AL29)</f>
        <v>0</v>
      </c>
      <c r="F58" s="1897">
        <f t="shared" si="1"/>
        <v>9857189.75</v>
      </c>
      <c r="G58" s="1903"/>
      <c r="H58" s="1459"/>
      <c r="I58" s="1881"/>
    </row>
    <row r="59" spans="1:9" s="1537" customFormat="1" ht="14.4">
      <c r="A59" s="1894" t="s">
        <v>1313</v>
      </c>
      <c r="B59" s="1895" t="s">
        <v>116</v>
      </c>
      <c r="C59" s="1896">
        <f>SUM('WP-AB'!D30:V30,'WP-AB'!AP30)</f>
        <v>14941182.93</v>
      </c>
      <c r="D59" s="1896">
        <f>SUM('WP-AB'!W30:AF30)</f>
        <v>0</v>
      </c>
      <c r="E59" s="1896">
        <f>SUM('WP-AB'!AG30,'WP-AB'!AH30,'WP-AB'!AI30,'WP-AB'!AJ30,'WP-AB'!AK30,'WP-AB'!AL30)</f>
        <v>0</v>
      </c>
      <c r="F59" s="1897">
        <f t="shared" si="1"/>
        <v>14941182.93</v>
      </c>
      <c r="G59" s="1903"/>
      <c r="H59" s="1459"/>
      <c r="I59" s="1881"/>
    </row>
    <row r="60" spans="1:9" s="1537" customFormat="1" ht="14.4">
      <c r="A60" s="1894" t="s">
        <v>1314</v>
      </c>
      <c r="B60" s="1895" t="s">
        <v>121</v>
      </c>
      <c r="C60" s="1896">
        <f>SUM('WP-AB'!D35:V35,'WP-AB'!AP35)</f>
        <v>0</v>
      </c>
      <c r="D60" s="1896">
        <f>SUM('WP-AB'!W35:AF35)</f>
        <v>0</v>
      </c>
      <c r="E60" s="1896">
        <f>SUM('WP-AB'!AG35,'WP-AB'!AH35,'WP-AB'!AI35,'WP-AB'!AJ35,'WP-AB'!AK35,'WP-AB'!AL35)</f>
        <v>0</v>
      </c>
      <c r="F60" s="1897">
        <f t="shared" si="1"/>
        <v>0</v>
      </c>
      <c r="G60" s="1903"/>
      <c r="H60" s="1459"/>
      <c r="I60" s="1881"/>
    </row>
    <row r="61" spans="1:9" s="1537" customFormat="1" ht="14.4">
      <c r="A61" s="1894" t="s">
        <v>1315</v>
      </c>
      <c r="B61" s="1895" t="s">
        <v>122</v>
      </c>
      <c r="C61" s="1896">
        <f>SUM('WP-AB'!D36:V36,'WP-AB'!AP36)</f>
        <v>904117.09999999986</v>
      </c>
      <c r="D61" s="1896">
        <f>SUM('WP-AB'!W36:AF36)</f>
        <v>0</v>
      </c>
      <c r="E61" s="1896">
        <f>SUM('WP-AB'!AG36,'WP-AB'!AH36,'WP-AB'!AI36,'WP-AB'!AJ36,'WP-AB'!AK36,'WP-AB'!AL36)</f>
        <v>0</v>
      </c>
      <c r="F61" s="1897">
        <f t="shared" si="1"/>
        <v>904117.09999999986</v>
      </c>
      <c r="G61" s="1903"/>
      <c r="H61" s="1459"/>
      <c r="I61" s="1881"/>
    </row>
    <row r="62" spans="1:9" s="1537" customFormat="1" ht="14.4">
      <c r="A62" s="1894" t="s">
        <v>1598</v>
      </c>
      <c r="B62" s="1895" t="s">
        <v>123</v>
      </c>
      <c r="C62" s="1896">
        <f>SUM('WP-AB'!D37:V37,'WP-AB'!AP37)</f>
        <v>30462175.910000004</v>
      </c>
      <c r="D62" s="1896">
        <f>SUM('WP-AB'!W37:AF37)</f>
        <v>0</v>
      </c>
      <c r="E62" s="1896">
        <f>SUM('WP-AB'!AG37,'WP-AB'!AH37,'WP-AB'!AI37,'WP-AB'!AJ37,'WP-AB'!AK37,'WP-AB'!AL37)</f>
        <v>0</v>
      </c>
      <c r="F62" s="1897">
        <f t="shared" si="1"/>
        <v>30462175.910000004</v>
      </c>
      <c r="G62" s="1903"/>
      <c r="H62" s="1459"/>
      <c r="I62" s="1909"/>
    </row>
    <row r="63" spans="1:9" s="1537" customFormat="1" ht="14.4">
      <c r="A63" s="1894" t="s">
        <v>1599</v>
      </c>
      <c r="B63" s="1895" t="s">
        <v>124</v>
      </c>
      <c r="C63" s="1896">
        <f>SUM('WP-AB'!D38:V38,'WP-AB'!AP38)</f>
        <v>3902592.72</v>
      </c>
      <c r="D63" s="1896">
        <f>SUM('WP-AB'!W38:AF38)</f>
        <v>0</v>
      </c>
      <c r="E63" s="1896">
        <f>SUM('WP-AB'!AG38,'WP-AB'!AH38,'WP-AB'!AI38,'WP-AB'!AJ38,'WP-AB'!AK38,'WP-AB'!AL38)</f>
        <v>0</v>
      </c>
      <c r="F63" s="1897">
        <f t="shared" si="1"/>
        <v>3902592.72</v>
      </c>
      <c r="G63" s="1903"/>
      <c r="H63" s="1459"/>
      <c r="I63" s="1909"/>
    </row>
    <row r="64" spans="1:9" s="1537" customFormat="1" ht="14.4">
      <c r="A64" s="1894" t="s">
        <v>1600</v>
      </c>
      <c r="B64" s="1895" t="s">
        <v>131</v>
      </c>
      <c r="C64" s="1896">
        <f>SUM('WP-AB'!D45:V45,'WP-AB'!AP45)</f>
        <v>0</v>
      </c>
      <c r="D64" s="1896">
        <f>SUM('WP-AB'!W45:AF45)</f>
        <v>76690.989999999991</v>
      </c>
      <c r="E64" s="1896">
        <f>SUM('WP-AB'!AG45,'WP-AB'!AH45,'WP-AB'!AI45,'WP-AB'!AJ45,'WP-AB'!AK45,'WP-AB'!AL45)</f>
        <v>0</v>
      </c>
      <c r="F64" s="1897">
        <f t="shared" si="1"/>
        <v>76690.989999999991</v>
      </c>
      <c r="G64" s="1903"/>
      <c r="H64" s="1459"/>
      <c r="I64" s="1909"/>
    </row>
    <row r="65" spans="1:10" s="1537" customFormat="1" ht="14.4">
      <c r="A65" s="1894" t="s">
        <v>1601</v>
      </c>
      <c r="B65" s="1895" t="s">
        <v>132</v>
      </c>
      <c r="C65" s="1896">
        <f>SUM('WP-AB'!D46:V46,'WP-AB'!AP46)</f>
        <v>0</v>
      </c>
      <c r="D65" s="1896">
        <f>SUM('WP-AB'!W46:AF46)</f>
        <v>5637952.4500000002</v>
      </c>
      <c r="E65" s="1896">
        <f>SUM('WP-AB'!AG46,'WP-AB'!AH46,'WP-AB'!AI46,'WP-AB'!AJ46,'WP-AB'!AK46,'WP-AB'!AL46)</f>
        <v>0</v>
      </c>
      <c r="F65" s="1897">
        <f t="shared" si="1"/>
        <v>5637952.4500000002</v>
      </c>
      <c r="G65" s="1903"/>
      <c r="H65" s="1459"/>
      <c r="I65" s="1886"/>
    </row>
    <row r="66" spans="1:10" s="1537" customFormat="1" ht="14.4">
      <c r="A66" s="1894" t="s">
        <v>1602</v>
      </c>
      <c r="B66" s="1895" t="s">
        <v>133</v>
      </c>
      <c r="C66" s="1896">
        <f>SUM('WP-AB'!D47:V47,'WP-AB'!AP47)</f>
        <v>364770.99</v>
      </c>
      <c r="D66" s="1896">
        <f>SUM('WP-AB'!W47:AF47)</f>
        <v>11336050.469999999</v>
      </c>
      <c r="E66" s="1896">
        <f>SUM('WP-AB'!AG47,'WP-AB'!AH47,'WP-AB'!AI47,'WP-AB'!AJ47,'WP-AB'!AK47,'WP-AB'!AL47)</f>
        <v>0</v>
      </c>
      <c r="F66" s="1897">
        <f t="shared" si="1"/>
        <v>11700821.459999999</v>
      </c>
      <c r="G66" s="1903"/>
      <c r="H66" s="1459"/>
      <c r="I66" s="1886"/>
    </row>
    <row r="67" spans="1:10" s="1537" customFormat="1" ht="14.4">
      <c r="A67" s="1894" t="s">
        <v>1603</v>
      </c>
      <c r="B67" s="1895" t="s">
        <v>134</v>
      </c>
      <c r="C67" s="1896">
        <f>SUM('WP-AB'!D48:V48,'WP-AB'!AP48)</f>
        <v>0</v>
      </c>
      <c r="D67" s="1896">
        <f>SUM('WP-AB'!W48:AF48)</f>
        <v>10722987.43</v>
      </c>
      <c r="E67" s="1896">
        <f>SUM('WP-AB'!AG48,'WP-AB'!AH48,'WP-AB'!AI48,'WP-AB'!AJ48,'WP-AB'!AK48,'WP-AB'!AL48)</f>
        <v>0</v>
      </c>
      <c r="F67" s="1897">
        <f t="shared" si="1"/>
        <v>10722987.43</v>
      </c>
      <c r="G67" s="1903"/>
      <c r="H67" s="1459"/>
      <c r="I67" s="1886"/>
      <c r="J67" s="1540"/>
    </row>
    <row r="68" spans="1:10" s="1537" customFormat="1" ht="14.4">
      <c r="A68" s="1894" t="s">
        <v>1604</v>
      </c>
      <c r="B68" s="1895" t="s">
        <v>135</v>
      </c>
      <c r="C68" s="1896">
        <f>SUM('WP-AB'!D49:V49,'WP-AB'!AP49)</f>
        <v>0</v>
      </c>
      <c r="D68" s="1896">
        <f>SUM('WP-AB'!W49:AF49)</f>
        <v>34001681.18</v>
      </c>
      <c r="E68" s="1896">
        <f>SUM('WP-AB'!AG49,'WP-AB'!AH49,'WP-AB'!AI49,'WP-AB'!AJ49,'WP-AB'!AK49,'WP-AB'!AL49)</f>
        <v>0</v>
      </c>
      <c r="F68" s="1897">
        <f t="shared" si="1"/>
        <v>34001681.18</v>
      </c>
      <c r="G68" s="1903"/>
      <c r="H68" s="1459"/>
      <c r="I68" s="1886"/>
      <c r="J68" s="1540"/>
    </row>
    <row r="69" spans="1:10" s="1537" customFormat="1" ht="16.2">
      <c r="A69" s="1894" t="s">
        <v>1605</v>
      </c>
      <c r="B69" s="1895" t="s">
        <v>136</v>
      </c>
      <c r="C69" s="1896">
        <f>SUM('WP-AB'!D50:V50,'WP-AB'!AP50)</f>
        <v>0</v>
      </c>
      <c r="D69" s="1896">
        <f>SUM('WP-AB'!W50:AF50)</f>
        <v>999460.47000000009</v>
      </c>
      <c r="E69" s="1896">
        <f>SUM('WP-AB'!AG50,'WP-AB'!AH50,'WP-AB'!AI50,'WP-AB'!AJ50,'WP-AB'!AK50,'WP-AB'!AL50)</f>
        <v>0</v>
      </c>
      <c r="F69" s="1897">
        <f t="shared" si="1"/>
        <v>999460.47000000009</v>
      </c>
      <c r="G69" s="1147" t="s">
        <v>629</v>
      </c>
      <c r="H69" s="1459"/>
      <c r="I69" s="1886"/>
      <c r="J69" s="1540"/>
    </row>
    <row r="70" spans="1:10" s="1537" customFormat="1" ht="15" thickBot="1">
      <c r="A70" s="1894" t="s">
        <v>541</v>
      </c>
      <c r="B70" s="1898" t="s">
        <v>1165</v>
      </c>
      <c r="C70" s="1899" t="s">
        <v>1165</v>
      </c>
      <c r="D70" s="1899" t="s">
        <v>1165</v>
      </c>
      <c r="E70" s="1899" t="s">
        <v>1165</v>
      </c>
      <c r="F70" s="1900" t="s">
        <v>1165</v>
      </c>
      <c r="G70" s="1148">
        <f>SUM(F53:F70)</f>
        <v>171291713.88</v>
      </c>
      <c r="H70" s="1906"/>
      <c r="I70" s="1886"/>
      <c r="J70" s="1883"/>
    </row>
    <row r="71" spans="1:10" s="1537" customFormat="1" ht="16.2">
      <c r="A71" s="1894" t="s">
        <v>1566</v>
      </c>
      <c r="B71" s="1895" t="s">
        <v>720</v>
      </c>
      <c r="C71" s="1896">
        <f>SUM('WP-AB'!D18:V18,'WP-AB'!AP18)</f>
        <v>197080310.19</v>
      </c>
      <c r="D71" s="1896">
        <f>SUM('WP-AB'!W18:AF18)</f>
        <v>49650645.75</v>
      </c>
      <c r="E71" s="1896">
        <f>SUM('WP-AB'!AG18,'WP-AB'!AH18,'WP-AB'!AI18,'WP-AB'!AJ18,'WP-AB'!AK18,'WP-AB'!AL18)</f>
        <v>1358935.04</v>
      </c>
      <c r="F71" s="1897">
        <f t="shared" si="1"/>
        <v>248089890.97999999</v>
      </c>
      <c r="G71" s="1149"/>
      <c r="H71" s="1459"/>
      <c r="I71" s="1886"/>
      <c r="J71" s="1883"/>
    </row>
    <row r="72" spans="1:10" s="1537" customFormat="1" ht="16.2">
      <c r="A72" s="1894" t="s">
        <v>1567</v>
      </c>
      <c r="B72" s="1895" t="s">
        <v>1990</v>
      </c>
      <c r="C72" s="1896"/>
      <c r="D72" s="1896"/>
      <c r="E72" s="1896">
        <f>SUM('WP-AB'!D71:AW71)</f>
        <v>32486543.649999999</v>
      </c>
      <c r="F72" s="1897">
        <f t="shared" si="1"/>
        <v>32486543.649999999</v>
      </c>
      <c r="G72" s="1149"/>
      <c r="H72" s="1459"/>
      <c r="I72" s="1886"/>
      <c r="J72" s="1883"/>
    </row>
    <row r="73" spans="1:10" s="1537" customFormat="1" ht="15" thickBot="1">
      <c r="A73" s="1898" t="s">
        <v>541</v>
      </c>
      <c r="B73" s="1898" t="s">
        <v>1165</v>
      </c>
      <c r="C73" s="1899" t="s">
        <v>1165</v>
      </c>
      <c r="D73" s="1899" t="s">
        <v>1165</v>
      </c>
      <c r="E73" s="1899" t="s">
        <v>1165</v>
      </c>
      <c r="F73" s="1148" t="s">
        <v>1165</v>
      </c>
      <c r="G73" s="1148">
        <f>SUM(F71:F73)</f>
        <v>280576434.63</v>
      </c>
      <c r="H73" s="1460"/>
      <c r="I73" s="1886"/>
      <c r="J73" s="1883"/>
    </row>
    <row r="74" spans="1:10" s="1537" customFormat="1" ht="14.4">
      <c r="A74" s="1894"/>
      <c r="B74" s="1895"/>
      <c r="C74" s="1896"/>
      <c r="D74" s="1896"/>
      <c r="E74" s="1896"/>
      <c r="F74" s="1897"/>
      <c r="G74" s="1897"/>
      <c r="H74" s="1460"/>
      <c r="I74" s="1886"/>
      <c r="J74" s="1883"/>
    </row>
    <row r="75" spans="1:10" s="1537" customFormat="1" ht="14.4">
      <c r="A75" s="1894">
        <v>5</v>
      </c>
      <c r="B75" s="1910" t="s">
        <v>713</v>
      </c>
      <c r="C75" s="1150">
        <f>SUM(C15:C71)</f>
        <v>735042681.66000009</v>
      </c>
      <c r="D75" s="1150">
        <f>SUM(D15:D71)</f>
        <v>286528837.70999998</v>
      </c>
      <c r="E75" s="1150">
        <f>SUM(E15:E71)</f>
        <v>1547256098.4000001</v>
      </c>
      <c r="F75" s="1146">
        <f>SUM(F15:F71)</f>
        <v>2568827617.7699981</v>
      </c>
      <c r="G75" s="1146">
        <f>SUM(G15:G73)</f>
        <v>2601314161.4200001</v>
      </c>
      <c r="H75" s="1460"/>
      <c r="I75" s="1886"/>
      <c r="J75" s="1883"/>
    </row>
    <row r="76" spans="1:10" s="1537" customFormat="1" ht="14.4">
      <c r="A76" s="1911"/>
      <c r="C76" s="1540"/>
      <c r="D76" s="1540"/>
      <c r="E76" s="1912"/>
      <c r="F76" s="1913"/>
      <c r="G76" s="1914"/>
      <c r="H76" s="1460"/>
      <c r="I76" s="1886"/>
      <c r="J76" s="1883"/>
    </row>
    <row r="77" spans="1:10" s="1537" customFormat="1" ht="14.4">
      <c r="A77" s="1915"/>
      <c r="C77" s="1540"/>
      <c r="D77" s="1540"/>
      <c r="E77" s="1540"/>
      <c r="F77" s="1913"/>
      <c r="G77" s="1152"/>
      <c r="H77" s="1460"/>
      <c r="I77" s="1886"/>
      <c r="J77" s="1883"/>
    </row>
    <row r="78" spans="1:10" s="1540" customFormat="1">
      <c r="A78" s="1916"/>
      <c r="F78" s="1917"/>
      <c r="G78" s="1917"/>
      <c r="H78" s="1460"/>
      <c r="I78" s="1886"/>
      <c r="J78" s="1883"/>
    </row>
    <row r="79" spans="1:10" s="1540" customFormat="1">
      <c r="A79" s="1916"/>
      <c r="F79" s="1917"/>
      <c r="G79" s="1917"/>
      <c r="H79" s="1460"/>
      <c r="I79" s="1886"/>
      <c r="J79" s="1883"/>
    </row>
    <row r="80" spans="1:10" s="1540" customFormat="1">
      <c r="H80" s="1460"/>
      <c r="I80" s="1886"/>
      <c r="J80" s="1883"/>
    </row>
  </sheetData>
  <sortState xmlns:xlrd2="http://schemas.microsoft.com/office/spreadsheetml/2017/richdata2" ref="B8:H40">
    <sortCondition ref="H8:H40"/>
    <sortCondition ref="B8:B40"/>
  </sortState>
  <customSheetViews>
    <customSheetView guid="{B321D76C-CDE5-48BB-9CDE-80FF97D58FCF}" showPageBreaks="1" fitToPage="1" printArea="1" view="pageBreakPreview">
      <selection activeCell="D33" sqref="D33"/>
      <pageMargins left="0.25" right="0.25" top="0.25" bottom="0.25" header="0.3" footer="0.3"/>
      <printOptions horizontalCentered="1"/>
      <pageSetup scale="70" orientation="portrait" r:id="rId1"/>
    </customSheetView>
  </customSheetViews>
  <mergeCells count="6">
    <mergeCell ref="A10:G10"/>
    <mergeCell ref="A4:G4"/>
    <mergeCell ref="A5:G5"/>
    <mergeCell ref="A6:G6"/>
    <mergeCell ref="A8:G8"/>
    <mergeCell ref="A9:G9"/>
  </mergeCells>
  <printOptions horizontalCentered="1"/>
  <pageMargins left="0.25" right="0.25" top="0.25" bottom="0.25" header="0.3" footer="0.3"/>
  <pageSetup scale="65"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rgb="FF92D050"/>
  </sheetPr>
  <dimension ref="A2:AX103"/>
  <sheetViews>
    <sheetView view="pageBreakPreview" zoomScale="80" zoomScaleNormal="118" zoomScaleSheetLayoutView="80" workbookViewId="0">
      <pane xSplit="3" ySplit="16" topLeftCell="D17" activePane="bottomRight" state="frozen"/>
      <selection activeCell="G35" sqref="G35"/>
      <selection pane="topRight" activeCell="G35" sqref="G35"/>
      <selection pane="bottomLeft" activeCell="G35" sqref="G35"/>
      <selection pane="bottomRight" activeCell="AM70" sqref="AM70"/>
    </sheetView>
  </sheetViews>
  <sheetFormatPr defaultColWidth="9" defaultRowHeight="14.4"/>
  <cols>
    <col min="1" max="1" width="9" style="1532"/>
    <col min="2" max="2" width="15.44140625" style="1532" customWidth="1"/>
    <col min="3" max="3" width="42" style="1532" customWidth="1"/>
    <col min="4" max="4" width="15.44140625" style="1534" bestFit="1" customWidth="1"/>
    <col min="5" max="5" width="15.33203125" style="1534" bestFit="1" customWidth="1"/>
    <col min="6" max="6" width="16" style="1534" customWidth="1"/>
    <col min="7" max="7" width="23.44140625" style="1535" customWidth="1"/>
    <col min="8" max="8" width="16.21875" style="1535" bestFit="1" customWidth="1"/>
    <col min="9" max="9" width="15.44140625" style="1535" customWidth="1"/>
    <col min="10" max="10" width="13.109375" style="1535" customWidth="1"/>
    <col min="11" max="11" width="29.109375" style="1535" customWidth="1"/>
    <col min="12" max="12" width="15.21875" style="1535" bestFit="1" customWidth="1"/>
    <col min="13" max="13" width="13.21875" style="1535" bestFit="1" customWidth="1"/>
    <col min="14" max="14" width="12.44140625" style="1535" bestFit="1" customWidth="1"/>
    <col min="15" max="15" width="15.33203125" style="1535" customWidth="1"/>
    <col min="16" max="16" width="15.21875" style="1535" customWidth="1"/>
    <col min="17" max="17" width="13.109375" style="1535" customWidth="1"/>
    <col min="18" max="18" width="18" style="1535" customWidth="1"/>
    <col min="19" max="19" width="17" style="1535" customWidth="1"/>
    <col min="20" max="20" width="17.21875" style="1535" bestFit="1" customWidth="1"/>
    <col min="21" max="21" width="14.44140625" style="1535" bestFit="1" customWidth="1"/>
    <col min="22" max="22" width="21.109375" style="1535" bestFit="1" customWidth="1"/>
    <col min="23" max="23" width="15" style="1535" customWidth="1"/>
    <col min="24" max="24" width="14.33203125" style="1535" customWidth="1"/>
    <col min="25" max="25" width="16.21875" style="1535" bestFit="1" customWidth="1"/>
    <col min="26" max="26" width="15.77734375" style="1535" bestFit="1" customWidth="1"/>
    <col min="27" max="27" width="16.21875" style="1535" bestFit="1" customWidth="1"/>
    <col min="28" max="28" width="16.33203125" style="1535" bestFit="1" customWidth="1"/>
    <col min="29" max="29" width="15.44140625" style="1535" bestFit="1" customWidth="1"/>
    <col min="30" max="31" width="16" style="1535" bestFit="1" customWidth="1"/>
    <col min="32" max="32" width="15.33203125" style="1535" bestFit="1" customWidth="1"/>
    <col min="33" max="33" width="12.44140625" style="1535" bestFit="1" customWidth="1"/>
    <col min="34" max="34" width="17" style="1535" bestFit="1" customWidth="1"/>
    <col min="35" max="35" width="17.44140625" style="1535" bestFit="1" customWidth="1"/>
    <col min="36" max="36" width="16.44140625" style="1535" bestFit="1" customWidth="1"/>
    <col min="37" max="37" width="15.33203125" style="1535" bestFit="1" customWidth="1"/>
    <col min="38" max="38" width="14.21875" style="1535" bestFit="1" customWidth="1"/>
    <col min="39" max="49" width="14.21875" style="1535" customWidth="1"/>
    <col min="50" max="50" width="18" style="1535" bestFit="1" customWidth="1"/>
    <col min="51" max="16384" width="9" style="1532"/>
  </cols>
  <sheetData>
    <row r="2" spans="1:50" ht="18">
      <c r="B2" s="1533" t="s">
        <v>1150</v>
      </c>
      <c r="V2" s="1153" t="s">
        <v>601</v>
      </c>
      <c r="AX2" s="1153" t="s">
        <v>602</v>
      </c>
    </row>
    <row r="3" spans="1:50">
      <c r="B3" s="1537"/>
      <c r="V3" s="1536"/>
      <c r="AX3" s="1536"/>
    </row>
    <row r="4" spans="1:50" s="1537" customFormat="1" ht="17.399999999999999">
      <c r="B4" s="1538"/>
      <c r="C4" s="1538"/>
      <c r="D4" s="2030" t="s">
        <v>200</v>
      </c>
      <c r="E4" s="2030"/>
      <c r="F4" s="2030"/>
      <c r="G4" s="2030"/>
      <c r="H4" s="1539"/>
      <c r="I4" s="1539"/>
      <c r="J4" s="1539"/>
      <c r="K4" s="1539"/>
      <c r="L4" s="1539"/>
      <c r="M4" s="1539"/>
      <c r="N4" s="1539"/>
      <c r="O4" s="1539"/>
      <c r="P4" s="1539"/>
      <c r="Q4" s="1539"/>
      <c r="R4" s="1540"/>
      <c r="S4" s="1540"/>
      <c r="T4" s="1540"/>
      <c r="U4" s="1540"/>
      <c r="V4" s="1540"/>
      <c r="W4" s="1540"/>
      <c r="X4" s="1540"/>
      <c r="Y4" s="1540"/>
      <c r="Z4" s="1540"/>
      <c r="AA4" s="1540"/>
      <c r="AB4" s="1540"/>
      <c r="AC4" s="1540"/>
      <c r="AD4" s="1540"/>
      <c r="AE4" s="1540"/>
      <c r="AF4" s="1540"/>
      <c r="AG4" s="1540"/>
      <c r="AH4" s="1540"/>
      <c r="AI4" s="1540"/>
      <c r="AJ4" s="1540"/>
      <c r="AK4" s="1540"/>
      <c r="AL4" s="1540"/>
      <c r="AM4" s="1540"/>
      <c r="AN4" s="1540"/>
      <c r="AO4" s="1540"/>
      <c r="AP4" s="1540"/>
      <c r="AQ4" s="1540"/>
      <c r="AR4" s="1540"/>
      <c r="AS4" s="1540"/>
      <c r="AT4" s="1540"/>
      <c r="AU4" s="1540"/>
      <c r="AV4" s="1540"/>
      <c r="AW4" s="1540"/>
      <c r="AX4" s="1540"/>
    </row>
    <row r="5" spans="1:50" s="1537" customFormat="1" ht="17.399999999999999">
      <c r="B5" s="1538"/>
      <c r="C5" s="1538"/>
      <c r="D5" s="2030" t="s">
        <v>103</v>
      </c>
      <c r="E5" s="2030"/>
      <c r="F5" s="2030"/>
      <c r="G5" s="2030"/>
      <c r="H5" s="1539"/>
      <c r="I5" s="1539"/>
      <c r="J5" s="1539"/>
      <c r="K5" s="1539"/>
      <c r="L5" s="1539"/>
      <c r="M5" s="1539"/>
      <c r="N5" s="1539"/>
      <c r="O5" s="1539"/>
      <c r="P5" s="1539"/>
      <c r="Q5" s="1540"/>
      <c r="R5" s="1540"/>
      <c r="S5" s="1540"/>
      <c r="T5" s="1540"/>
      <c r="U5" s="1540"/>
      <c r="V5" s="1540"/>
      <c r="W5" s="1540"/>
      <c r="X5" s="1540"/>
      <c r="Y5" s="1540"/>
      <c r="Z5" s="1540"/>
      <c r="AA5" s="1540"/>
      <c r="AB5" s="1540"/>
      <c r="AC5" s="1540"/>
      <c r="AD5" s="1540"/>
      <c r="AE5" s="1540"/>
      <c r="AF5" s="1540"/>
      <c r="AG5" s="1540"/>
      <c r="AH5" s="1540"/>
      <c r="AI5" s="1540"/>
      <c r="AJ5" s="1540"/>
      <c r="AK5" s="1540"/>
      <c r="AL5" s="1540"/>
      <c r="AM5" s="1540"/>
      <c r="AN5" s="1540"/>
      <c r="AO5" s="1540"/>
      <c r="AP5" s="1540"/>
      <c r="AQ5" s="1540"/>
      <c r="AR5" s="1540"/>
      <c r="AS5" s="1540"/>
      <c r="AT5" s="1540"/>
      <c r="AU5" s="1540"/>
      <c r="AV5" s="1540"/>
      <c r="AW5" s="1540"/>
      <c r="AX5" s="1540"/>
    </row>
    <row r="6" spans="1:50" s="1537" customFormat="1" ht="17.399999999999999">
      <c r="B6" s="1538"/>
      <c r="C6" s="1538"/>
      <c r="D6" s="2031" t="str">
        <f>SUMMARY!A7</f>
        <v>YEAR ENDING DECEMBER 31, 2021</v>
      </c>
      <c r="E6" s="2031"/>
      <c r="F6" s="2031"/>
      <c r="G6" s="2031"/>
      <c r="H6" s="1539"/>
      <c r="I6" s="1539"/>
      <c r="J6" s="1539"/>
      <c r="K6" s="1539"/>
      <c r="L6" s="1539"/>
      <c r="M6" s="1539"/>
      <c r="N6" s="1539"/>
      <c r="O6" s="1539"/>
      <c r="P6" s="1539"/>
      <c r="Q6" s="1540"/>
      <c r="R6" s="1540"/>
      <c r="S6" s="1540"/>
      <c r="T6" s="1540"/>
      <c r="U6" s="1540"/>
      <c r="V6" s="1540"/>
      <c r="W6" s="1540"/>
      <c r="X6" s="1540"/>
      <c r="Y6" s="1540"/>
      <c r="Z6" s="1540"/>
      <c r="AA6" s="1540"/>
      <c r="AB6" s="1540"/>
      <c r="AC6" s="1540"/>
      <c r="AD6" s="1540"/>
      <c r="AE6" s="1540"/>
      <c r="AF6" s="1540"/>
      <c r="AG6" s="1540"/>
      <c r="AH6" s="1540"/>
      <c r="AI6" s="1540"/>
      <c r="AJ6" s="1540"/>
      <c r="AK6" s="1540"/>
      <c r="AL6" s="1540"/>
      <c r="AM6" s="1540"/>
      <c r="AN6" s="1540"/>
      <c r="AO6" s="1540"/>
      <c r="AP6" s="1540"/>
      <c r="AQ6" s="1540"/>
      <c r="AR6" s="1540"/>
      <c r="AS6" s="1540"/>
      <c r="AT6" s="1540"/>
      <c r="AU6" s="1540"/>
      <c r="AV6" s="1540"/>
      <c r="AW6" s="1540"/>
      <c r="AX6" s="1540"/>
    </row>
    <row r="7" spans="1:50" s="1537" customFormat="1" ht="17.399999999999999">
      <c r="B7" s="1541"/>
      <c r="C7" s="1453"/>
      <c r="D7" s="1541"/>
      <c r="E7" s="1542"/>
      <c r="F7" s="1541"/>
      <c r="G7" s="1543"/>
      <c r="H7" s="1543"/>
      <c r="I7" s="1543"/>
      <c r="J7" s="1540"/>
      <c r="K7" s="1540"/>
      <c r="L7" s="1540"/>
      <c r="M7" s="1540"/>
      <c r="N7" s="1540"/>
      <c r="O7" s="1540"/>
      <c r="P7" s="1540"/>
      <c r="Q7" s="1540"/>
      <c r="R7" s="1540"/>
      <c r="S7" s="1540"/>
      <c r="T7" s="1540"/>
      <c r="U7" s="1540"/>
      <c r="V7" s="1540"/>
      <c r="W7" s="1540"/>
      <c r="X7" s="1540"/>
      <c r="Y7" s="1540"/>
      <c r="Z7" s="1540"/>
      <c r="AA7" s="1540"/>
      <c r="AB7" s="1540"/>
      <c r="AC7" s="1540"/>
      <c r="AD7" s="1540"/>
      <c r="AE7" s="1540"/>
      <c r="AF7" s="1540"/>
      <c r="AG7" s="1540"/>
      <c r="AH7" s="1540"/>
      <c r="AI7" s="1540"/>
      <c r="AJ7" s="1540"/>
      <c r="AK7" s="1540"/>
      <c r="AL7" s="1540"/>
      <c r="AM7" s="1540"/>
      <c r="AN7" s="1540"/>
      <c r="AO7" s="1540"/>
      <c r="AP7" s="1540"/>
      <c r="AQ7" s="1540"/>
      <c r="AR7" s="1540"/>
      <c r="AS7" s="1540"/>
      <c r="AT7" s="1540"/>
      <c r="AU7" s="1540"/>
      <c r="AV7" s="1540"/>
      <c r="AW7" s="1540"/>
      <c r="AX7" s="1540"/>
    </row>
    <row r="8" spans="1:50" s="1537" customFormat="1" ht="17.399999999999999">
      <c r="B8" s="1544"/>
      <c r="C8" s="1544"/>
      <c r="D8" s="2032" t="s">
        <v>944</v>
      </c>
      <c r="E8" s="2032"/>
      <c r="F8" s="2032"/>
      <c r="G8" s="2032"/>
      <c r="H8" s="1545"/>
      <c r="I8" s="1545"/>
      <c r="J8" s="1545"/>
      <c r="K8" s="1545"/>
      <c r="L8" s="1545"/>
      <c r="M8" s="1545"/>
      <c r="N8" s="1545"/>
      <c r="O8" s="1545"/>
      <c r="P8" s="1545"/>
      <c r="Q8" s="1545"/>
      <c r="R8" s="1540"/>
      <c r="S8" s="1540"/>
      <c r="T8" s="1540"/>
      <c r="U8" s="1540"/>
      <c r="V8" s="1540"/>
      <c r="W8" s="1540"/>
      <c r="X8" s="1540"/>
      <c r="Y8" s="1540"/>
      <c r="Z8" s="1540"/>
      <c r="AA8" s="1540"/>
      <c r="AB8" s="1540"/>
      <c r="AC8" s="1540"/>
      <c r="AD8" s="1540"/>
      <c r="AE8" s="1540"/>
      <c r="AF8" s="1540"/>
      <c r="AG8" s="1540"/>
      <c r="AH8" s="1540"/>
      <c r="AI8" s="1540"/>
      <c r="AJ8" s="1540"/>
      <c r="AK8" s="1540"/>
      <c r="AL8" s="1540"/>
      <c r="AM8" s="1540"/>
      <c r="AN8" s="1540"/>
      <c r="AO8" s="1540"/>
      <c r="AP8" s="1540"/>
      <c r="AQ8" s="1540"/>
      <c r="AR8" s="1540"/>
      <c r="AS8" s="1540"/>
      <c r="AT8" s="1540"/>
      <c r="AU8" s="1540"/>
      <c r="AV8" s="1540"/>
      <c r="AW8" s="1540"/>
      <c r="AX8" s="1540"/>
    </row>
    <row r="9" spans="1:50" s="1537" customFormat="1" ht="17.399999999999999">
      <c r="B9" s="1546"/>
      <c r="C9" s="1546"/>
      <c r="D9" s="2029" t="s">
        <v>762</v>
      </c>
      <c r="E9" s="2029"/>
      <c r="F9" s="2029"/>
      <c r="G9" s="2029"/>
      <c r="H9" s="1547"/>
      <c r="I9" s="1539"/>
      <c r="J9" s="1539"/>
      <c r="K9" s="1539"/>
      <c r="L9" s="1539"/>
      <c r="M9" s="1539"/>
      <c r="N9" s="1539"/>
      <c r="O9" s="1539"/>
      <c r="P9" s="1539"/>
      <c r="Q9" s="1539"/>
      <c r="R9" s="1540"/>
      <c r="S9" s="1540"/>
      <c r="T9" s="1540"/>
      <c r="U9" s="1540"/>
      <c r="V9" s="1540"/>
      <c r="W9" s="1540"/>
      <c r="X9" s="1540"/>
      <c r="Y9" s="1540"/>
      <c r="Z9" s="1540"/>
      <c r="AA9" s="1540"/>
      <c r="AB9" s="1540"/>
      <c r="AC9" s="1540"/>
      <c r="AD9" s="1540"/>
      <c r="AE9" s="1540"/>
      <c r="AF9" s="1540"/>
      <c r="AG9" s="1540"/>
      <c r="AH9" s="1540"/>
      <c r="AI9" s="1540"/>
      <c r="AJ9" s="1540"/>
      <c r="AK9" s="1540"/>
      <c r="AL9" s="1540"/>
      <c r="AM9" s="1540"/>
      <c r="AN9" s="1540"/>
      <c r="AO9" s="1540"/>
      <c r="AP9" s="1540"/>
      <c r="AQ9" s="1540"/>
      <c r="AR9" s="1540"/>
      <c r="AS9" s="1540"/>
      <c r="AT9" s="1540"/>
      <c r="AU9" s="1540"/>
      <c r="AV9" s="1540"/>
      <c r="AW9" s="1540"/>
      <c r="AX9" s="1540"/>
    </row>
    <row r="10" spans="1:50" s="1537" customFormat="1" ht="15.75" customHeight="1">
      <c r="B10" s="2029"/>
      <c r="C10" s="2029"/>
      <c r="D10" s="2029"/>
      <c r="E10" s="2029"/>
      <c r="F10" s="2029"/>
      <c r="G10" s="2029"/>
      <c r="H10" s="2029"/>
      <c r="I10" s="1540"/>
      <c r="J10" s="1540"/>
      <c r="K10" s="1540"/>
      <c r="L10" s="1540"/>
      <c r="M10" s="1540"/>
      <c r="N10" s="1540"/>
      <c r="O10" s="1540"/>
      <c r="P10" s="1540"/>
      <c r="Q10" s="1540"/>
      <c r="R10" s="1540"/>
      <c r="S10" s="1540"/>
      <c r="T10" s="1540"/>
      <c r="U10" s="1540"/>
      <c r="V10" s="1540"/>
      <c r="W10" s="1540"/>
      <c r="X10" s="1540"/>
      <c r="Y10" s="1540"/>
      <c r="Z10" s="1540"/>
      <c r="AA10" s="1540"/>
      <c r="AB10" s="1540"/>
      <c r="AC10" s="1540"/>
      <c r="AD10" s="1540"/>
      <c r="AE10" s="1540"/>
      <c r="AF10" s="1540"/>
      <c r="AG10" s="1540"/>
      <c r="AH10" s="1540"/>
      <c r="AI10" s="1540"/>
      <c r="AJ10" s="1540"/>
      <c r="AK10" s="1540"/>
      <c r="AL10" s="1540"/>
      <c r="AM10" s="1540"/>
      <c r="AN10" s="1540"/>
      <c r="AO10" s="1540"/>
      <c r="AP10" s="1540"/>
      <c r="AQ10" s="1548"/>
      <c r="AR10" s="1540"/>
      <c r="AS10" s="1540"/>
      <c r="AT10" s="1548"/>
      <c r="AU10" s="1540"/>
      <c r="AV10" s="1540"/>
      <c r="AW10" s="1540"/>
      <c r="AX10" s="1540"/>
    </row>
    <row r="11" spans="1:50" ht="21">
      <c r="B11" s="1154" t="s">
        <v>716</v>
      </c>
      <c r="C11" s="1549"/>
    </row>
    <row r="12" spans="1:50" s="1550" customFormat="1">
      <c r="B12" s="1550" t="s">
        <v>192</v>
      </c>
      <c r="C12" s="1550" t="s">
        <v>193</v>
      </c>
      <c r="D12" s="1551" t="s">
        <v>194</v>
      </c>
      <c r="E12" s="1551" t="s">
        <v>195</v>
      </c>
      <c r="F12" s="1551" t="s">
        <v>196</v>
      </c>
      <c r="G12" s="1551" t="s">
        <v>371</v>
      </c>
      <c r="H12" s="1551" t="s">
        <v>372</v>
      </c>
      <c r="I12" s="1551" t="s">
        <v>900</v>
      </c>
      <c r="J12" s="1551" t="s">
        <v>901</v>
      </c>
      <c r="K12" s="1551" t="s">
        <v>902</v>
      </c>
      <c r="L12" s="1551" t="s">
        <v>903</v>
      </c>
      <c r="M12" s="1551" t="s">
        <v>1225</v>
      </c>
      <c r="N12" s="1551" t="s">
        <v>1243</v>
      </c>
      <c r="O12" s="1551" t="s">
        <v>485</v>
      </c>
      <c r="P12" s="1551" t="s">
        <v>486</v>
      </c>
      <c r="Q12" s="1551" t="s">
        <v>487</v>
      </c>
      <c r="R12" s="1551" t="s">
        <v>1244</v>
      </c>
      <c r="S12" s="1551" t="s">
        <v>1245</v>
      </c>
      <c r="T12" s="1551" t="s">
        <v>1246</v>
      </c>
      <c r="U12" s="1551" t="s">
        <v>1225</v>
      </c>
      <c r="V12" s="1551" t="s">
        <v>1247</v>
      </c>
      <c r="W12" s="1551" t="s">
        <v>1248</v>
      </c>
      <c r="X12" s="1551" t="s">
        <v>1249</v>
      </c>
      <c r="Y12" s="1551" t="s">
        <v>1250</v>
      </c>
      <c r="Z12" s="1551" t="s">
        <v>1251</v>
      </c>
      <c r="AA12" s="1551" t="s">
        <v>1252</v>
      </c>
      <c r="AB12" s="1551" t="s">
        <v>1253</v>
      </c>
      <c r="AC12" s="1551" t="s">
        <v>1254</v>
      </c>
      <c r="AD12" s="1551" t="s">
        <v>1255</v>
      </c>
      <c r="AE12" s="1551" t="s">
        <v>1256</v>
      </c>
      <c r="AF12" s="1551" t="s">
        <v>1257</v>
      </c>
      <c r="AG12" s="1551" t="s">
        <v>1258</v>
      </c>
      <c r="AH12" s="1551" t="s">
        <v>1259</v>
      </c>
      <c r="AI12" s="1551" t="s">
        <v>1260</v>
      </c>
      <c r="AJ12" s="1551" t="s">
        <v>1261</v>
      </c>
      <c r="AK12" s="1551" t="s">
        <v>1262</v>
      </c>
      <c r="AL12" s="1551" t="s">
        <v>1263</v>
      </c>
      <c r="AM12" s="1551" t="s">
        <v>1264</v>
      </c>
      <c r="AN12" s="1551">
        <v>-38</v>
      </c>
      <c r="AO12" s="1551">
        <v>-39</v>
      </c>
      <c r="AP12" s="1551">
        <v>-40</v>
      </c>
      <c r="AQ12" s="1551">
        <v>-41</v>
      </c>
      <c r="AR12" s="1551">
        <v>-42</v>
      </c>
      <c r="AS12" s="1551">
        <v>-43</v>
      </c>
      <c r="AT12" s="1551">
        <v>-44</v>
      </c>
      <c r="AU12" s="1551">
        <v>-45</v>
      </c>
      <c r="AV12" s="1551">
        <v>-46</v>
      </c>
      <c r="AW12" s="1551">
        <v>-47</v>
      </c>
      <c r="AX12" s="1551">
        <v>-48</v>
      </c>
    </row>
    <row r="13" spans="1:50" s="1552" customFormat="1">
      <c r="B13" s="1553"/>
      <c r="C13" s="1553"/>
      <c r="D13" s="1534"/>
      <c r="E13" s="1534"/>
      <c r="F13" s="1534"/>
      <c r="G13" s="1534"/>
      <c r="H13" s="1534"/>
      <c r="I13" s="1534"/>
      <c r="J13" s="1534"/>
      <c r="K13" s="1534"/>
      <c r="L13" s="1534"/>
      <c r="M13" s="1534"/>
      <c r="N13" s="1534"/>
      <c r="O13" s="1534"/>
      <c r="P13" s="1534"/>
      <c r="Q13" s="1534"/>
      <c r="R13" s="1534"/>
      <c r="S13" s="1534"/>
      <c r="T13" s="1534"/>
      <c r="U13" s="1534"/>
      <c r="V13" s="1534"/>
      <c r="W13" s="1534"/>
      <c r="X13" s="1534"/>
      <c r="Y13" s="1534"/>
      <c r="Z13" s="1534"/>
      <c r="AA13" s="1534"/>
      <c r="AB13" s="1534"/>
      <c r="AC13" s="1534"/>
      <c r="AD13" s="1534"/>
      <c r="AE13" s="1534"/>
      <c r="AF13" s="1534"/>
      <c r="AG13" s="1534"/>
      <c r="AH13" s="1534"/>
      <c r="AI13" s="1534"/>
      <c r="AJ13" s="1534"/>
      <c r="AK13" s="1534"/>
      <c r="AL13" s="1534"/>
      <c r="AM13" s="1534"/>
      <c r="AN13" s="1534"/>
      <c r="AO13" s="1534"/>
      <c r="AP13" s="1534"/>
      <c r="AQ13" s="1534"/>
      <c r="AR13" s="1534"/>
      <c r="AS13" s="1534"/>
      <c r="AT13" s="1534"/>
      <c r="AU13" s="1534"/>
      <c r="AV13" s="1534"/>
      <c r="AW13" s="1535"/>
      <c r="AX13" s="1535"/>
    </row>
    <row r="14" spans="1:50">
      <c r="B14" s="1554" t="s">
        <v>31</v>
      </c>
      <c r="C14" s="1554"/>
      <c r="D14" s="1555" t="s">
        <v>338</v>
      </c>
      <c r="E14" s="1555" t="s">
        <v>31</v>
      </c>
      <c r="F14" s="1556" t="s">
        <v>31</v>
      </c>
      <c r="G14" s="1557" t="s">
        <v>31</v>
      </c>
      <c r="H14" s="1558" t="s">
        <v>31</v>
      </c>
      <c r="I14" s="1558" t="s">
        <v>31</v>
      </c>
      <c r="J14" s="1558" t="s">
        <v>31</v>
      </c>
      <c r="K14" s="1558" t="s">
        <v>31</v>
      </c>
      <c r="L14" s="1558" t="s">
        <v>31</v>
      </c>
      <c r="M14" s="1558" t="s">
        <v>31</v>
      </c>
      <c r="N14" s="1558" t="s">
        <v>31</v>
      </c>
      <c r="O14" s="1558" t="s">
        <v>31</v>
      </c>
      <c r="P14" s="1558" t="s">
        <v>31</v>
      </c>
      <c r="Q14" s="1558" t="s">
        <v>31</v>
      </c>
      <c r="R14" s="1558" t="s">
        <v>31</v>
      </c>
      <c r="S14" s="1558" t="s">
        <v>31</v>
      </c>
      <c r="T14" s="1558" t="s">
        <v>31</v>
      </c>
      <c r="U14" s="1558" t="s">
        <v>31</v>
      </c>
      <c r="V14" s="1558" t="s">
        <v>31</v>
      </c>
      <c r="W14" s="1558" t="s">
        <v>31</v>
      </c>
      <c r="X14" s="1558" t="s">
        <v>31</v>
      </c>
      <c r="Y14" s="1558" t="s">
        <v>31</v>
      </c>
      <c r="Z14" s="1558" t="s">
        <v>31</v>
      </c>
      <c r="AA14" s="1558" t="s">
        <v>31</v>
      </c>
      <c r="AB14" s="1558" t="s">
        <v>31</v>
      </c>
      <c r="AC14" s="1558" t="s">
        <v>31</v>
      </c>
      <c r="AD14" s="1558" t="s">
        <v>31</v>
      </c>
      <c r="AE14" s="1558" t="s">
        <v>31</v>
      </c>
      <c r="AF14" s="1558" t="s">
        <v>31</v>
      </c>
      <c r="AG14" s="1558" t="s">
        <v>31</v>
      </c>
      <c r="AH14" s="1558" t="s">
        <v>31</v>
      </c>
      <c r="AI14" s="1558" t="s">
        <v>31</v>
      </c>
      <c r="AJ14" s="1558" t="s">
        <v>31</v>
      </c>
      <c r="AK14" s="1558" t="s">
        <v>31</v>
      </c>
      <c r="AL14" s="1558" t="s">
        <v>31</v>
      </c>
      <c r="AM14" s="1559"/>
      <c r="AN14" s="1559"/>
      <c r="AO14" s="1559"/>
      <c r="AP14" s="1559"/>
      <c r="AQ14" s="1559"/>
      <c r="AR14" s="1559"/>
      <c r="AS14" s="1559"/>
      <c r="AT14" s="1559"/>
      <c r="AU14" s="1559"/>
      <c r="AV14" s="1559"/>
      <c r="AW14" s="1560"/>
      <c r="AX14" s="1558" t="s">
        <v>31</v>
      </c>
    </row>
    <row r="15" spans="1:50">
      <c r="B15" s="1554"/>
      <c r="C15" s="1554"/>
      <c r="D15" s="1557" t="s">
        <v>389</v>
      </c>
      <c r="E15" s="1557" t="s">
        <v>390</v>
      </c>
      <c r="F15" s="1557" t="s">
        <v>391</v>
      </c>
      <c r="G15" s="1557" t="s">
        <v>392</v>
      </c>
      <c r="H15" s="1557" t="s">
        <v>393</v>
      </c>
      <c r="I15" s="1557" t="s">
        <v>394</v>
      </c>
      <c r="J15" s="1557" t="s">
        <v>395</v>
      </c>
      <c r="K15" s="1557" t="s">
        <v>396</v>
      </c>
      <c r="L15" s="1557" t="s">
        <v>397</v>
      </c>
      <c r="M15" s="1557" t="s">
        <v>398</v>
      </c>
      <c r="N15" s="1557" t="s">
        <v>399</v>
      </c>
      <c r="O15" s="1557" t="s">
        <v>400</v>
      </c>
      <c r="P15" s="1557" t="s">
        <v>401</v>
      </c>
      <c r="Q15" s="1557" t="s">
        <v>402</v>
      </c>
      <c r="R15" s="1557" t="s">
        <v>403</v>
      </c>
      <c r="S15" s="1557" t="s">
        <v>404</v>
      </c>
      <c r="T15" s="1557" t="s">
        <v>405</v>
      </c>
      <c r="U15" s="1557" t="s">
        <v>406</v>
      </c>
      <c r="V15" s="1557" t="s">
        <v>407</v>
      </c>
      <c r="W15" s="1557" t="s">
        <v>408</v>
      </c>
      <c r="X15" s="1557" t="s">
        <v>409</v>
      </c>
      <c r="Y15" s="1557" t="s">
        <v>410</v>
      </c>
      <c r="Z15" s="1557" t="s">
        <v>411</v>
      </c>
      <c r="AA15" s="1557" t="s">
        <v>412</v>
      </c>
      <c r="AB15" s="1557" t="s">
        <v>413</v>
      </c>
      <c r="AC15" s="1557" t="s">
        <v>414</v>
      </c>
      <c r="AD15" s="1557" t="s">
        <v>415</v>
      </c>
      <c r="AE15" s="1557" t="s">
        <v>416</v>
      </c>
      <c r="AF15" s="1557" t="s">
        <v>442</v>
      </c>
      <c r="AG15" s="1557" t="s">
        <v>417</v>
      </c>
      <c r="AH15" s="1557" t="s">
        <v>418</v>
      </c>
      <c r="AI15" s="1557" t="s">
        <v>419</v>
      </c>
      <c r="AJ15" s="1557" t="s">
        <v>420</v>
      </c>
      <c r="AK15" s="1557" t="s">
        <v>421</v>
      </c>
      <c r="AL15" s="1557" t="s">
        <v>422</v>
      </c>
      <c r="AM15" s="1561" t="s">
        <v>1960</v>
      </c>
      <c r="AN15" s="1561" t="s">
        <v>1961</v>
      </c>
      <c r="AO15" s="1561" t="s">
        <v>2000</v>
      </c>
      <c r="AP15" s="1561" t="s">
        <v>1993</v>
      </c>
      <c r="AQ15" s="1561" t="s">
        <v>2019</v>
      </c>
      <c r="AR15" s="1561" t="s">
        <v>2020</v>
      </c>
      <c r="AS15" s="1561" t="s">
        <v>2021</v>
      </c>
      <c r="AT15" s="1561" t="s">
        <v>2022</v>
      </c>
      <c r="AU15" s="1561" t="s">
        <v>2023</v>
      </c>
      <c r="AV15" s="1561" t="s">
        <v>2024</v>
      </c>
      <c r="AW15" s="1562" t="s">
        <v>541</v>
      </c>
      <c r="AX15" s="1563" t="s">
        <v>218</v>
      </c>
    </row>
    <row r="16" spans="1:50">
      <c r="A16" s="1532" t="s">
        <v>1</v>
      </c>
      <c r="B16" s="1554" t="s">
        <v>443</v>
      </c>
      <c r="C16" s="1564"/>
      <c r="D16" s="1565" t="s">
        <v>65</v>
      </c>
      <c r="E16" s="1565" t="s">
        <v>63</v>
      </c>
      <c r="F16" s="1565" t="s">
        <v>64</v>
      </c>
      <c r="G16" s="1565" t="s">
        <v>86</v>
      </c>
      <c r="H16" s="1565" t="s">
        <v>423</v>
      </c>
      <c r="I16" s="1565" t="s">
        <v>220</v>
      </c>
      <c r="J16" s="1565" t="s">
        <v>162</v>
      </c>
      <c r="K16" s="1565" t="s">
        <v>154</v>
      </c>
      <c r="L16" s="1565" t="s">
        <v>164</v>
      </c>
      <c r="M16" s="1565" t="s">
        <v>182</v>
      </c>
      <c r="N16" s="1565" t="s">
        <v>163</v>
      </c>
      <c r="O16" s="1565" t="s">
        <v>311</v>
      </c>
      <c r="P16" s="1565" t="s">
        <v>312</v>
      </c>
      <c r="Q16" s="1565" t="s">
        <v>313</v>
      </c>
      <c r="R16" s="1565" t="s">
        <v>314</v>
      </c>
      <c r="S16" s="1565" t="s">
        <v>315</v>
      </c>
      <c r="T16" s="1565" t="s">
        <v>316</v>
      </c>
      <c r="U16" s="1565" t="s">
        <v>317</v>
      </c>
      <c r="V16" s="1565" t="s">
        <v>355</v>
      </c>
      <c r="W16" s="1565" t="s">
        <v>206</v>
      </c>
      <c r="X16" s="1565" t="s">
        <v>207</v>
      </c>
      <c r="Y16" s="1565" t="s">
        <v>208</v>
      </c>
      <c r="Z16" s="1565" t="s">
        <v>209</v>
      </c>
      <c r="AA16" s="1565" t="s">
        <v>210</v>
      </c>
      <c r="AB16" s="1565" t="s">
        <v>211</v>
      </c>
      <c r="AC16" s="1565" t="s">
        <v>212</v>
      </c>
      <c r="AD16" s="1565" t="s">
        <v>213</v>
      </c>
      <c r="AE16" s="1565" t="s">
        <v>214</v>
      </c>
      <c r="AF16" s="1565" t="s">
        <v>444</v>
      </c>
      <c r="AG16" s="1565" t="s">
        <v>424</v>
      </c>
      <c r="AH16" s="1565" t="s">
        <v>85</v>
      </c>
      <c r="AI16" s="1565" t="s">
        <v>318</v>
      </c>
      <c r="AJ16" s="1565" t="s">
        <v>319</v>
      </c>
      <c r="AK16" s="1565" t="s">
        <v>221</v>
      </c>
      <c r="AL16" s="1565" t="s">
        <v>219</v>
      </c>
      <c r="AM16" s="1566" t="s">
        <v>1962</v>
      </c>
      <c r="AN16" s="1566" t="s">
        <v>1963</v>
      </c>
      <c r="AO16" s="1566" t="s">
        <v>2001</v>
      </c>
      <c r="AP16" s="1566" t="s">
        <v>1994</v>
      </c>
      <c r="AQ16" s="1566" t="s">
        <v>2025</v>
      </c>
      <c r="AR16" s="1566" t="s">
        <v>2026</v>
      </c>
      <c r="AS16" s="1566" t="s">
        <v>2027</v>
      </c>
      <c r="AT16" s="1566" t="s">
        <v>2028</v>
      </c>
      <c r="AU16" s="1566" t="s">
        <v>2029</v>
      </c>
      <c r="AV16" s="1566" t="s">
        <v>2030</v>
      </c>
      <c r="AW16" s="1562" t="s">
        <v>1165</v>
      </c>
      <c r="AX16" s="1567"/>
    </row>
    <row r="17" spans="1:50">
      <c r="B17" s="1554"/>
      <c r="C17" s="1564"/>
      <c r="D17" s="1568"/>
      <c r="E17" s="1568"/>
      <c r="F17" s="1568"/>
      <c r="G17" s="1562"/>
      <c r="H17" s="1562"/>
      <c r="I17" s="1562"/>
      <c r="J17" s="1562"/>
      <c r="K17" s="1562"/>
      <c r="L17" s="1562"/>
      <c r="M17" s="1562"/>
      <c r="N17" s="1562"/>
      <c r="O17" s="1562"/>
      <c r="P17" s="1562"/>
      <c r="Q17" s="1562"/>
      <c r="R17" s="1562"/>
      <c r="S17" s="1562"/>
      <c r="T17" s="1562"/>
      <c r="U17" s="1562"/>
      <c r="V17" s="1562"/>
      <c r="W17" s="1562"/>
      <c r="X17" s="1562"/>
      <c r="Y17" s="1562"/>
      <c r="Z17" s="1562"/>
      <c r="AA17" s="1562"/>
      <c r="AB17" s="1562"/>
      <c r="AC17" s="1562"/>
      <c r="AD17" s="1562"/>
      <c r="AE17" s="1562"/>
      <c r="AF17" s="1562"/>
      <c r="AG17" s="1562"/>
      <c r="AH17" s="1562"/>
      <c r="AI17" s="1562"/>
      <c r="AJ17" s="1562"/>
      <c r="AK17" s="1562"/>
      <c r="AL17" s="1562"/>
      <c r="AM17" s="1569"/>
      <c r="AN17" s="1569"/>
      <c r="AO17" s="1569"/>
      <c r="AP17" s="1569"/>
      <c r="AQ17" s="1569"/>
      <c r="AR17" s="1569"/>
      <c r="AS17" s="1569"/>
      <c r="AT17" s="1569"/>
      <c r="AU17" s="1569"/>
      <c r="AV17" s="1569"/>
      <c r="AW17" s="1562"/>
      <c r="AX17" s="1570"/>
    </row>
    <row r="18" spans="1:50">
      <c r="A18" s="1552" t="s">
        <v>471</v>
      </c>
      <c r="B18" s="1571" t="s">
        <v>1919</v>
      </c>
      <c r="C18" s="1572" t="s">
        <v>720</v>
      </c>
      <c r="D18" s="1573">
        <v>10893051.58</v>
      </c>
      <c r="E18" s="1573">
        <v>25119541.219999999</v>
      </c>
      <c r="F18" s="1573">
        <v>54970627.299999997</v>
      </c>
      <c r="G18" s="1573">
        <v>26896</v>
      </c>
      <c r="H18" s="1573">
        <v>62016261</v>
      </c>
      <c r="I18" s="1573">
        <v>6997427.3399999999</v>
      </c>
      <c r="J18" s="1573">
        <v>1019921.71</v>
      </c>
      <c r="K18" s="1573">
        <v>1573239.84</v>
      </c>
      <c r="L18" s="1573">
        <v>1709731.56</v>
      </c>
      <c r="M18" s="1573">
        <v>699551.34</v>
      </c>
      <c r="N18" s="1573" t="s">
        <v>2077</v>
      </c>
      <c r="O18" s="1573">
        <v>1097306.1100000001</v>
      </c>
      <c r="P18" s="1573">
        <v>647355.64</v>
      </c>
      <c r="Q18" s="1573">
        <v>55610.080000000002</v>
      </c>
      <c r="R18" s="1573">
        <v>320340.32</v>
      </c>
      <c r="S18" s="1573">
        <v>68443.649999999994</v>
      </c>
      <c r="T18" s="1573">
        <v>117173.17</v>
      </c>
      <c r="U18" s="1573">
        <v>1509854.07</v>
      </c>
      <c r="V18" s="1573">
        <v>28237978.260000002</v>
      </c>
      <c r="W18" s="1573">
        <v>1499010.6</v>
      </c>
      <c r="X18" s="1573" t="s">
        <v>2077</v>
      </c>
      <c r="Y18" s="1573">
        <v>30451</v>
      </c>
      <c r="Z18" s="1573">
        <v>19703340.52</v>
      </c>
      <c r="AA18" s="1573">
        <v>9408251.3000000007</v>
      </c>
      <c r="AB18" s="1573">
        <v>4640981.71</v>
      </c>
      <c r="AC18" s="1573">
        <v>5181075.3</v>
      </c>
      <c r="AD18" s="1573">
        <v>9186372.3200000003</v>
      </c>
      <c r="AE18" s="1573">
        <v>1163</v>
      </c>
      <c r="AF18" s="1573" t="s">
        <v>2077</v>
      </c>
      <c r="AG18" s="1573" t="s">
        <v>2077</v>
      </c>
      <c r="AH18" s="1573" t="s">
        <v>2077</v>
      </c>
      <c r="AI18" s="1573" t="s">
        <v>2077</v>
      </c>
      <c r="AJ18" s="1573">
        <v>333958.74</v>
      </c>
      <c r="AK18" s="1573">
        <v>141985</v>
      </c>
      <c r="AL18" s="1573">
        <v>882991.3</v>
      </c>
      <c r="AM18" s="1573" t="s">
        <v>2077</v>
      </c>
      <c r="AN18" s="1573" t="s">
        <v>2077</v>
      </c>
      <c r="AO18" s="1573" t="s">
        <v>2077</v>
      </c>
      <c r="AP18" s="1573" t="s">
        <v>2077</v>
      </c>
      <c r="AQ18" s="1573" t="s">
        <v>2077</v>
      </c>
      <c r="AR18" s="1573" t="s">
        <v>2077</v>
      </c>
      <c r="AS18" s="1573" t="s">
        <v>2077</v>
      </c>
      <c r="AT18" s="1573" t="s">
        <v>2077</v>
      </c>
      <c r="AU18" s="1573" t="s">
        <v>2077</v>
      </c>
      <c r="AV18" s="1573" t="s">
        <v>2077</v>
      </c>
      <c r="AW18" s="1574"/>
      <c r="AX18" s="1575">
        <f>SUM(D18:AW18)</f>
        <v>248089890.98000005</v>
      </c>
    </row>
    <row r="19" spans="1:50">
      <c r="A19" s="1552" t="s">
        <v>473</v>
      </c>
      <c r="B19" s="1576" t="s">
        <v>1920</v>
      </c>
      <c r="C19" s="1577" t="s">
        <v>108</v>
      </c>
      <c r="D19" s="1573" t="s">
        <v>2077</v>
      </c>
      <c r="E19" s="1573" t="s">
        <v>2077</v>
      </c>
      <c r="F19" s="1573" t="s">
        <v>2077</v>
      </c>
      <c r="G19" s="1573" t="s">
        <v>2077</v>
      </c>
      <c r="H19" s="1573">
        <v>76901072.829999998</v>
      </c>
      <c r="I19" s="1573">
        <v>5173487.3</v>
      </c>
      <c r="J19" s="1573" t="s">
        <v>2077</v>
      </c>
      <c r="K19" s="1573" t="s">
        <v>2077</v>
      </c>
      <c r="L19" s="1573" t="s">
        <v>2077</v>
      </c>
      <c r="M19" s="1573" t="s">
        <v>2077</v>
      </c>
      <c r="N19" s="1573" t="s">
        <v>2077</v>
      </c>
      <c r="O19" s="1573">
        <v>3303462.06</v>
      </c>
      <c r="P19" s="1573">
        <v>3302119.88</v>
      </c>
      <c r="Q19" s="1573">
        <v>4105544.24</v>
      </c>
      <c r="R19" s="1573">
        <v>4580284.95</v>
      </c>
      <c r="S19" s="1573">
        <v>2134627.7000000002</v>
      </c>
      <c r="T19" s="1573">
        <v>3078038.1</v>
      </c>
      <c r="U19" s="1573">
        <v>4378717.76</v>
      </c>
      <c r="V19" s="1573">
        <v>82945253.209999993</v>
      </c>
      <c r="W19" s="1573" t="s">
        <v>2077</v>
      </c>
      <c r="X19" s="1573" t="s">
        <v>2077</v>
      </c>
      <c r="Y19" s="1573" t="s">
        <v>2077</v>
      </c>
      <c r="Z19" s="1573" t="s">
        <v>2077</v>
      </c>
      <c r="AA19" s="1573" t="s">
        <v>2077</v>
      </c>
      <c r="AB19" s="1573" t="s">
        <v>2077</v>
      </c>
      <c r="AC19" s="1573" t="s">
        <v>2077</v>
      </c>
      <c r="AD19" s="1573" t="s">
        <v>2077</v>
      </c>
      <c r="AE19" s="1573" t="s">
        <v>2077</v>
      </c>
      <c r="AF19" s="1573" t="s">
        <v>2077</v>
      </c>
      <c r="AG19" s="1573" t="s">
        <v>2077</v>
      </c>
      <c r="AH19" s="1573" t="s">
        <v>2077</v>
      </c>
      <c r="AI19" s="1573" t="s">
        <v>2077</v>
      </c>
      <c r="AJ19" s="1573" t="s">
        <v>2077</v>
      </c>
      <c r="AK19" s="1573" t="s">
        <v>2077</v>
      </c>
      <c r="AL19" s="1573" t="s">
        <v>2077</v>
      </c>
      <c r="AM19" s="1573" t="s">
        <v>2077</v>
      </c>
      <c r="AN19" s="1573" t="s">
        <v>2077</v>
      </c>
      <c r="AO19" s="1573" t="s">
        <v>2077</v>
      </c>
      <c r="AP19" s="1573" t="s">
        <v>2077</v>
      </c>
      <c r="AQ19" s="1573" t="s">
        <v>2077</v>
      </c>
      <c r="AR19" s="1573" t="s">
        <v>2077</v>
      </c>
      <c r="AS19" s="1573" t="s">
        <v>2077</v>
      </c>
      <c r="AT19" s="1573" t="s">
        <v>2077</v>
      </c>
      <c r="AU19" s="1573" t="s">
        <v>2077</v>
      </c>
      <c r="AV19" s="1573" t="s">
        <v>2077</v>
      </c>
      <c r="AW19" s="1574"/>
      <c r="AX19" s="1575">
        <f t="shared" ref="AX19:AX69" si="0">SUM(D19:AW19)</f>
        <v>189902608.02999997</v>
      </c>
    </row>
    <row r="20" spans="1:50">
      <c r="A20" s="1552" t="s">
        <v>494</v>
      </c>
      <c r="B20" s="1576" t="s">
        <v>1921</v>
      </c>
      <c r="C20" s="1577" t="s">
        <v>425</v>
      </c>
      <c r="D20" s="1573" t="s">
        <v>2077</v>
      </c>
      <c r="E20" s="1573" t="s">
        <v>2077</v>
      </c>
      <c r="F20" s="1573" t="s">
        <v>2077</v>
      </c>
      <c r="G20" s="1573" t="s">
        <v>2077</v>
      </c>
      <c r="H20" s="1573" t="s">
        <v>2077</v>
      </c>
      <c r="I20" s="1573" t="s">
        <v>2077</v>
      </c>
      <c r="J20" s="1573" t="s">
        <v>2077</v>
      </c>
      <c r="K20" s="1573" t="s">
        <v>2077</v>
      </c>
      <c r="L20" s="1573" t="s">
        <v>2077</v>
      </c>
      <c r="M20" s="1573" t="s">
        <v>2077</v>
      </c>
      <c r="N20" s="1573" t="s">
        <v>2077</v>
      </c>
      <c r="O20" s="1573" t="s">
        <v>2077</v>
      </c>
      <c r="P20" s="1573" t="s">
        <v>2077</v>
      </c>
      <c r="Q20" s="1573" t="s">
        <v>2077</v>
      </c>
      <c r="R20" s="1573" t="s">
        <v>2077</v>
      </c>
      <c r="S20" s="1573" t="s">
        <v>2077</v>
      </c>
      <c r="T20" s="1573" t="s">
        <v>2077</v>
      </c>
      <c r="U20" s="1573" t="s">
        <v>2077</v>
      </c>
      <c r="V20" s="1573" t="s">
        <v>2077</v>
      </c>
      <c r="W20" s="1573" t="s">
        <v>2077</v>
      </c>
      <c r="X20" s="1573" t="s">
        <v>2077</v>
      </c>
      <c r="Y20" s="1573" t="s">
        <v>2077</v>
      </c>
      <c r="Z20" s="1573" t="s">
        <v>2077</v>
      </c>
      <c r="AA20" s="1573" t="s">
        <v>2077</v>
      </c>
      <c r="AB20" s="1573" t="s">
        <v>2077</v>
      </c>
      <c r="AC20" s="1573" t="s">
        <v>2077</v>
      </c>
      <c r="AD20" s="1573" t="s">
        <v>2077</v>
      </c>
      <c r="AE20" s="1573" t="s">
        <v>2077</v>
      </c>
      <c r="AF20" s="1573" t="s">
        <v>2077</v>
      </c>
      <c r="AG20" s="1573" t="s">
        <v>2077</v>
      </c>
      <c r="AH20" s="1573" t="s">
        <v>2077</v>
      </c>
      <c r="AI20" s="1573" t="s">
        <v>2077</v>
      </c>
      <c r="AJ20" s="1573" t="s">
        <v>2077</v>
      </c>
      <c r="AK20" s="1573" t="s">
        <v>2077</v>
      </c>
      <c r="AL20" s="1573" t="s">
        <v>2077</v>
      </c>
      <c r="AM20" s="1573" t="s">
        <v>2077</v>
      </c>
      <c r="AN20" s="1573" t="s">
        <v>2077</v>
      </c>
      <c r="AO20" s="1573" t="s">
        <v>2077</v>
      </c>
      <c r="AP20" s="1573" t="s">
        <v>2077</v>
      </c>
      <c r="AQ20" s="1573" t="s">
        <v>2077</v>
      </c>
      <c r="AR20" s="1573" t="s">
        <v>2077</v>
      </c>
      <c r="AS20" s="1573" t="s">
        <v>2077</v>
      </c>
      <c r="AT20" s="1573" t="s">
        <v>2077</v>
      </c>
      <c r="AU20" s="1573" t="s">
        <v>2077</v>
      </c>
      <c r="AV20" s="1573" t="s">
        <v>2077</v>
      </c>
      <c r="AW20" s="1574"/>
      <c r="AX20" s="1575">
        <f t="shared" si="0"/>
        <v>0</v>
      </c>
    </row>
    <row r="21" spans="1:50">
      <c r="A21" s="1552" t="s">
        <v>495</v>
      </c>
      <c r="B21" s="1576" t="s">
        <v>1922</v>
      </c>
      <c r="C21" s="1577" t="s">
        <v>426</v>
      </c>
      <c r="D21" s="1573" t="s">
        <v>2077</v>
      </c>
      <c r="E21" s="1573" t="s">
        <v>2077</v>
      </c>
      <c r="F21" s="1573" t="s">
        <v>2077</v>
      </c>
      <c r="G21" s="1573" t="s">
        <v>2077</v>
      </c>
      <c r="H21" s="1573" t="s">
        <v>2077</v>
      </c>
      <c r="I21" s="1573">
        <v>11759910.76</v>
      </c>
      <c r="J21" s="1573" t="s">
        <v>2077</v>
      </c>
      <c r="K21" s="1573" t="s">
        <v>2077</v>
      </c>
      <c r="L21" s="1573" t="s">
        <v>2077</v>
      </c>
      <c r="M21" s="1573" t="s">
        <v>2077</v>
      </c>
      <c r="N21" s="1573" t="s">
        <v>2077</v>
      </c>
      <c r="O21" s="1573" t="s">
        <v>2077</v>
      </c>
      <c r="P21" s="1573" t="s">
        <v>2077</v>
      </c>
      <c r="Q21" s="1573" t="s">
        <v>2077</v>
      </c>
      <c r="R21" s="1573" t="s">
        <v>2077</v>
      </c>
      <c r="S21" s="1573" t="s">
        <v>2077</v>
      </c>
      <c r="T21" s="1573" t="s">
        <v>2077</v>
      </c>
      <c r="U21" s="1573" t="s">
        <v>2077</v>
      </c>
      <c r="V21" s="1573">
        <v>1040293.67</v>
      </c>
      <c r="W21" s="1573" t="s">
        <v>2077</v>
      </c>
      <c r="X21" s="1573" t="s">
        <v>2077</v>
      </c>
      <c r="Y21" s="1573" t="s">
        <v>2077</v>
      </c>
      <c r="Z21" s="1573" t="s">
        <v>2077</v>
      </c>
      <c r="AA21" s="1573" t="s">
        <v>2077</v>
      </c>
      <c r="AB21" s="1573" t="s">
        <v>2077</v>
      </c>
      <c r="AC21" s="1573" t="s">
        <v>2077</v>
      </c>
      <c r="AD21" s="1573" t="s">
        <v>2077</v>
      </c>
      <c r="AE21" s="1573" t="s">
        <v>2077</v>
      </c>
      <c r="AF21" s="1573" t="s">
        <v>2077</v>
      </c>
      <c r="AG21" s="1573" t="s">
        <v>2077</v>
      </c>
      <c r="AH21" s="1573" t="s">
        <v>2077</v>
      </c>
      <c r="AI21" s="1573" t="s">
        <v>2077</v>
      </c>
      <c r="AJ21" s="1573" t="s">
        <v>2077</v>
      </c>
      <c r="AK21" s="1573" t="s">
        <v>2077</v>
      </c>
      <c r="AL21" s="1573" t="s">
        <v>2077</v>
      </c>
      <c r="AM21" s="1573" t="s">
        <v>2077</v>
      </c>
      <c r="AN21" s="1573" t="s">
        <v>2077</v>
      </c>
      <c r="AO21" s="1573" t="s">
        <v>2077</v>
      </c>
      <c r="AP21" s="1573" t="s">
        <v>2077</v>
      </c>
      <c r="AQ21" s="1573" t="s">
        <v>2077</v>
      </c>
      <c r="AR21" s="1573" t="s">
        <v>2077</v>
      </c>
      <c r="AS21" s="1573" t="s">
        <v>2077</v>
      </c>
      <c r="AT21" s="1573" t="s">
        <v>2077</v>
      </c>
      <c r="AU21" s="1573" t="s">
        <v>2077</v>
      </c>
      <c r="AV21" s="1573" t="s">
        <v>2077</v>
      </c>
      <c r="AW21" s="1574"/>
      <c r="AX21" s="1575">
        <f t="shared" si="0"/>
        <v>12800204.43</v>
      </c>
    </row>
    <row r="22" spans="1:50">
      <c r="A22" s="1552" t="s">
        <v>496</v>
      </c>
      <c r="B22" s="1576" t="s">
        <v>1923</v>
      </c>
      <c r="C22" s="1577" t="s">
        <v>109</v>
      </c>
      <c r="D22" s="1573" t="s">
        <v>2077</v>
      </c>
      <c r="E22" s="1573" t="s">
        <v>2077</v>
      </c>
      <c r="F22" s="1573" t="s">
        <v>2077</v>
      </c>
      <c r="G22" s="1573" t="s">
        <v>2077</v>
      </c>
      <c r="H22" s="1573" t="s">
        <v>2077</v>
      </c>
      <c r="I22" s="1573" t="s">
        <v>2077</v>
      </c>
      <c r="J22" s="1573" t="s">
        <v>2077</v>
      </c>
      <c r="K22" s="1573" t="s">
        <v>2077</v>
      </c>
      <c r="L22" s="1573" t="s">
        <v>2077</v>
      </c>
      <c r="M22" s="1573" t="s">
        <v>2077</v>
      </c>
      <c r="N22" s="1573" t="s">
        <v>2077</v>
      </c>
      <c r="O22" s="1573" t="s">
        <v>2077</v>
      </c>
      <c r="P22" s="1573" t="s">
        <v>2077</v>
      </c>
      <c r="Q22" s="1573" t="s">
        <v>2077</v>
      </c>
      <c r="R22" s="1573" t="s">
        <v>2077</v>
      </c>
      <c r="S22" s="1573" t="s">
        <v>2077</v>
      </c>
      <c r="T22" s="1573" t="s">
        <v>2077</v>
      </c>
      <c r="U22" s="1573" t="s">
        <v>2077</v>
      </c>
      <c r="V22" s="1573">
        <v>2011.1</v>
      </c>
      <c r="W22" s="1573" t="s">
        <v>2077</v>
      </c>
      <c r="X22" s="1573" t="s">
        <v>2077</v>
      </c>
      <c r="Y22" s="1573" t="s">
        <v>2077</v>
      </c>
      <c r="Z22" s="1573" t="s">
        <v>2077</v>
      </c>
      <c r="AA22" s="1573" t="s">
        <v>2077</v>
      </c>
      <c r="AB22" s="1573" t="s">
        <v>2077</v>
      </c>
      <c r="AC22" s="1573" t="s">
        <v>2077</v>
      </c>
      <c r="AD22" s="1573" t="s">
        <v>2077</v>
      </c>
      <c r="AE22" s="1573" t="s">
        <v>2077</v>
      </c>
      <c r="AF22" s="1573" t="s">
        <v>2077</v>
      </c>
      <c r="AG22" s="1573" t="s">
        <v>2077</v>
      </c>
      <c r="AH22" s="1573" t="s">
        <v>2077</v>
      </c>
      <c r="AI22" s="1573" t="s">
        <v>2077</v>
      </c>
      <c r="AJ22" s="1573" t="s">
        <v>2077</v>
      </c>
      <c r="AK22" s="1573" t="s">
        <v>2077</v>
      </c>
      <c r="AL22" s="1573" t="s">
        <v>2077</v>
      </c>
      <c r="AM22" s="1573" t="s">
        <v>2077</v>
      </c>
      <c r="AN22" s="1573" t="s">
        <v>2077</v>
      </c>
      <c r="AO22" s="1573" t="s">
        <v>2077</v>
      </c>
      <c r="AP22" s="1573" t="s">
        <v>2077</v>
      </c>
      <c r="AQ22" s="1573" t="s">
        <v>2077</v>
      </c>
      <c r="AR22" s="1573" t="s">
        <v>2077</v>
      </c>
      <c r="AS22" s="1573" t="s">
        <v>2077</v>
      </c>
      <c r="AT22" s="1573" t="s">
        <v>2077</v>
      </c>
      <c r="AU22" s="1573" t="s">
        <v>2077</v>
      </c>
      <c r="AV22" s="1573" t="s">
        <v>2077</v>
      </c>
      <c r="AW22" s="1574"/>
      <c r="AX22" s="1575">
        <f t="shared" si="0"/>
        <v>2011.1</v>
      </c>
    </row>
    <row r="23" spans="1:50">
      <c r="A23" s="1552" t="s">
        <v>497</v>
      </c>
      <c r="B23" s="1576" t="s">
        <v>1924</v>
      </c>
      <c r="C23" s="1577" t="s">
        <v>110</v>
      </c>
      <c r="D23" s="1573">
        <v>2816488.79</v>
      </c>
      <c r="E23" s="1573">
        <v>2906819.31</v>
      </c>
      <c r="F23" s="1573">
        <v>3835910.81</v>
      </c>
      <c r="G23" s="1573" t="s">
        <v>2077</v>
      </c>
      <c r="H23" s="1573" t="s">
        <v>2077</v>
      </c>
      <c r="I23" s="1573" t="s">
        <v>2077</v>
      </c>
      <c r="J23" s="1573">
        <v>207531.01</v>
      </c>
      <c r="K23" s="1573">
        <v>88213.55</v>
      </c>
      <c r="L23" s="1573">
        <v>94412.13</v>
      </c>
      <c r="M23" s="1573">
        <v>10279.73</v>
      </c>
      <c r="N23" s="1573" t="s">
        <v>2077</v>
      </c>
      <c r="O23" s="1573" t="s">
        <v>2077</v>
      </c>
      <c r="P23" s="1573" t="s">
        <v>2077</v>
      </c>
      <c r="Q23" s="1573" t="s">
        <v>2077</v>
      </c>
      <c r="R23" s="1573" t="s">
        <v>2077</v>
      </c>
      <c r="S23" s="1573" t="s">
        <v>2077</v>
      </c>
      <c r="T23" s="1573" t="s">
        <v>2077</v>
      </c>
      <c r="U23" s="1573" t="s">
        <v>2077</v>
      </c>
      <c r="V23" s="1573" t="s">
        <v>2077</v>
      </c>
      <c r="W23" s="1573" t="s">
        <v>2077</v>
      </c>
      <c r="X23" s="1573" t="s">
        <v>2077</v>
      </c>
      <c r="Y23" s="1573" t="s">
        <v>2077</v>
      </c>
      <c r="Z23" s="1573" t="s">
        <v>2077</v>
      </c>
      <c r="AA23" s="1573" t="s">
        <v>2077</v>
      </c>
      <c r="AB23" s="1573" t="s">
        <v>2077</v>
      </c>
      <c r="AC23" s="1573" t="s">
        <v>2077</v>
      </c>
      <c r="AD23" s="1573" t="s">
        <v>2077</v>
      </c>
      <c r="AE23" s="1573" t="s">
        <v>2077</v>
      </c>
      <c r="AF23" s="1573" t="s">
        <v>2077</v>
      </c>
      <c r="AG23" s="1573" t="s">
        <v>2077</v>
      </c>
      <c r="AH23" s="1573" t="s">
        <v>2077</v>
      </c>
      <c r="AI23" s="1573" t="s">
        <v>2077</v>
      </c>
      <c r="AJ23" s="1573" t="s">
        <v>2077</v>
      </c>
      <c r="AK23" s="1573" t="s">
        <v>2077</v>
      </c>
      <c r="AL23" s="1573" t="s">
        <v>2077</v>
      </c>
      <c r="AM23" s="1573" t="s">
        <v>2077</v>
      </c>
      <c r="AN23" s="1573" t="s">
        <v>2077</v>
      </c>
      <c r="AO23" s="1573" t="s">
        <v>2077</v>
      </c>
      <c r="AP23" s="1573" t="s">
        <v>2077</v>
      </c>
      <c r="AQ23" s="1573" t="s">
        <v>2077</v>
      </c>
      <c r="AR23" s="1573" t="s">
        <v>2077</v>
      </c>
      <c r="AS23" s="1573" t="s">
        <v>2077</v>
      </c>
      <c r="AT23" s="1573" t="s">
        <v>2077</v>
      </c>
      <c r="AU23" s="1573" t="s">
        <v>2077</v>
      </c>
      <c r="AV23" s="1573" t="s">
        <v>2077</v>
      </c>
      <c r="AW23" s="1574"/>
      <c r="AX23" s="1575">
        <f>SUM(D23:AW23)</f>
        <v>9959655.3300000019</v>
      </c>
    </row>
    <row r="24" spans="1:50">
      <c r="A24" s="1552" t="s">
        <v>498</v>
      </c>
      <c r="B24" s="1576" t="s">
        <v>1925</v>
      </c>
      <c r="C24" s="1577" t="s">
        <v>111</v>
      </c>
      <c r="D24" s="1573">
        <v>598.26</v>
      </c>
      <c r="E24" s="1573">
        <v>409015.76</v>
      </c>
      <c r="F24" s="1573">
        <v>192694.27</v>
      </c>
      <c r="G24" s="1573" t="s">
        <v>2077</v>
      </c>
      <c r="H24" s="1573" t="s">
        <v>2077</v>
      </c>
      <c r="I24" s="1573" t="s">
        <v>2077</v>
      </c>
      <c r="J24" s="1573" t="s">
        <v>2077</v>
      </c>
      <c r="K24" s="1573">
        <v>22135.94</v>
      </c>
      <c r="L24" s="1573">
        <v>28167.72</v>
      </c>
      <c r="M24" s="1573" t="s">
        <v>2077</v>
      </c>
      <c r="N24" s="1573" t="s">
        <v>2077</v>
      </c>
      <c r="O24" s="1573" t="s">
        <v>2077</v>
      </c>
      <c r="P24" s="1573" t="s">
        <v>2077</v>
      </c>
      <c r="Q24" s="1573" t="s">
        <v>2077</v>
      </c>
      <c r="R24" s="1573" t="s">
        <v>2077</v>
      </c>
      <c r="S24" s="1573" t="s">
        <v>2077</v>
      </c>
      <c r="T24" s="1573" t="s">
        <v>2077</v>
      </c>
      <c r="U24" s="1573" t="s">
        <v>2077</v>
      </c>
      <c r="V24" s="1573" t="s">
        <v>2077</v>
      </c>
      <c r="W24" s="1573" t="s">
        <v>2077</v>
      </c>
      <c r="X24" s="1573" t="s">
        <v>2077</v>
      </c>
      <c r="Y24" s="1573" t="s">
        <v>2077</v>
      </c>
      <c r="Z24" s="1573" t="s">
        <v>2077</v>
      </c>
      <c r="AA24" s="1573" t="s">
        <v>2077</v>
      </c>
      <c r="AB24" s="1573" t="s">
        <v>2077</v>
      </c>
      <c r="AC24" s="1573" t="s">
        <v>2077</v>
      </c>
      <c r="AD24" s="1573" t="s">
        <v>2077</v>
      </c>
      <c r="AE24" s="1573" t="s">
        <v>2077</v>
      </c>
      <c r="AF24" s="1573" t="s">
        <v>2077</v>
      </c>
      <c r="AG24" s="1573" t="s">
        <v>2077</v>
      </c>
      <c r="AH24" s="1573" t="s">
        <v>2077</v>
      </c>
      <c r="AI24" s="1573" t="s">
        <v>2077</v>
      </c>
      <c r="AJ24" s="1573" t="s">
        <v>2077</v>
      </c>
      <c r="AK24" s="1573" t="s">
        <v>2077</v>
      </c>
      <c r="AL24" s="1573" t="s">
        <v>2077</v>
      </c>
      <c r="AM24" s="1573" t="s">
        <v>2077</v>
      </c>
      <c r="AN24" s="1573" t="s">
        <v>2077</v>
      </c>
      <c r="AO24" s="1573" t="s">
        <v>2077</v>
      </c>
      <c r="AP24" s="1573" t="s">
        <v>2077</v>
      </c>
      <c r="AQ24" s="1573" t="s">
        <v>2077</v>
      </c>
      <c r="AR24" s="1573" t="s">
        <v>2077</v>
      </c>
      <c r="AS24" s="1573" t="s">
        <v>2077</v>
      </c>
      <c r="AT24" s="1573" t="s">
        <v>2077</v>
      </c>
      <c r="AU24" s="1573" t="s">
        <v>2077</v>
      </c>
      <c r="AV24" s="1573" t="s">
        <v>2077</v>
      </c>
      <c r="AW24" s="1574"/>
      <c r="AX24" s="1575">
        <f t="shared" si="0"/>
        <v>652611.94999999995</v>
      </c>
    </row>
    <row r="25" spans="1:50">
      <c r="A25" s="1552" t="s">
        <v>499</v>
      </c>
      <c r="B25" s="1576" t="s">
        <v>1926</v>
      </c>
      <c r="C25" s="1577" t="s">
        <v>427</v>
      </c>
      <c r="D25" s="1573">
        <v>1389.71</v>
      </c>
      <c r="E25" s="1573">
        <v>2744727.9</v>
      </c>
      <c r="F25" s="1573">
        <v>5806623.8899999997</v>
      </c>
      <c r="G25" s="1573" t="s">
        <v>2077</v>
      </c>
      <c r="H25" s="1573" t="s">
        <v>2077</v>
      </c>
      <c r="I25" s="1573" t="s">
        <v>2077</v>
      </c>
      <c r="J25" s="1573" t="s">
        <v>2077</v>
      </c>
      <c r="K25" s="1573" t="s">
        <v>2077</v>
      </c>
      <c r="L25" s="1573" t="s">
        <v>2077</v>
      </c>
      <c r="M25" s="1573" t="s">
        <v>2077</v>
      </c>
      <c r="N25" s="1573" t="s">
        <v>2077</v>
      </c>
      <c r="O25" s="1573" t="s">
        <v>2077</v>
      </c>
      <c r="P25" s="1573" t="s">
        <v>2077</v>
      </c>
      <c r="Q25" s="1573" t="s">
        <v>2077</v>
      </c>
      <c r="R25" s="1573" t="s">
        <v>2077</v>
      </c>
      <c r="S25" s="1573" t="s">
        <v>2077</v>
      </c>
      <c r="T25" s="1573" t="s">
        <v>2077</v>
      </c>
      <c r="U25" s="1573" t="s">
        <v>2077</v>
      </c>
      <c r="V25" s="1573" t="s">
        <v>2077</v>
      </c>
      <c r="W25" s="1573" t="s">
        <v>2077</v>
      </c>
      <c r="X25" s="1573" t="s">
        <v>2077</v>
      </c>
      <c r="Y25" s="1573" t="s">
        <v>2077</v>
      </c>
      <c r="Z25" s="1573" t="s">
        <v>2077</v>
      </c>
      <c r="AA25" s="1573" t="s">
        <v>2077</v>
      </c>
      <c r="AB25" s="1573" t="s">
        <v>2077</v>
      </c>
      <c r="AC25" s="1573" t="s">
        <v>2077</v>
      </c>
      <c r="AD25" s="1573" t="s">
        <v>2077</v>
      </c>
      <c r="AE25" s="1573" t="s">
        <v>2077</v>
      </c>
      <c r="AF25" s="1573" t="s">
        <v>2077</v>
      </c>
      <c r="AG25" s="1573" t="s">
        <v>2077</v>
      </c>
      <c r="AH25" s="1573" t="s">
        <v>2077</v>
      </c>
      <c r="AI25" s="1573" t="s">
        <v>2077</v>
      </c>
      <c r="AJ25" s="1573" t="s">
        <v>2077</v>
      </c>
      <c r="AK25" s="1573" t="s">
        <v>2077</v>
      </c>
      <c r="AL25" s="1573" t="s">
        <v>2077</v>
      </c>
      <c r="AM25" s="1573" t="s">
        <v>2077</v>
      </c>
      <c r="AN25" s="1573" t="s">
        <v>2077</v>
      </c>
      <c r="AO25" s="1573" t="s">
        <v>2077</v>
      </c>
      <c r="AP25" s="1573" t="s">
        <v>2077</v>
      </c>
      <c r="AQ25" s="1573" t="s">
        <v>2077</v>
      </c>
      <c r="AR25" s="1573" t="s">
        <v>2077</v>
      </c>
      <c r="AS25" s="1573" t="s">
        <v>2077</v>
      </c>
      <c r="AT25" s="1573" t="s">
        <v>2077</v>
      </c>
      <c r="AU25" s="1573" t="s">
        <v>2077</v>
      </c>
      <c r="AV25" s="1573" t="s">
        <v>2077</v>
      </c>
      <c r="AW25" s="1574"/>
      <c r="AX25" s="1575">
        <f t="shared" si="0"/>
        <v>8552741.5</v>
      </c>
    </row>
    <row r="26" spans="1:50">
      <c r="A26" s="1552" t="s">
        <v>500</v>
      </c>
      <c r="B26" s="1576" t="s">
        <v>1927</v>
      </c>
      <c r="C26" s="1577" t="s">
        <v>112</v>
      </c>
      <c r="D26" s="1573">
        <v>7425083.6699999999</v>
      </c>
      <c r="E26" s="1573">
        <v>8620559.3699999992</v>
      </c>
      <c r="F26" s="1573">
        <v>12002580.810000001</v>
      </c>
      <c r="G26" s="1573" t="s">
        <v>2077</v>
      </c>
      <c r="H26" s="1573" t="s">
        <v>2077</v>
      </c>
      <c r="I26" s="1573">
        <v>536918</v>
      </c>
      <c r="J26" s="1573">
        <v>182803.88</v>
      </c>
      <c r="K26" s="1573">
        <v>623764.31000000006</v>
      </c>
      <c r="L26" s="1573">
        <v>338760.97</v>
      </c>
      <c r="M26" s="1573">
        <v>168278.89</v>
      </c>
      <c r="N26" s="1573" t="s">
        <v>2077</v>
      </c>
      <c r="O26" s="1573">
        <v>571231</v>
      </c>
      <c r="P26" s="1573" t="s">
        <v>2077</v>
      </c>
      <c r="Q26" s="1573" t="s">
        <v>2077</v>
      </c>
      <c r="R26" s="1573" t="s">
        <v>2077</v>
      </c>
      <c r="S26" s="1573" t="s">
        <v>2077</v>
      </c>
      <c r="T26" s="1573" t="s">
        <v>2077</v>
      </c>
      <c r="U26" s="1573" t="s">
        <v>2077</v>
      </c>
      <c r="V26" s="1573" t="s">
        <v>2077</v>
      </c>
      <c r="W26" s="1573" t="s">
        <v>2077</v>
      </c>
      <c r="X26" s="1573" t="s">
        <v>2077</v>
      </c>
      <c r="Y26" s="1573" t="s">
        <v>2077</v>
      </c>
      <c r="Z26" s="1573" t="s">
        <v>2077</v>
      </c>
      <c r="AA26" s="1573" t="s">
        <v>2077</v>
      </c>
      <c r="AB26" s="1573" t="s">
        <v>2077</v>
      </c>
      <c r="AC26" s="1573" t="s">
        <v>2077</v>
      </c>
      <c r="AD26" s="1573" t="s">
        <v>2077</v>
      </c>
      <c r="AE26" s="1573" t="s">
        <v>2077</v>
      </c>
      <c r="AF26" s="1573" t="s">
        <v>2077</v>
      </c>
      <c r="AG26" s="1573" t="s">
        <v>2077</v>
      </c>
      <c r="AH26" s="1573" t="s">
        <v>2077</v>
      </c>
      <c r="AI26" s="1573" t="s">
        <v>2077</v>
      </c>
      <c r="AJ26" s="1573" t="s">
        <v>2077</v>
      </c>
      <c r="AK26" s="1573" t="s">
        <v>2077</v>
      </c>
      <c r="AL26" s="1573">
        <v>1869020</v>
      </c>
      <c r="AM26" s="1573" t="s">
        <v>2077</v>
      </c>
      <c r="AN26" s="1573" t="s">
        <v>2077</v>
      </c>
      <c r="AO26" s="1573" t="s">
        <v>2077</v>
      </c>
      <c r="AP26" s="1573" t="s">
        <v>2077</v>
      </c>
      <c r="AQ26" s="1573" t="s">
        <v>2077</v>
      </c>
      <c r="AR26" s="1573" t="s">
        <v>2077</v>
      </c>
      <c r="AS26" s="1573" t="s">
        <v>2077</v>
      </c>
      <c r="AT26" s="1573" t="s">
        <v>2077</v>
      </c>
      <c r="AU26" s="1573" t="s">
        <v>2077</v>
      </c>
      <c r="AV26" s="1573" t="s">
        <v>2077</v>
      </c>
      <c r="AW26" s="1574"/>
      <c r="AX26" s="1575">
        <f t="shared" si="0"/>
        <v>32339000.899999999</v>
      </c>
    </row>
    <row r="27" spans="1:50">
      <c r="A27" s="1552" t="s">
        <v>501</v>
      </c>
      <c r="B27" s="1576" t="s">
        <v>1928</v>
      </c>
      <c r="C27" s="1577" t="s">
        <v>113</v>
      </c>
      <c r="D27" s="1573">
        <v>194374.16</v>
      </c>
      <c r="E27" s="1573">
        <v>6365.59</v>
      </c>
      <c r="F27" s="1573">
        <v>610551.56000000006</v>
      </c>
      <c r="G27" s="1573" t="s">
        <v>2077</v>
      </c>
      <c r="H27" s="1573" t="s">
        <v>2077</v>
      </c>
      <c r="I27" s="1573" t="s">
        <v>2077</v>
      </c>
      <c r="J27" s="1573" t="s">
        <v>2077</v>
      </c>
      <c r="K27" s="1573" t="s">
        <v>2077</v>
      </c>
      <c r="L27" s="1573" t="s">
        <v>2077</v>
      </c>
      <c r="M27" s="1573" t="s">
        <v>2077</v>
      </c>
      <c r="N27" s="1573" t="s">
        <v>2077</v>
      </c>
      <c r="O27" s="1573" t="s">
        <v>2077</v>
      </c>
      <c r="P27" s="1573" t="s">
        <v>2077</v>
      </c>
      <c r="Q27" s="1573" t="s">
        <v>2077</v>
      </c>
      <c r="R27" s="1573" t="s">
        <v>2077</v>
      </c>
      <c r="S27" s="1573" t="s">
        <v>2077</v>
      </c>
      <c r="T27" s="1573" t="s">
        <v>2077</v>
      </c>
      <c r="U27" s="1573" t="s">
        <v>2077</v>
      </c>
      <c r="V27" s="1573" t="s">
        <v>2077</v>
      </c>
      <c r="W27" s="1573" t="s">
        <v>2077</v>
      </c>
      <c r="X27" s="1573" t="s">
        <v>2077</v>
      </c>
      <c r="Y27" s="1573" t="s">
        <v>2077</v>
      </c>
      <c r="Z27" s="1573" t="s">
        <v>2077</v>
      </c>
      <c r="AA27" s="1573" t="s">
        <v>2077</v>
      </c>
      <c r="AB27" s="1573" t="s">
        <v>2077</v>
      </c>
      <c r="AC27" s="1573" t="s">
        <v>2077</v>
      </c>
      <c r="AD27" s="1573" t="s">
        <v>2077</v>
      </c>
      <c r="AE27" s="1573" t="s">
        <v>2077</v>
      </c>
      <c r="AF27" s="1573" t="s">
        <v>2077</v>
      </c>
      <c r="AG27" s="1573" t="s">
        <v>2077</v>
      </c>
      <c r="AH27" s="1573" t="s">
        <v>2077</v>
      </c>
      <c r="AI27" s="1573" t="s">
        <v>2077</v>
      </c>
      <c r="AJ27" s="1573" t="s">
        <v>2077</v>
      </c>
      <c r="AK27" s="1573" t="s">
        <v>2077</v>
      </c>
      <c r="AL27" s="1573" t="s">
        <v>2077</v>
      </c>
      <c r="AM27" s="1573" t="s">
        <v>2077</v>
      </c>
      <c r="AN27" s="1573" t="s">
        <v>2077</v>
      </c>
      <c r="AO27" s="1573" t="s">
        <v>2077</v>
      </c>
      <c r="AP27" s="1573" t="s">
        <v>2077</v>
      </c>
      <c r="AQ27" s="1573" t="s">
        <v>2077</v>
      </c>
      <c r="AR27" s="1573" t="s">
        <v>2077</v>
      </c>
      <c r="AS27" s="1573" t="s">
        <v>2077</v>
      </c>
      <c r="AT27" s="1573" t="s">
        <v>2077</v>
      </c>
      <c r="AU27" s="1573" t="s">
        <v>2077</v>
      </c>
      <c r="AV27" s="1573" t="s">
        <v>2077</v>
      </c>
      <c r="AW27" s="1574"/>
      <c r="AX27" s="1575">
        <f t="shared" si="0"/>
        <v>811291.31</v>
      </c>
    </row>
    <row r="28" spans="1:50">
      <c r="A28" s="1552" t="s">
        <v>502</v>
      </c>
      <c r="B28" s="1576" t="s">
        <v>1929</v>
      </c>
      <c r="C28" s="1577" t="s">
        <v>114</v>
      </c>
      <c r="D28" s="1573">
        <v>1526945.33</v>
      </c>
      <c r="E28" s="1573">
        <v>2443551.56</v>
      </c>
      <c r="F28" s="1573">
        <v>13487490.800000001</v>
      </c>
      <c r="G28" s="1573" t="s">
        <v>2077</v>
      </c>
      <c r="H28" s="1573" t="s">
        <v>2077</v>
      </c>
      <c r="I28" s="1573" t="s">
        <v>2077</v>
      </c>
      <c r="J28" s="1573">
        <v>114651.3</v>
      </c>
      <c r="K28" s="1573">
        <v>38880.400000000001</v>
      </c>
      <c r="L28" s="1573">
        <v>55672.62</v>
      </c>
      <c r="M28" s="1573">
        <v>5451.31</v>
      </c>
      <c r="N28" s="1573" t="s">
        <v>2077</v>
      </c>
      <c r="O28" s="1573" t="s">
        <v>2077</v>
      </c>
      <c r="P28" s="1573" t="s">
        <v>2077</v>
      </c>
      <c r="Q28" s="1573" t="s">
        <v>2077</v>
      </c>
      <c r="R28" s="1573" t="s">
        <v>2077</v>
      </c>
      <c r="S28" s="1573" t="s">
        <v>2077</v>
      </c>
      <c r="T28" s="1573" t="s">
        <v>2077</v>
      </c>
      <c r="U28" s="1573" t="s">
        <v>2077</v>
      </c>
      <c r="V28" s="1573" t="s">
        <v>2077</v>
      </c>
      <c r="W28" s="1573" t="s">
        <v>2077</v>
      </c>
      <c r="X28" s="1573" t="s">
        <v>2077</v>
      </c>
      <c r="Y28" s="1573" t="s">
        <v>2077</v>
      </c>
      <c r="Z28" s="1573" t="s">
        <v>2077</v>
      </c>
      <c r="AA28" s="1573" t="s">
        <v>2077</v>
      </c>
      <c r="AB28" s="1573" t="s">
        <v>2077</v>
      </c>
      <c r="AC28" s="1573" t="s">
        <v>2077</v>
      </c>
      <c r="AD28" s="1573" t="s">
        <v>2077</v>
      </c>
      <c r="AE28" s="1573" t="s">
        <v>2077</v>
      </c>
      <c r="AF28" s="1573" t="s">
        <v>2077</v>
      </c>
      <c r="AG28" s="1573" t="s">
        <v>2077</v>
      </c>
      <c r="AH28" s="1573" t="s">
        <v>2077</v>
      </c>
      <c r="AI28" s="1573" t="s">
        <v>2077</v>
      </c>
      <c r="AJ28" s="1573" t="s">
        <v>2077</v>
      </c>
      <c r="AK28" s="1573" t="s">
        <v>2077</v>
      </c>
      <c r="AL28" s="1573" t="s">
        <v>2077</v>
      </c>
      <c r="AM28" s="1573" t="s">
        <v>2077</v>
      </c>
      <c r="AN28" s="1573" t="s">
        <v>2077</v>
      </c>
      <c r="AO28" s="1573" t="s">
        <v>2077</v>
      </c>
      <c r="AP28" s="1573" t="s">
        <v>2077</v>
      </c>
      <c r="AQ28" s="1573" t="s">
        <v>2077</v>
      </c>
      <c r="AR28" s="1573" t="s">
        <v>2077</v>
      </c>
      <c r="AS28" s="1573" t="s">
        <v>2077</v>
      </c>
      <c r="AT28" s="1573" t="s">
        <v>2077</v>
      </c>
      <c r="AU28" s="1573" t="s">
        <v>2077</v>
      </c>
      <c r="AV28" s="1573" t="s">
        <v>2077</v>
      </c>
      <c r="AW28" s="1574"/>
      <c r="AX28" s="1575">
        <f t="shared" si="0"/>
        <v>17672643.32</v>
      </c>
    </row>
    <row r="29" spans="1:50">
      <c r="A29" s="1552" t="s">
        <v>503</v>
      </c>
      <c r="B29" s="1576" t="s">
        <v>1930</v>
      </c>
      <c r="C29" s="1577" t="s">
        <v>115</v>
      </c>
      <c r="D29" s="1573">
        <v>725916.27</v>
      </c>
      <c r="E29" s="1573">
        <v>2768113.6</v>
      </c>
      <c r="F29" s="1573">
        <v>1683463.27</v>
      </c>
      <c r="G29" s="1573" t="s">
        <v>2077</v>
      </c>
      <c r="H29" s="1573" t="s">
        <v>2077</v>
      </c>
      <c r="I29" s="1573" t="s">
        <v>2077</v>
      </c>
      <c r="J29" s="1573">
        <v>297009.37</v>
      </c>
      <c r="K29" s="1573">
        <v>3762080.21</v>
      </c>
      <c r="L29" s="1573">
        <v>614697.51</v>
      </c>
      <c r="M29" s="1573">
        <v>5909.52</v>
      </c>
      <c r="N29" s="1573" t="s">
        <v>2077</v>
      </c>
      <c r="O29" s="1573" t="s">
        <v>2077</v>
      </c>
      <c r="P29" s="1573" t="s">
        <v>2077</v>
      </c>
      <c r="Q29" s="1573" t="s">
        <v>2077</v>
      </c>
      <c r="R29" s="1573" t="s">
        <v>2077</v>
      </c>
      <c r="S29" s="1573" t="s">
        <v>2077</v>
      </c>
      <c r="T29" s="1573" t="s">
        <v>2077</v>
      </c>
      <c r="U29" s="1573" t="s">
        <v>2077</v>
      </c>
      <c r="V29" s="1573" t="s">
        <v>2077</v>
      </c>
      <c r="W29" s="1573" t="s">
        <v>2077</v>
      </c>
      <c r="X29" s="1573" t="s">
        <v>2077</v>
      </c>
      <c r="Y29" s="1573" t="s">
        <v>2077</v>
      </c>
      <c r="Z29" s="1573" t="s">
        <v>2077</v>
      </c>
      <c r="AA29" s="1573" t="s">
        <v>2077</v>
      </c>
      <c r="AB29" s="1573" t="s">
        <v>2077</v>
      </c>
      <c r="AC29" s="1573" t="s">
        <v>2077</v>
      </c>
      <c r="AD29" s="1573" t="s">
        <v>2077</v>
      </c>
      <c r="AE29" s="1573" t="s">
        <v>2077</v>
      </c>
      <c r="AF29" s="1573" t="s">
        <v>2077</v>
      </c>
      <c r="AG29" s="1573" t="s">
        <v>2077</v>
      </c>
      <c r="AH29" s="1573" t="s">
        <v>2077</v>
      </c>
      <c r="AI29" s="1573" t="s">
        <v>2077</v>
      </c>
      <c r="AJ29" s="1573" t="s">
        <v>2077</v>
      </c>
      <c r="AK29" s="1573" t="s">
        <v>2077</v>
      </c>
      <c r="AL29" s="1573" t="s">
        <v>2077</v>
      </c>
      <c r="AM29" s="1573" t="s">
        <v>2077</v>
      </c>
      <c r="AN29" s="1573" t="s">
        <v>2077</v>
      </c>
      <c r="AO29" s="1573" t="s">
        <v>2077</v>
      </c>
      <c r="AP29" s="1573" t="s">
        <v>2077</v>
      </c>
      <c r="AQ29" s="1573" t="s">
        <v>2077</v>
      </c>
      <c r="AR29" s="1573" t="s">
        <v>2077</v>
      </c>
      <c r="AS29" s="1573" t="s">
        <v>2077</v>
      </c>
      <c r="AT29" s="1573" t="s">
        <v>2077</v>
      </c>
      <c r="AU29" s="1573" t="s">
        <v>2077</v>
      </c>
      <c r="AV29" s="1573" t="s">
        <v>2077</v>
      </c>
      <c r="AW29" s="1574"/>
      <c r="AX29" s="1575">
        <f t="shared" si="0"/>
        <v>9857189.75</v>
      </c>
    </row>
    <row r="30" spans="1:50">
      <c r="A30" s="1552" t="s">
        <v>505</v>
      </c>
      <c r="B30" s="1576" t="s">
        <v>1931</v>
      </c>
      <c r="C30" s="1577" t="s">
        <v>116</v>
      </c>
      <c r="D30" s="1573">
        <v>2465028.5099999998</v>
      </c>
      <c r="E30" s="1573">
        <v>2798625.29</v>
      </c>
      <c r="F30" s="1573">
        <v>8086441.3799999999</v>
      </c>
      <c r="G30" s="1573" t="s">
        <v>2077</v>
      </c>
      <c r="H30" s="1573" t="s">
        <v>2077</v>
      </c>
      <c r="I30" s="1573" t="s">
        <v>2077</v>
      </c>
      <c r="J30" s="1573">
        <v>288199.43</v>
      </c>
      <c r="K30" s="1573">
        <v>409856.33</v>
      </c>
      <c r="L30" s="1573">
        <v>608144.92000000004</v>
      </c>
      <c r="M30" s="1573">
        <v>284887.07</v>
      </c>
      <c r="N30" s="1573" t="s">
        <v>2077</v>
      </c>
      <c r="O30" s="1573" t="s">
        <v>2077</v>
      </c>
      <c r="P30" s="1573" t="s">
        <v>2077</v>
      </c>
      <c r="Q30" s="1573" t="s">
        <v>2077</v>
      </c>
      <c r="R30" s="1573" t="s">
        <v>2077</v>
      </c>
      <c r="S30" s="1573" t="s">
        <v>2077</v>
      </c>
      <c r="T30" s="1573" t="s">
        <v>2077</v>
      </c>
      <c r="U30" s="1573" t="s">
        <v>2077</v>
      </c>
      <c r="V30" s="1573" t="s">
        <v>2077</v>
      </c>
      <c r="W30" s="1573" t="s">
        <v>2077</v>
      </c>
      <c r="X30" s="1573" t="s">
        <v>2077</v>
      </c>
      <c r="Y30" s="1573" t="s">
        <v>2077</v>
      </c>
      <c r="Z30" s="1573" t="s">
        <v>2077</v>
      </c>
      <c r="AA30" s="1573" t="s">
        <v>2077</v>
      </c>
      <c r="AB30" s="1573" t="s">
        <v>2077</v>
      </c>
      <c r="AC30" s="1573" t="s">
        <v>2077</v>
      </c>
      <c r="AD30" s="1573" t="s">
        <v>2077</v>
      </c>
      <c r="AE30" s="1573" t="s">
        <v>2077</v>
      </c>
      <c r="AF30" s="1573" t="s">
        <v>2077</v>
      </c>
      <c r="AG30" s="1573" t="s">
        <v>2077</v>
      </c>
      <c r="AH30" s="1573" t="s">
        <v>2077</v>
      </c>
      <c r="AI30" s="1573" t="s">
        <v>2077</v>
      </c>
      <c r="AJ30" s="1573" t="s">
        <v>2077</v>
      </c>
      <c r="AK30" s="1573" t="s">
        <v>2077</v>
      </c>
      <c r="AL30" s="1573" t="s">
        <v>2077</v>
      </c>
      <c r="AM30" s="1573" t="s">
        <v>2077</v>
      </c>
      <c r="AN30" s="1573" t="s">
        <v>2077</v>
      </c>
      <c r="AO30" s="1573" t="s">
        <v>2077</v>
      </c>
      <c r="AP30" s="1573" t="s">
        <v>2077</v>
      </c>
      <c r="AQ30" s="1573" t="s">
        <v>2077</v>
      </c>
      <c r="AR30" s="1573" t="s">
        <v>2077</v>
      </c>
      <c r="AS30" s="1573" t="s">
        <v>2077</v>
      </c>
      <c r="AT30" s="1573" t="s">
        <v>2077</v>
      </c>
      <c r="AU30" s="1573" t="s">
        <v>2077</v>
      </c>
      <c r="AV30" s="1573" t="s">
        <v>2077</v>
      </c>
      <c r="AW30" s="1574"/>
      <c r="AX30" s="1575">
        <f t="shared" si="0"/>
        <v>14941182.93</v>
      </c>
    </row>
    <row r="31" spans="1:50">
      <c r="A31" s="1552" t="s">
        <v>504</v>
      </c>
      <c r="B31" s="1576" t="s">
        <v>1932</v>
      </c>
      <c r="C31" s="1577" t="s">
        <v>117</v>
      </c>
      <c r="D31" s="1573">
        <v>3043202.41</v>
      </c>
      <c r="E31" s="1573">
        <v>5738818.3300000001</v>
      </c>
      <c r="F31" s="1573">
        <v>7608231.79</v>
      </c>
      <c r="G31" s="1573" t="s">
        <v>2077</v>
      </c>
      <c r="H31" s="1573" t="s">
        <v>2077</v>
      </c>
      <c r="I31" s="1573" t="s">
        <v>2077</v>
      </c>
      <c r="J31" s="1573">
        <v>181697.69</v>
      </c>
      <c r="K31" s="1573">
        <v>88562.33</v>
      </c>
      <c r="L31" s="1573">
        <v>100643.59</v>
      </c>
      <c r="M31" s="1573">
        <v>37555.19</v>
      </c>
      <c r="N31" s="1573" t="s">
        <v>2077</v>
      </c>
      <c r="O31" s="1573" t="s">
        <v>2077</v>
      </c>
      <c r="P31" s="1573" t="s">
        <v>2077</v>
      </c>
      <c r="Q31" s="1573" t="s">
        <v>2077</v>
      </c>
      <c r="R31" s="1573" t="s">
        <v>2077</v>
      </c>
      <c r="S31" s="1573" t="s">
        <v>2077</v>
      </c>
      <c r="T31" s="1573" t="s">
        <v>2077</v>
      </c>
      <c r="U31" s="1573" t="s">
        <v>2077</v>
      </c>
      <c r="V31" s="1573" t="s">
        <v>2077</v>
      </c>
      <c r="W31" s="1573" t="s">
        <v>2077</v>
      </c>
      <c r="X31" s="1573" t="s">
        <v>2077</v>
      </c>
      <c r="Y31" s="1573" t="s">
        <v>2077</v>
      </c>
      <c r="Z31" s="1573" t="s">
        <v>2077</v>
      </c>
      <c r="AA31" s="1573" t="s">
        <v>2077</v>
      </c>
      <c r="AB31" s="1573" t="s">
        <v>2077</v>
      </c>
      <c r="AC31" s="1573" t="s">
        <v>2077</v>
      </c>
      <c r="AD31" s="1573" t="s">
        <v>2077</v>
      </c>
      <c r="AE31" s="1573" t="s">
        <v>2077</v>
      </c>
      <c r="AF31" s="1573" t="s">
        <v>2077</v>
      </c>
      <c r="AG31" s="1573" t="s">
        <v>2077</v>
      </c>
      <c r="AH31" s="1573" t="s">
        <v>2077</v>
      </c>
      <c r="AI31" s="1573" t="s">
        <v>2077</v>
      </c>
      <c r="AJ31" s="1573" t="s">
        <v>2077</v>
      </c>
      <c r="AK31" s="1573" t="s">
        <v>2077</v>
      </c>
      <c r="AL31" s="1573" t="s">
        <v>2077</v>
      </c>
      <c r="AM31" s="1573" t="s">
        <v>2077</v>
      </c>
      <c r="AN31" s="1573" t="s">
        <v>2077</v>
      </c>
      <c r="AO31" s="1573" t="s">
        <v>2077</v>
      </c>
      <c r="AP31" s="1573" t="s">
        <v>2077</v>
      </c>
      <c r="AQ31" s="1573" t="s">
        <v>2077</v>
      </c>
      <c r="AR31" s="1573" t="s">
        <v>2077</v>
      </c>
      <c r="AS31" s="1573" t="s">
        <v>2077</v>
      </c>
      <c r="AT31" s="1573" t="s">
        <v>2077</v>
      </c>
      <c r="AU31" s="1573" t="s">
        <v>2077</v>
      </c>
      <c r="AV31" s="1573" t="s">
        <v>2077</v>
      </c>
      <c r="AW31" s="1574"/>
      <c r="AX31" s="1575">
        <f t="shared" si="0"/>
        <v>16798711.330000002</v>
      </c>
    </row>
    <row r="32" spans="1:50">
      <c r="A32" s="1552" t="s">
        <v>506</v>
      </c>
      <c r="B32" s="1576" t="s">
        <v>1933</v>
      </c>
      <c r="C32" s="1577" t="s">
        <v>118</v>
      </c>
      <c r="D32" s="1573" t="s">
        <v>2077</v>
      </c>
      <c r="E32" s="1573" t="s">
        <v>2077</v>
      </c>
      <c r="F32" s="1573" t="s">
        <v>2077</v>
      </c>
      <c r="G32" s="1573" t="s">
        <v>2077</v>
      </c>
      <c r="H32" s="1573" t="s">
        <v>2077</v>
      </c>
      <c r="I32" s="1573">
        <v>231232.72</v>
      </c>
      <c r="J32" s="1573" t="s">
        <v>2077</v>
      </c>
      <c r="K32" s="1573" t="s">
        <v>2077</v>
      </c>
      <c r="L32" s="1573" t="s">
        <v>2077</v>
      </c>
      <c r="M32" s="1573" t="s">
        <v>2077</v>
      </c>
      <c r="N32" s="1573" t="s">
        <v>2077</v>
      </c>
      <c r="O32" s="1573">
        <v>1204547.99</v>
      </c>
      <c r="P32" s="1573">
        <v>490807.78</v>
      </c>
      <c r="Q32" s="1573">
        <v>427799.19</v>
      </c>
      <c r="R32" s="1573">
        <v>421949.7</v>
      </c>
      <c r="S32" s="1573">
        <v>402544.29</v>
      </c>
      <c r="T32" s="1573">
        <v>431537.46</v>
      </c>
      <c r="U32" s="1573">
        <v>488201.83</v>
      </c>
      <c r="V32" s="1573">
        <v>252985.21</v>
      </c>
      <c r="W32" s="1573" t="s">
        <v>2077</v>
      </c>
      <c r="X32" s="1573" t="s">
        <v>2077</v>
      </c>
      <c r="Y32" s="1573" t="s">
        <v>2077</v>
      </c>
      <c r="Z32" s="1573" t="s">
        <v>2077</v>
      </c>
      <c r="AA32" s="1573" t="s">
        <v>2077</v>
      </c>
      <c r="AB32" s="1573" t="s">
        <v>2077</v>
      </c>
      <c r="AC32" s="1573" t="s">
        <v>2077</v>
      </c>
      <c r="AD32" s="1573" t="s">
        <v>2077</v>
      </c>
      <c r="AE32" s="1573" t="s">
        <v>2077</v>
      </c>
      <c r="AF32" s="1573" t="s">
        <v>2077</v>
      </c>
      <c r="AG32" s="1573" t="s">
        <v>2077</v>
      </c>
      <c r="AH32" s="1573" t="s">
        <v>2077</v>
      </c>
      <c r="AI32" s="1573" t="s">
        <v>2077</v>
      </c>
      <c r="AJ32" s="1573" t="s">
        <v>2077</v>
      </c>
      <c r="AK32" s="1573" t="s">
        <v>2077</v>
      </c>
      <c r="AL32" s="1573" t="s">
        <v>2077</v>
      </c>
      <c r="AM32" s="1573" t="s">
        <v>2077</v>
      </c>
      <c r="AN32" s="1573" t="s">
        <v>2077</v>
      </c>
      <c r="AO32" s="1573" t="s">
        <v>2077</v>
      </c>
      <c r="AP32" s="1573" t="s">
        <v>2077</v>
      </c>
      <c r="AQ32" s="1573" t="s">
        <v>2077</v>
      </c>
      <c r="AR32" s="1573" t="s">
        <v>2077</v>
      </c>
      <c r="AS32" s="1573" t="s">
        <v>2077</v>
      </c>
      <c r="AT32" s="1573" t="s">
        <v>2077</v>
      </c>
      <c r="AU32" s="1573" t="s">
        <v>2077</v>
      </c>
      <c r="AV32" s="1573" t="s">
        <v>2077</v>
      </c>
      <c r="AW32" s="1574"/>
      <c r="AX32" s="1575">
        <f t="shared" si="0"/>
        <v>4351606.1700000009</v>
      </c>
    </row>
    <row r="33" spans="1:50">
      <c r="A33" s="1552" t="s">
        <v>1168</v>
      </c>
      <c r="B33" s="1578" t="s">
        <v>1934</v>
      </c>
      <c r="C33" s="1577" t="s">
        <v>119</v>
      </c>
      <c r="D33" s="1573" t="s">
        <v>2077</v>
      </c>
      <c r="E33" s="1573" t="s">
        <v>2077</v>
      </c>
      <c r="F33" s="1573" t="s">
        <v>2077</v>
      </c>
      <c r="G33" s="1573" t="s">
        <v>2077</v>
      </c>
      <c r="H33" s="1573">
        <v>20562000</v>
      </c>
      <c r="I33" s="1573">
        <v>236971.13</v>
      </c>
      <c r="J33" s="1573" t="s">
        <v>2077</v>
      </c>
      <c r="K33" s="1573" t="s">
        <v>2077</v>
      </c>
      <c r="L33" s="1573" t="s">
        <v>2077</v>
      </c>
      <c r="M33" s="1573" t="s">
        <v>2077</v>
      </c>
      <c r="N33" s="1573" t="s">
        <v>2077</v>
      </c>
      <c r="O33" s="1573" t="s">
        <v>2077</v>
      </c>
      <c r="P33" s="1573" t="s">
        <v>2077</v>
      </c>
      <c r="Q33" s="1573" t="s">
        <v>2077</v>
      </c>
      <c r="R33" s="1573" t="s">
        <v>2077</v>
      </c>
      <c r="S33" s="1573" t="s">
        <v>2077</v>
      </c>
      <c r="T33" s="1573" t="s">
        <v>2077</v>
      </c>
      <c r="U33" s="1573" t="s">
        <v>2077</v>
      </c>
      <c r="V33" s="1573">
        <v>5852.61</v>
      </c>
      <c r="W33" s="1573" t="s">
        <v>2077</v>
      </c>
      <c r="X33" s="1573" t="s">
        <v>2077</v>
      </c>
      <c r="Y33" s="1573" t="s">
        <v>2077</v>
      </c>
      <c r="Z33" s="1573" t="s">
        <v>2077</v>
      </c>
      <c r="AA33" s="1573" t="s">
        <v>2077</v>
      </c>
      <c r="AB33" s="1573" t="s">
        <v>2077</v>
      </c>
      <c r="AC33" s="1573" t="s">
        <v>2077</v>
      </c>
      <c r="AD33" s="1573" t="s">
        <v>2077</v>
      </c>
      <c r="AE33" s="1573" t="s">
        <v>2077</v>
      </c>
      <c r="AF33" s="1573" t="s">
        <v>2077</v>
      </c>
      <c r="AG33" s="1573" t="s">
        <v>2077</v>
      </c>
      <c r="AH33" s="1573" t="s">
        <v>2077</v>
      </c>
      <c r="AI33" s="1573" t="s">
        <v>2077</v>
      </c>
      <c r="AJ33" s="1573" t="s">
        <v>2077</v>
      </c>
      <c r="AK33" s="1573" t="s">
        <v>2077</v>
      </c>
      <c r="AL33" s="1573" t="s">
        <v>2077</v>
      </c>
      <c r="AM33" s="1573" t="s">
        <v>2077</v>
      </c>
      <c r="AN33" s="1573" t="s">
        <v>2077</v>
      </c>
      <c r="AO33" s="1573" t="s">
        <v>2077</v>
      </c>
      <c r="AP33" s="1573" t="s">
        <v>2077</v>
      </c>
      <c r="AQ33" s="1573" t="s">
        <v>2077</v>
      </c>
      <c r="AR33" s="1573" t="s">
        <v>2077</v>
      </c>
      <c r="AS33" s="1573" t="s">
        <v>2077</v>
      </c>
      <c r="AT33" s="1573" t="s">
        <v>2077</v>
      </c>
      <c r="AU33" s="1573" t="s">
        <v>2077</v>
      </c>
      <c r="AV33" s="1573" t="s">
        <v>2077</v>
      </c>
      <c r="AW33" s="1574"/>
      <c r="AX33" s="1575">
        <f t="shared" si="0"/>
        <v>20804823.739999998</v>
      </c>
    </row>
    <row r="34" spans="1:50">
      <c r="A34" s="1552" t="s">
        <v>1169</v>
      </c>
      <c r="B34" s="1578" t="s">
        <v>1935</v>
      </c>
      <c r="C34" s="1577" t="s">
        <v>120</v>
      </c>
      <c r="D34" s="1573" t="s">
        <v>2077</v>
      </c>
      <c r="E34" s="1573" t="s">
        <v>2077</v>
      </c>
      <c r="F34" s="1573" t="s">
        <v>2077</v>
      </c>
      <c r="G34" s="1573" t="s">
        <v>2077</v>
      </c>
      <c r="H34" s="1573" t="s">
        <v>2077</v>
      </c>
      <c r="I34" s="1573">
        <v>3290225.02</v>
      </c>
      <c r="J34" s="1573" t="s">
        <v>2077</v>
      </c>
      <c r="K34" s="1573" t="s">
        <v>2077</v>
      </c>
      <c r="L34" s="1573" t="s">
        <v>2077</v>
      </c>
      <c r="M34" s="1573" t="s">
        <v>2077</v>
      </c>
      <c r="N34" s="1573" t="s">
        <v>2077</v>
      </c>
      <c r="O34" s="1573">
        <v>2337341.09</v>
      </c>
      <c r="P34" s="1573">
        <v>726518.27</v>
      </c>
      <c r="Q34" s="1573">
        <v>649089.29</v>
      </c>
      <c r="R34" s="1573">
        <v>952957.18</v>
      </c>
      <c r="S34" s="1573">
        <v>413894.28</v>
      </c>
      <c r="T34" s="1573">
        <v>357262.07</v>
      </c>
      <c r="U34" s="1573">
        <v>683365.63</v>
      </c>
      <c r="V34" s="1573">
        <v>9557438.1600000001</v>
      </c>
      <c r="W34" s="1573" t="s">
        <v>2077</v>
      </c>
      <c r="X34" s="1573" t="s">
        <v>2077</v>
      </c>
      <c r="Y34" s="1573" t="s">
        <v>2077</v>
      </c>
      <c r="Z34" s="1573" t="s">
        <v>2077</v>
      </c>
      <c r="AA34" s="1573" t="s">
        <v>2077</v>
      </c>
      <c r="AB34" s="1573" t="s">
        <v>2077</v>
      </c>
      <c r="AC34" s="1573" t="s">
        <v>2077</v>
      </c>
      <c r="AD34" s="1573" t="s">
        <v>2077</v>
      </c>
      <c r="AE34" s="1573" t="s">
        <v>2077</v>
      </c>
      <c r="AF34" s="1573" t="s">
        <v>2077</v>
      </c>
      <c r="AG34" s="1573" t="s">
        <v>2077</v>
      </c>
      <c r="AH34" s="1573" t="s">
        <v>2077</v>
      </c>
      <c r="AI34" s="1573" t="s">
        <v>2077</v>
      </c>
      <c r="AJ34" s="1573" t="s">
        <v>2077</v>
      </c>
      <c r="AK34" s="1573" t="s">
        <v>2077</v>
      </c>
      <c r="AL34" s="1573">
        <v>7031892.4299999997</v>
      </c>
      <c r="AM34" s="1573" t="s">
        <v>2077</v>
      </c>
      <c r="AN34" s="1573" t="s">
        <v>2077</v>
      </c>
      <c r="AO34" s="1573" t="s">
        <v>2077</v>
      </c>
      <c r="AP34" s="1573" t="s">
        <v>2077</v>
      </c>
      <c r="AQ34" s="1573" t="s">
        <v>2077</v>
      </c>
      <c r="AR34" s="1573" t="s">
        <v>2077</v>
      </c>
      <c r="AS34" s="1573" t="s">
        <v>2077</v>
      </c>
      <c r="AT34" s="1573" t="s">
        <v>2077</v>
      </c>
      <c r="AU34" s="1573" t="s">
        <v>2077</v>
      </c>
      <c r="AV34" s="1573">
        <v>133222.20000000001</v>
      </c>
      <c r="AW34" s="1574"/>
      <c r="AX34" s="1575">
        <f t="shared" si="0"/>
        <v>26133205.620000001</v>
      </c>
    </row>
    <row r="35" spans="1:50">
      <c r="A35" s="1552" t="s">
        <v>1170</v>
      </c>
      <c r="B35" s="1578" t="s">
        <v>1936</v>
      </c>
      <c r="C35" s="1577" t="s">
        <v>121</v>
      </c>
      <c r="D35" s="1573" t="s">
        <v>2077</v>
      </c>
      <c r="E35" s="1573" t="s">
        <v>2077</v>
      </c>
      <c r="F35" s="1573" t="s">
        <v>2077</v>
      </c>
      <c r="G35" s="1573" t="s">
        <v>2077</v>
      </c>
      <c r="H35" s="1573" t="s">
        <v>2077</v>
      </c>
      <c r="I35" s="1573" t="s">
        <v>2077</v>
      </c>
      <c r="J35" s="1573" t="s">
        <v>2077</v>
      </c>
      <c r="K35" s="1573" t="s">
        <v>2077</v>
      </c>
      <c r="L35" s="1573" t="s">
        <v>2077</v>
      </c>
      <c r="M35" s="1573" t="s">
        <v>2077</v>
      </c>
      <c r="N35" s="1573" t="s">
        <v>2077</v>
      </c>
      <c r="O35" s="1573" t="s">
        <v>2077</v>
      </c>
      <c r="P35" s="1573" t="s">
        <v>2077</v>
      </c>
      <c r="Q35" s="1573" t="s">
        <v>2077</v>
      </c>
      <c r="R35" s="1573" t="s">
        <v>2077</v>
      </c>
      <c r="S35" s="1573" t="s">
        <v>2077</v>
      </c>
      <c r="T35" s="1573" t="s">
        <v>2077</v>
      </c>
      <c r="U35" s="1573" t="s">
        <v>2077</v>
      </c>
      <c r="V35" s="1573" t="s">
        <v>2077</v>
      </c>
      <c r="W35" s="1573" t="s">
        <v>2077</v>
      </c>
      <c r="X35" s="1573" t="s">
        <v>2077</v>
      </c>
      <c r="Y35" s="1573" t="s">
        <v>2077</v>
      </c>
      <c r="Z35" s="1573" t="s">
        <v>2077</v>
      </c>
      <c r="AA35" s="1573" t="s">
        <v>2077</v>
      </c>
      <c r="AB35" s="1573" t="s">
        <v>2077</v>
      </c>
      <c r="AC35" s="1573" t="s">
        <v>2077</v>
      </c>
      <c r="AD35" s="1573" t="s">
        <v>2077</v>
      </c>
      <c r="AE35" s="1573" t="s">
        <v>2077</v>
      </c>
      <c r="AF35" s="1573" t="s">
        <v>2077</v>
      </c>
      <c r="AG35" s="1573" t="s">
        <v>2077</v>
      </c>
      <c r="AH35" s="1573" t="s">
        <v>2077</v>
      </c>
      <c r="AI35" s="1573" t="s">
        <v>2077</v>
      </c>
      <c r="AJ35" s="1573" t="s">
        <v>2077</v>
      </c>
      <c r="AK35" s="1573" t="s">
        <v>2077</v>
      </c>
      <c r="AL35" s="1573" t="s">
        <v>2077</v>
      </c>
      <c r="AM35" s="1573" t="s">
        <v>2077</v>
      </c>
      <c r="AN35" s="1573" t="s">
        <v>2077</v>
      </c>
      <c r="AO35" s="1573" t="s">
        <v>2077</v>
      </c>
      <c r="AP35" s="1573" t="s">
        <v>2077</v>
      </c>
      <c r="AQ35" s="1573" t="s">
        <v>2077</v>
      </c>
      <c r="AR35" s="1573" t="s">
        <v>2077</v>
      </c>
      <c r="AS35" s="1573" t="s">
        <v>2077</v>
      </c>
      <c r="AT35" s="1573" t="s">
        <v>2077</v>
      </c>
      <c r="AU35" s="1573" t="s">
        <v>2077</v>
      </c>
      <c r="AV35" s="1573" t="s">
        <v>2077</v>
      </c>
      <c r="AW35" s="1574"/>
      <c r="AX35" s="1575">
        <f t="shared" si="0"/>
        <v>0</v>
      </c>
    </row>
    <row r="36" spans="1:50">
      <c r="A36" s="1552" t="s">
        <v>1171</v>
      </c>
      <c r="B36" s="1578" t="s">
        <v>1937</v>
      </c>
      <c r="C36" s="1577" t="s">
        <v>122</v>
      </c>
      <c r="D36" s="1573" t="s">
        <v>2077</v>
      </c>
      <c r="E36" s="1573" t="s">
        <v>2077</v>
      </c>
      <c r="F36" s="1573" t="s">
        <v>2077</v>
      </c>
      <c r="G36" s="1573" t="s">
        <v>2077</v>
      </c>
      <c r="H36" s="1573" t="s">
        <v>2077</v>
      </c>
      <c r="I36" s="1573">
        <v>282319.21999999997</v>
      </c>
      <c r="J36" s="1573" t="s">
        <v>2077</v>
      </c>
      <c r="K36" s="1573" t="s">
        <v>2077</v>
      </c>
      <c r="L36" s="1573" t="s">
        <v>2077</v>
      </c>
      <c r="M36" s="1573" t="s">
        <v>2077</v>
      </c>
      <c r="N36" s="1573" t="s">
        <v>2077</v>
      </c>
      <c r="O36" s="1573">
        <v>190070.78</v>
      </c>
      <c r="P36" s="1573" t="s">
        <v>2077</v>
      </c>
      <c r="Q36" s="1573">
        <v>313</v>
      </c>
      <c r="R36" s="1573" t="s">
        <v>2077</v>
      </c>
      <c r="S36" s="1573" t="s">
        <v>2077</v>
      </c>
      <c r="T36" s="1573" t="s">
        <v>2077</v>
      </c>
      <c r="U36" s="1573">
        <v>145440.69</v>
      </c>
      <c r="V36" s="1573">
        <v>285973.40999999997</v>
      </c>
      <c r="W36" s="1573" t="s">
        <v>2077</v>
      </c>
      <c r="X36" s="1573" t="s">
        <v>2077</v>
      </c>
      <c r="Y36" s="1573" t="s">
        <v>2077</v>
      </c>
      <c r="Z36" s="1573" t="s">
        <v>2077</v>
      </c>
      <c r="AA36" s="1573" t="s">
        <v>2077</v>
      </c>
      <c r="AB36" s="1573" t="s">
        <v>2077</v>
      </c>
      <c r="AC36" s="1573" t="s">
        <v>2077</v>
      </c>
      <c r="AD36" s="1573" t="s">
        <v>2077</v>
      </c>
      <c r="AE36" s="1573" t="s">
        <v>2077</v>
      </c>
      <c r="AF36" s="1573" t="s">
        <v>2077</v>
      </c>
      <c r="AG36" s="1573" t="s">
        <v>2077</v>
      </c>
      <c r="AH36" s="1573" t="s">
        <v>2077</v>
      </c>
      <c r="AI36" s="1573" t="s">
        <v>2077</v>
      </c>
      <c r="AJ36" s="1573" t="s">
        <v>2077</v>
      </c>
      <c r="AK36" s="1573" t="s">
        <v>2077</v>
      </c>
      <c r="AL36" s="1573" t="s">
        <v>2077</v>
      </c>
      <c r="AM36" s="1573" t="s">
        <v>2077</v>
      </c>
      <c r="AN36" s="1573" t="s">
        <v>2077</v>
      </c>
      <c r="AO36" s="1573" t="s">
        <v>2077</v>
      </c>
      <c r="AP36" s="1573" t="s">
        <v>2077</v>
      </c>
      <c r="AQ36" s="1573" t="s">
        <v>2077</v>
      </c>
      <c r="AR36" s="1573" t="s">
        <v>2077</v>
      </c>
      <c r="AS36" s="1573" t="s">
        <v>2077</v>
      </c>
      <c r="AT36" s="1573" t="s">
        <v>2077</v>
      </c>
      <c r="AU36" s="1573" t="s">
        <v>2077</v>
      </c>
      <c r="AV36" s="1573" t="s">
        <v>2077</v>
      </c>
      <c r="AW36" s="1574"/>
      <c r="AX36" s="1575">
        <f t="shared" si="0"/>
        <v>904117.09999999986</v>
      </c>
    </row>
    <row r="37" spans="1:50">
      <c r="A37" s="1552" t="s">
        <v>1172</v>
      </c>
      <c r="B37" s="1578" t="s">
        <v>1938</v>
      </c>
      <c r="C37" s="1577" t="s">
        <v>123</v>
      </c>
      <c r="D37" s="1573" t="s">
        <v>2077</v>
      </c>
      <c r="E37" s="1573" t="s">
        <v>2077</v>
      </c>
      <c r="F37" s="1573" t="s">
        <v>2077</v>
      </c>
      <c r="G37" s="1573" t="s">
        <v>2077</v>
      </c>
      <c r="H37" s="1573">
        <v>640484.99</v>
      </c>
      <c r="I37" s="1573">
        <v>2439026.4</v>
      </c>
      <c r="J37" s="1573" t="s">
        <v>2077</v>
      </c>
      <c r="K37" s="1573" t="s">
        <v>2077</v>
      </c>
      <c r="L37" s="1573" t="s">
        <v>2077</v>
      </c>
      <c r="M37" s="1573" t="s">
        <v>2077</v>
      </c>
      <c r="N37" s="1573" t="s">
        <v>2077</v>
      </c>
      <c r="O37" s="1573">
        <v>1976417.63</v>
      </c>
      <c r="P37" s="1573">
        <v>1690214.99</v>
      </c>
      <c r="Q37" s="1573">
        <v>1993751.5</v>
      </c>
      <c r="R37" s="1573">
        <v>2957735.2</v>
      </c>
      <c r="S37" s="1573">
        <v>2818535.09</v>
      </c>
      <c r="T37" s="1573">
        <v>800805.85</v>
      </c>
      <c r="U37" s="1573">
        <v>626427.38</v>
      </c>
      <c r="V37" s="1573">
        <v>14518776.880000001</v>
      </c>
      <c r="W37" s="1573" t="s">
        <v>2077</v>
      </c>
      <c r="X37" s="1573" t="s">
        <v>2077</v>
      </c>
      <c r="Y37" s="1573" t="s">
        <v>2077</v>
      </c>
      <c r="Z37" s="1573" t="s">
        <v>2077</v>
      </c>
      <c r="AA37" s="1573" t="s">
        <v>2077</v>
      </c>
      <c r="AB37" s="1573" t="s">
        <v>2077</v>
      </c>
      <c r="AC37" s="1573" t="s">
        <v>2077</v>
      </c>
      <c r="AD37" s="1573" t="s">
        <v>2077</v>
      </c>
      <c r="AE37" s="1573" t="s">
        <v>2077</v>
      </c>
      <c r="AF37" s="1573" t="s">
        <v>2077</v>
      </c>
      <c r="AG37" s="1573" t="s">
        <v>2077</v>
      </c>
      <c r="AH37" s="1573" t="s">
        <v>2077</v>
      </c>
      <c r="AI37" s="1573" t="s">
        <v>2077</v>
      </c>
      <c r="AJ37" s="1573" t="s">
        <v>2077</v>
      </c>
      <c r="AK37" s="1573" t="s">
        <v>2077</v>
      </c>
      <c r="AL37" s="1573" t="s">
        <v>2077</v>
      </c>
      <c r="AM37" s="1573" t="s">
        <v>2077</v>
      </c>
      <c r="AN37" s="1573" t="s">
        <v>2077</v>
      </c>
      <c r="AO37" s="1573" t="s">
        <v>2077</v>
      </c>
      <c r="AP37" s="1573" t="s">
        <v>2077</v>
      </c>
      <c r="AQ37" s="1573" t="s">
        <v>2077</v>
      </c>
      <c r="AR37" s="1573" t="s">
        <v>2077</v>
      </c>
      <c r="AS37" s="1573" t="s">
        <v>2077</v>
      </c>
      <c r="AT37" s="1573" t="s">
        <v>2077</v>
      </c>
      <c r="AU37" s="1573" t="s">
        <v>2077</v>
      </c>
      <c r="AV37" s="1573" t="s">
        <v>2077</v>
      </c>
      <c r="AW37" s="1574"/>
      <c r="AX37" s="1575">
        <f t="shared" si="0"/>
        <v>30462175.910000004</v>
      </c>
    </row>
    <row r="38" spans="1:50">
      <c r="A38" s="1552" t="s">
        <v>1173</v>
      </c>
      <c r="B38" s="1578" t="s">
        <v>1939</v>
      </c>
      <c r="C38" s="1577" t="s">
        <v>124</v>
      </c>
      <c r="D38" s="1573" t="s">
        <v>2077</v>
      </c>
      <c r="E38" s="1573" t="s">
        <v>2077</v>
      </c>
      <c r="F38" s="1573" t="s">
        <v>2077</v>
      </c>
      <c r="G38" s="1573" t="s">
        <v>2077</v>
      </c>
      <c r="H38" s="1573" t="s">
        <v>2077</v>
      </c>
      <c r="I38" s="1573">
        <v>122710.57</v>
      </c>
      <c r="J38" s="1573" t="s">
        <v>2077</v>
      </c>
      <c r="K38" s="1573" t="s">
        <v>2077</v>
      </c>
      <c r="L38" s="1573" t="s">
        <v>2077</v>
      </c>
      <c r="M38" s="1573" t="s">
        <v>2077</v>
      </c>
      <c r="N38" s="1573" t="s">
        <v>2077</v>
      </c>
      <c r="O38" s="1573">
        <v>8045.08</v>
      </c>
      <c r="P38" s="1573" t="s">
        <v>2077</v>
      </c>
      <c r="Q38" s="1573" t="s">
        <v>2077</v>
      </c>
      <c r="R38" s="1573" t="s">
        <v>2077</v>
      </c>
      <c r="S38" s="1573" t="s">
        <v>2077</v>
      </c>
      <c r="T38" s="1573" t="s">
        <v>2077</v>
      </c>
      <c r="U38" s="1573">
        <v>15669.43</v>
      </c>
      <c r="V38" s="1573">
        <v>3756167.64</v>
      </c>
      <c r="W38" s="1573" t="s">
        <v>2077</v>
      </c>
      <c r="X38" s="1573" t="s">
        <v>2077</v>
      </c>
      <c r="Y38" s="1573" t="s">
        <v>2077</v>
      </c>
      <c r="Z38" s="1573" t="s">
        <v>2077</v>
      </c>
      <c r="AA38" s="1573" t="s">
        <v>2077</v>
      </c>
      <c r="AB38" s="1573" t="s">
        <v>2077</v>
      </c>
      <c r="AC38" s="1573" t="s">
        <v>2077</v>
      </c>
      <c r="AD38" s="1573" t="s">
        <v>2077</v>
      </c>
      <c r="AE38" s="1573" t="s">
        <v>2077</v>
      </c>
      <c r="AF38" s="1573" t="s">
        <v>2077</v>
      </c>
      <c r="AG38" s="1573" t="s">
        <v>2077</v>
      </c>
      <c r="AH38" s="1573" t="s">
        <v>2077</v>
      </c>
      <c r="AI38" s="1573" t="s">
        <v>2077</v>
      </c>
      <c r="AJ38" s="1573" t="s">
        <v>2077</v>
      </c>
      <c r="AK38" s="1573" t="s">
        <v>2077</v>
      </c>
      <c r="AL38" s="1573" t="s">
        <v>2077</v>
      </c>
      <c r="AM38" s="1573" t="s">
        <v>2077</v>
      </c>
      <c r="AN38" s="1573" t="s">
        <v>2077</v>
      </c>
      <c r="AO38" s="1573" t="s">
        <v>2077</v>
      </c>
      <c r="AP38" s="1573" t="s">
        <v>2077</v>
      </c>
      <c r="AQ38" s="1573" t="s">
        <v>2077</v>
      </c>
      <c r="AR38" s="1573" t="s">
        <v>2077</v>
      </c>
      <c r="AS38" s="1573" t="s">
        <v>2077</v>
      </c>
      <c r="AT38" s="1573" t="s">
        <v>2077</v>
      </c>
      <c r="AU38" s="1573" t="s">
        <v>2077</v>
      </c>
      <c r="AV38" s="1573" t="s">
        <v>2077</v>
      </c>
      <c r="AW38" s="1574"/>
      <c r="AX38" s="1575">
        <f t="shared" si="0"/>
        <v>3902592.72</v>
      </c>
    </row>
    <row r="39" spans="1:50">
      <c r="A39" s="1552" t="s">
        <v>1174</v>
      </c>
      <c r="B39" s="1578" t="s">
        <v>1940</v>
      </c>
      <c r="C39" s="1577" t="s">
        <v>125</v>
      </c>
      <c r="D39" s="1573">
        <v>17696028.5</v>
      </c>
      <c r="E39" s="1573">
        <v>14844561.16</v>
      </c>
      <c r="F39" s="1573">
        <v>49541261.32</v>
      </c>
      <c r="G39" s="1573">
        <v>3985476</v>
      </c>
      <c r="H39" s="1573">
        <v>13341265.439999999</v>
      </c>
      <c r="I39" s="1573">
        <v>558842.18999999994</v>
      </c>
      <c r="J39" s="1573">
        <v>40921.86</v>
      </c>
      <c r="K39" s="1573">
        <v>12807.49</v>
      </c>
      <c r="L39" s="1573">
        <v>118331.68</v>
      </c>
      <c r="M39" s="1573">
        <v>-99172.1</v>
      </c>
      <c r="N39" s="1573" t="s">
        <v>2077</v>
      </c>
      <c r="O39" s="1573">
        <v>266052.44</v>
      </c>
      <c r="P39" s="1573">
        <v>265325.74</v>
      </c>
      <c r="Q39" s="1573">
        <v>311647.45</v>
      </c>
      <c r="R39" s="1573">
        <v>163665.37</v>
      </c>
      <c r="S39" s="1573">
        <v>85284.03</v>
      </c>
      <c r="T39" s="1573">
        <v>266810.48</v>
      </c>
      <c r="U39" s="1573">
        <v>1473290.77</v>
      </c>
      <c r="V39" s="1573">
        <v>3229736.7</v>
      </c>
      <c r="W39" s="1573" t="s">
        <v>2077</v>
      </c>
      <c r="X39" s="1573" t="s">
        <v>2077</v>
      </c>
      <c r="Y39" s="1573" t="s">
        <v>2077</v>
      </c>
      <c r="Z39" s="1573" t="s">
        <v>2077</v>
      </c>
      <c r="AA39" s="1573" t="s">
        <v>2077</v>
      </c>
      <c r="AB39" s="1573" t="s">
        <v>2077</v>
      </c>
      <c r="AC39" s="1573" t="s">
        <v>2077</v>
      </c>
      <c r="AD39" s="1573" t="s">
        <v>2077</v>
      </c>
      <c r="AE39" s="1573" t="s">
        <v>2077</v>
      </c>
      <c r="AF39" s="1573" t="s">
        <v>2077</v>
      </c>
      <c r="AG39" s="1573" t="s">
        <v>2077</v>
      </c>
      <c r="AH39" s="1573">
        <v>-206601685.09999999</v>
      </c>
      <c r="AI39" s="1573" t="s">
        <v>2077</v>
      </c>
      <c r="AJ39" s="1573">
        <v>155152634.50999999</v>
      </c>
      <c r="AK39" s="1573">
        <v>17538863.039999999</v>
      </c>
      <c r="AL39" s="1573">
        <v>466556964.43000001</v>
      </c>
      <c r="AM39" s="1573" t="s">
        <v>2077</v>
      </c>
      <c r="AN39" s="1573" t="s">
        <v>2077</v>
      </c>
      <c r="AO39" s="1573" t="s">
        <v>2077</v>
      </c>
      <c r="AP39" s="1573" t="s">
        <v>2077</v>
      </c>
      <c r="AQ39" s="1573" t="s">
        <v>2077</v>
      </c>
      <c r="AR39" s="1573">
        <v>63368.68</v>
      </c>
      <c r="AS39" s="1573" t="s">
        <v>2077</v>
      </c>
      <c r="AT39" s="1573" t="s">
        <v>2077</v>
      </c>
      <c r="AU39" s="1573" t="s">
        <v>2077</v>
      </c>
      <c r="AV39" s="1573" t="s">
        <v>2077</v>
      </c>
      <c r="AW39" s="1574"/>
      <c r="AX39" s="1575">
        <f t="shared" si="0"/>
        <v>538812282.07999992</v>
      </c>
    </row>
    <row r="40" spans="1:50">
      <c r="A40" s="1552" t="s">
        <v>1175</v>
      </c>
      <c r="B40" s="1578" t="s">
        <v>1941</v>
      </c>
      <c r="C40" s="1577" t="s">
        <v>126</v>
      </c>
      <c r="D40" s="1573" t="s">
        <v>2077</v>
      </c>
      <c r="E40" s="1573" t="s">
        <v>2077</v>
      </c>
      <c r="F40" s="1573" t="s">
        <v>2077</v>
      </c>
      <c r="G40" s="1573" t="s">
        <v>2077</v>
      </c>
      <c r="H40" s="1573" t="s">
        <v>2077</v>
      </c>
      <c r="I40" s="1573" t="s">
        <v>2077</v>
      </c>
      <c r="J40" s="1573" t="s">
        <v>2077</v>
      </c>
      <c r="K40" s="1573" t="s">
        <v>2077</v>
      </c>
      <c r="L40" s="1573" t="s">
        <v>2077</v>
      </c>
      <c r="M40" s="1573" t="s">
        <v>2077</v>
      </c>
      <c r="N40" s="1573" t="s">
        <v>2077</v>
      </c>
      <c r="O40" s="1573" t="s">
        <v>2077</v>
      </c>
      <c r="P40" s="1573" t="s">
        <v>2077</v>
      </c>
      <c r="Q40" s="1573" t="s">
        <v>2077</v>
      </c>
      <c r="R40" s="1573" t="s">
        <v>2077</v>
      </c>
      <c r="S40" s="1573" t="s">
        <v>2077</v>
      </c>
      <c r="T40" s="1573" t="s">
        <v>2077</v>
      </c>
      <c r="U40" s="1573" t="s">
        <v>2077</v>
      </c>
      <c r="V40" s="1573" t="s">
        <v>2077</v>
      </c>
      <c r="W40" s="1573">
        <v>31163.279999999999</v>
      </c>
      <c r="X40" s="1573" t="s">
        <v>2077</v>
      </c>
      <c r="Y40" s="1573" t="s">
        <v>2077</v>
      </c>
      <c r="Z40" s="1573">
        <v>4868626</v>
      </c>
      <c r="AA40" s="1573">
        <v>234650.69</v>
      </c>
      <c r="AB40" s="1573">
        <v>307144.93</v>
      </c>
      <c r="AC40" s="1573">
        <v>45159.63</v>
      </c>
      <c r="AD40" s="1573">
        <v>469416.75</v>
      </c>
      <c r="AE40" s="1573">
        <v>229556.23</v>
      </c>
      <c r="AF40" s="1573" t="s">
        <v>2077</v>
      </c>
      <c r="AG40" s="1573" t="s">
        <v>2077</v>
      </c>
      <c r="AH40" s="1573" t="s">
        <v>2077</v>
      </c>
      <c r="AI40" s="1573" t="s">
        <v>2077</v>
      </c>
      <c r="AJ40" s="1573" t="s">
        <v>2077</v>
      </c>
      <c r="AK40" s="1573" t="s">
        <v>2077</v>
      </c>
      <c r="AL40" s="1573" t="s">
        <v>2077</v>
      </c>
      <c r="AM40" s="1573" t="s">
        <v>2077</v>
      </c>
      <c r="AN40" s="1573" t="s">
        <v>2077</v>
      </c>
      <c r="AO40" s="1573" t="s">
        <v>2077</v>
      </c>
      <c r="AP40" s="1573" t="s">
        <v>2077</v>
      </c>
      <c r="AQ40" s="1573" t="s">
        <v>2077</v>
      </c>
      <c r="AR40" s="1573" t="s">
        <v>2077</v>
      </c>
      <c r="AS40" s="1573" t="s">
        <v>2077</v>
      </c>
      <c r="AT40" s="1573" t="s">
        <v>2077</v>
      </c>
      <c r="AU40" s="1573" t="s">
        <v>2077</v>
      </c>
      <c r="AV40" s="1573" t="s">
        <v>2077</v>
      </c>
      <c r="AW40" s="1574"/>
      <c r="AX40" s="1575">
        <f t="shared" si="0"/>
        <v>6185717.5100000007</v>
      </c>
    </row>
    <row r="41" spans="1:50">
      <c r="A41" s="1552" t="s">
        <v>1176</v>
      </c>
      <c r="B41" s="1578" t="s">
        <v>1942</v>
      </c>
      <c r="C41" s="1577" t="s">
        <v>127</v>
      </c>
      <c r="D41" s="1573" t="s">
        <v>2077</v>
      </c>
      <c r="E41" s="1573" t="s">
        <v>2077</v>
      </c>
      <c r="F41" s="1573" t="s">
        <v>2077</v>
      </c>
      <c r="G41" s="1573" t="s">
        <v>2077</v>
      </c>
      <c r="H41" s="1573" t="s">
        <v>2077</v>
      </c>
      <c r="I41" s="1573" t="s">
        <v>2077</v>
      </c>
      <c r="J41" s="1573" t="s">
        <v>2077</v>
      </c>
      <c r="K41" s="1573" t="s">
        <v>2077</v>
      </c>
      <c r="L41" s="1573" t="s">
        <v>2077</v>
      </c>
      <c r="M41" s="1573" t="s">
        <v>2077</v>
      </c>
      <c r="N41" s="1573" t="s">
        <v>2077</v>
      </c>
      <c r="O41" s="1573" t="s">
        <v>2077</v>
      </c>
      <c r="P41" s="1573" t="s">
        <v>2077</v>
      </c>
      <c r="Q41" s="1573" t="s">
        <v>2077</v>
      </c>
      <c r="R41" s="1573" t="s">
        <v>2077</v>
      </c>
      <c r="S41" s="1573" t="s">
        <v>2077</v>
      </c>
      <c r="T41" s="1573" t="s">
        <v>2077</v>
      </c>
      <c r="U41" s="1573" t="s">
        <v>2077</v>
      </c>
      <c r="V41" s="1573" t="s">
        <v>2077</v>
      </c>
      <c r="W41" s="1573" t="s">
        <v>2077</v>
      </c>
      <c r="X41" s="1573" t="s">
        <v>2077</v>
      </c>
      <c r="Y41" s="1573" t="s">
        <v>2077</v>
      </c>
      <c r="Z41" s="1573" t="s">
        <v>2077</v>
      </c>
      <c r="AA41" s="1573" t="s">
        <v>2077</v>
      </c>
      <c r="AB41" s="1573" t="s">
        <v>2077</v>
      </c>
      <c r="AC41" s="1573" t="s">
        <v>2077</v>
      </c>
      <c r="AD41" s="1573">
        <v>2050230.02</v>
      </c>
      <c r="AE41" s="1573">
        <v>632857.57999999996</v>
      </c>
      <c r="AF41" s="1573" t="s">
        <v>2077</v>
      </c>
      <c r="AG41" s="1573" t="s">
        <v>2077</v>
      </c>
      <c r="AH41" s="1573" t="s">
        <v>2077</v>
      </c>
      <c r="AI41" s="1573" t="s">
        <v>2077</v>
      </c>
      <c r="AJ41" s="1573" t="s">
        <v>2077</v>
      </c>
      <c r="AK41" s="1573" t="s">
        <v>2077</v>
      </c>
      <c r="AL41" s="1573" t="s">
        <v>2077</v>
      </c>
      <c r="AM41" s="1573" t="s">
        <v>2077</v>
      </c>
      <c r="AN41" s="1573" t="s">
        <v>2077</v>
      </c>
      <c r="AO41" s="1573" t="s">
        <v>2077</v>
      </c>
      <c r="AP41" s="1573" t="s">
        <v>2077</v>
      </c>
      <c r="AQ41" s="1573" t="s">
        <v>2077</v>
      </c>
      <c r="AR41" s="1573" t="s">
        <v>2077</v>
      </c>
      <c r="AS41" s="1573" t="s">
        <v>2077</v>
      </c>
      <c r="AT41" s="1573" t="s">
        <v>2077</v>
      </c>
      <c r="AU41" s="1573" t="s">
        <v>2077</v>
      </c>
      <c r="AV41" s="1573" t="s">
        <v>2077</v>
      </c>
      <c r="AW41" s="1574"/>
      <c r="AX41" s="1575">
        <f t="shared" si="0"/>
        <v>2683087.6</v>
      </c>
    </row>
    <row r="42" spans="1:50">
      <c r="A42" s="1552" t="s">
        <v>1177</v>
      </c>
      <c r="B42" s="1578" t="s">
        <v>1943</v>
      </c>
      <c r="C42" s="1577" t="s">
        <v>128</v>
      </c>
      <c r="D42" s="1573" t="s">
        <v>2077</v>
      </c>
      <c r="E42" s="1573" t="s">
        <v>2077</v>
      </c>
      <c r="F42" s="1573" t="s">
        <v>2077</v>
      </c>
      <c r="G42" s="1573" t="s">
        <v>2077</v>
      </c>
      <c r="H42" s="1573" t="s">
        <v>2077</v>
      </c>
      <c r="I42" s="1573" t="s">
        <v>2077</v>
      </c>
      <c r="J42" s="1573" t="s">
        <v>2077</v>
      </c>
      <c r="K42" s="1573" t="s">
        <v>2077</v>
      </c>
      <c r="L42" s="1573" t="s">
        <v>2077</v>
      </c>
      <c r="M42" s="1573" t="s">
        <v>2077</v>
      </c>
      <c r="N42" s="1573" t="s">
        <v>2077</v>
      </c>
      <c r="O42" s="1573" t="s">
        <v>2077</v>
      </c>
      <c r="P42" s="1573" t="s">
        <v>2077</v>
      </c>
      <c r="Q42" s="1573" t="s">
        <v>2077</v>
      </c>
      <c r="R42" s="1573" t="s">
        <v>2077</v>
      </c>
      <c r="S42" s="1573" t="s">
        <v>2077</v>
      </c>
      <c r="T42" s="1573" t="s">
        <v>2077</v>
      </c>
      <c r="U42" s="1573" t="s">
        <v>2077</v>
      </c>
      <c r="V42" s="1573" t="s">
        <v>2077</v>
      </c>
      <c r="W42" s="1573">
        <v>889050.99</v>
      </c>
      <c r="X42" s="1573" t="s">
        <v>2077</v>
      </c>
      <c r="Y42" s="1573">
        <v>306368.98</v>
      </c>
      <c r="Z42" s="1573">
        <v>974408.69</v>
      </c>
      <c r="AA42" s="1573" t="s">
        <v>2077</v>
      </c>
      <c r="AB42" s="1573">
        <v>1005853.32</v>
      </c>
      <c r="AC42" s="1573" t="s">
        <v>2077</v>
      </c>
      <c r="AD42" s="1573">
        <v>1156232.56</v>
      </c>
      <c r="AE42" s="1573">
        <v>164393.84</v>
      </c>
      <c r="AF42" s="1573" t="s">
        <v>2077</v>
      </c>
      <c r="AG42" s="1573" t="s">
        <v>2077</v>
      </c>
      <c r="AH42" s="1573" t="s">
        <v>2077</v>
      </c>
      <c r="AI42" s="1573" t="s">
        <v>2077</v>
      </c>
      <c r="AJ42" s="1573" t="s">
        <v>2077</v>
      </c>
      <c r="AK42" s="1573" t="s">
        <v>2077</v>
      </c>
      <c r="AL42" s="1573" t="s">
        <v>2077</v>
      </c>
      <c r="AM42" s="1573" t="s">
        <v>2077</v>
      </c>
      <c r="AN42" s="1573" t="s">
        <v>2077</v>
      </c>
      <c r="AO42" s="1573" t="s">
        <v>2077</v>
      </c>
      <c r="AP42" s="1573" t="s">
        <v>2077</v>
      </c>
      <c r="AQ42" s="1573" t="s">
        <v>2077</v>
      </c>
      <c r="AR42" s="1573" t="s">
        <v>2077</v>
      </c>
      <c r="AS42" s="1573" t="s">
        <v>2077</v>
      </c>
      <c r="AT42" s="1573" t="s">
        <v>2077</v>
      </c>
      <c r="AU42" s="1573" t="s">
        <v>2077</v>
      </c>
      <c r="AV42" s="1573" t="s">
        <v>2077</v>
      </c>
      <c r="AW42" s="1574"/>
      <c r="AX42" s="1575">
        <f t="shared" si="0"/>
        <v>4496308.38</v>
      </c>
    </row>
    <row r="43" spans="1:50">
      <c r="A43" s="1552" t="s">
        <v>1178</v>
      </c>
      <c r="B43" s="1578" t="s">
        <v>1944</v>
      </c>
      <c r="C43" s="1577" t="s">
        <v>129</v>
      </c>
      <c r="D43" s="1573">
        <v>245481.59</v>
      </c>
      <c r="E43" s="1573">
        <v>10019777.029999999</v>
      </c>
      <c r="F43" s="1573">
        <v>24327316.170000002</v>
      </c>
      <c r="G43" s="1573">
        <v>75240</v>
      </c>
      <c r="H43" s="1573">
        <v>944657.88</v>
      </c>
      <c r="I43" s="1573">
        <v>77809.36</v>
      </c>
      <c r="J43" s="1573">
        <v>9244.2999999999993</v>
      </c>
      <c r="K43" s="1573">
        <v>22853.73</v>
      </c>
      <c r="L43" s="1573">
        <v>26126.92</v>
      </c>
      <c r="M43" s="1573">
        <v>2356.11</v>
      </c>
      <c r="N43" s="1573" t="s">
        <v>2077</v>
      </c>
      <c r="O43" s="1573">
        <v>24171.79</v>
      </c>
      <c r="P43" s="1573">
        <v>23950.73</v>
      </c>
      <c r="Q43" s="1573">
        <v>29398.68</v>
      </c>
      <c r="R43" s="1573">
        <v>26101.19</v>
      </c>
      <c r="S43" s="1573">
        <v>11642.95</v>
      </c>
      <c r="T43" s="1573">
        <v>19061</v>
      </c>
      <c r="U43" s="1573">
        <v>21034.16</v>
      </c>
      <c r="V43" s="1573">
        <v>919245.78</v>
      </c>
      <c r="W43" s="1573" t="s">
        <v>2077</v>
      </c>
      <c r="X43" s="1573" t="s">
        <v>2077</v>
      </c>
      <c r="Y43" s="1573" t="s">
        <v>2077</v>
      </c>
      <c r="Z43" s="1573" t="s">
        <v>2077</v>
      </c>
      <c r="AA43" s="1573" t="s">
        <v>2077</v>
      </c>
      <c r="AB43" s="1573" t="s">
        <v>2077</v>
      </c>
      <c r="AC43" s="1573" t="s">
        <v>2077</v>
      </c>
      <c r="AD43" s="1573" t="s">
        <v>2077</v>
      </c>
      <c r="AE43" s="1573" t="s">
        <v>2077</v>
      </c>
      <c r="AF43" s="1573">
        <v>88645209.879999995</v>
      </c>
      <c r="AG43" s="1573" t="s">
        <v>2077</v>
      </c>
      <c r="AH43" s="1573" t="s">
        <v>2077</v>
      </c>
      <c r="AI43" s="1573" t="s">
        <v>2077</v>
      </c>
      <c r="AJ43" s="1573">
        <v>3330926.49</v>
      </c>
      <c r="AK43" s="1573">
        <v>8918226.1699999999</v>
      </c>
      <c r="AL43" s="1573">
        <v>710840754.20000005</v>
      </c>
      <c r="AM43" s="1573" t="s">
        <v>2077</v>
      </c>
      <c r="AN43" s="1573" t="s">
        <v>2077</v>
      </c>
      <c r="AO43" s="1573" t="s">
        <v>2077</v>
      </c>
      <c r="AP43" s="1573" t="s">
        <v>2077</v>
      </c>
      <c r="AQ43" s="1573" t="s">
        <v>2077</v>
      </c>
      <c r="AR43" s="1573">
        <v>8953.36</v>
      </c>
      <c r="AS43" s="1573" t="s">
        <v>2077</v>
      </c>
      <c r="AT43" s="1573" t="s">
        <v>2077</v>
      </c>
      <c r="AU43" s="1573" t="s">
        <v>2077</v>
      </c>
      <c r="AV43" s="1573" t="s">
        <v>2077</v>
      </c>
      <c r="AW43" s="1574"/>
      <c r="AX43" s="1575">
        <f t="shared" si="0"/>
        <v>848569539.47000003</v>
      </c>
    </row>
    <row r="44" spans="1:50">
      <c r="A44" s="1552" t="s">
        <v>1179</v>
      </c>
      <c r="B44" s="1578" t="s">
        <v>1945</v>
      </c>
      <c r="C44" s="1577" t="s">
        <v>130</v>
      </c>
      <c r="D44" s="1573" t="s">
        <v>2077</v>
      </c>
      <c r="E44" s="1573" t="s">
        <v>2077</v>
      </c>
      <c r="F44" s="1573" t="s">
        <v>2077</v>
      </c>
      <c r="G44" s="1573" t="s">
        <v>2077</v>
      </c>
      <c r="H44" s="1573" t="s">
        <v>2077</v>
      </c>
      <c r="I44" s="1573" t="s">
        <v>2077</v>
      </c>
      <c r="J44" s="1573" t="s">
        <v>2077</v>
      </c>
      <c r="K44" s="1573" t="s">
        <v>2077</v>
      </c>
      <c r="L44" s="1573" t="s">
        <v>2077</v>
      </c>
      <c r="M44" s="1573" t="s">
        <v>2077</v>
      </c>
      <c r="N44" s="1573" t="s">
        <v>2077</v>
      </c>
      <c r="O44" s="1573" t="s">
        <v>2077</v>
      </c>
      <c r="P44" s="1573" t="s">
        <v>2077</v>
      </c>
      <c r="Q44" s="1573" t="s">
        <v>2077</v>
      </c>
      <c r="R44" s="1573" t="s">
        <v>2077</v>
      </c>
      <c r="S44" s="1573" t="s">
        <v>2077</v>
      </c>
      <c r="T44" s="1573" t="s">
        <v>2077</v>
      </c>
      <c r="U44" s="1573" t="s">
        <v>2077</v>
      </c>
      <c r="V44" s="1573" t="s">
        <v>2077</v>
      </c>
      <c r="W44" s="1573">
        <v>637579.49</v>
      </c>
      <c r="X44" s="1573">
        <v>294960.8</v>
      </c>
      <c r="Y44" s="1573">
        <v>880835.03</v>
      </c>
      <c r="Z44" s="1573">
        <v>3657062.81</v>
      </c>
      <c r="AA44" s="1573">
        <v>1310774.6599999999</v>
      </c>
      <c r="AB44" s="1573">
        <v>1997744.63</v>
      </c>
      <c r="AC44" s="1573">
        <v>433164</v>
      </c>
      <c r="AD44" s="1573">
        <v>2276275.14</v>
      </c>
      <c r="AE44" s="1573">
        <v>1606163.77</v>
      </c>
      <c r="AF44" s="1573" t="s">
        <v>2077</v>
      </c>
      <c r="AG44" s="1573" t="s">
        <v>2077</v>
      </c>
      <c r="AH44" s="1573" t="s">
        <v>2077</v>
      </c>
      <c r="AI44" s="1573" t="s">
        <v>2077</v>
      </c>
      <c r="AJ44" s="1573" t="s">
        <v>2077</v>
      </c>
      <c r="AK44" s="1573" t="s">
        <v>2077</v>
      </c>
      <c r="AL44" s="1573" t="s">
        <v>2077</v>
      </c>
      <c r="AM44" s="1573" t="s">
        <v>2077</v>
      </c>
      <c r="AN44" s="1573" t="s">
        <v>2077</v>
      </c>
      <c r="AO44" s="1573" t="s">
        <v>2077</v>
      </c>
      <c r="AP44" s="1573" t="s">
        <v>2077</v>
      </c>
      <c r="AQ44" s="1573" t="s">
        <v>2077</v>
      </c>
      <c r="AR44" s="1573" t="s">
        <v>2077</v>
      </c>
      <c r="AS44" s="1573" t="s">
        <v>2077</v>
      </c>
      <c r="AT44" s="1573" t="s">
        <v>2077</v>
      </c>
      <c r="AU44" s="1573" t="s">
        <v>2077</v>
      </c>
      <c r="AV44" s="1573" t="s">
        <v>2077</v>
      </c>
      <c r="AW44" s="1574"/>
      <c r="AX44" s="1575">
        <f t="shared" si="0"/>
        <v>13094560.33</v>
      </c>
    </row>
    <row r="45" spans="1:50">
      <c r="A45" s="1552" t="s">
        <v>1180</v>
      </c>
      <c r="B45" s="1578" t="s">
        <v>1946</v>
      </c>
      <c r="C45" s="1577" t="s">
        <v>131</v>
      </c>
      <c r="D45" s="1573" t="s">
        <v>2077</v>
      </c>
      <c r="E45" s="1573" t="s">
        <v>2077</v>
      </c>
      <c r="F45" s="1573" t="s">
        <v>2077</v>
      </c>
      <c r="G45" s="1573" t="s">
        <v>2077</v>
      </c>
      <c r="H45" s="1573" t="s">
        <v>2077</v>
      </c>
      <c r="I45" s="1573" t="s">
        <v>2077</v>
      </c>
      <c r="J45" s="1573" t="s">
        <v>2077</v>
      </c>
      <c r="K45" s="1573" t="s">
        <v>2077</v>
      </c>
      <c r="L45" s="1573" t="s">
        <v>2077</v>
      </c>
      <c r="M45" s="1573" t="s">
        <v>2077</v>
      </c>
      <c r="N45" s="1573" t="s">
        <v>2077</v>
      </c>
      <c r="O45" s="1573" t="s">
        <v>2077</v>
      </c>
      <c r="P45" s="1573" t="s">
        <v>2077</v>
      </c>
      <c r="Q45" s="1573" t="s">
        <v>2077</v>
      </c>
      <c r="R45" s="1573" t="s">
        <v>2077</v>
      </c>
      <c r="S45" s="1573" t="s">
        <v>2077</v>
      </c>
      <c r="T45" s="1573" t="s">
        <v>2077</v>
      </c>
      <c r="U45" s="1573" t="s">
        <v>2077</v>
      </c>
      <c r="V45" s="1573" t="s">
        <v>2077</v>
      </c>
      <c r="W45" s="1573" t="s">
        <v>2077</v>
      </c>
      <c r="X45" s="1573" t="s">
        <v>2077</v>
      </c>
      <c r="Y45" s="1573" t="s">
        <v>2077</v>
      </c>
      <c r="Z45" s="1573">
        <v>67338.23</v>
      </c>
      <c r="AA45" s="1573" t="s">
        <v>2077</v>
      </c>
      <c r="AB45" s="1573">
        <v>4883.34</v>
      </c>
      <c r="AC45" s="1573" t="s">
        <v>2077</v>
      </c>
      <c r="AD45" s="1573">
        <v>4469.42</v>
      </c>
      <c r="AE45" s="1573" t="s">
        <v>2077</v>
      </c>
      <c r="AF45" s="1573" t="s">
        <v>2077</v>
      </c>
      <c r="AG45" s="1573" t="s">
        <v>2077</v>
      </c>
      <c r="AH45" s="1573" t="s">
        <v>2077</v>
      </c>
      <c r="AI45" s="1573" t="s">
        <v>2077</v>
      </c>
      <c r="AJ45" s="1573" t="s">
        <v>2077</v>
      </c>
      <c r="AK45" s="1573" t="s">
        <v>2077</v>
      </c>
      <c r="AL45" s="1573" t="s">
        <v>2077</v>
      </c>
      <c r="AM45" s="1573" t="s">
        <v>2077</v>
      </c>
      <c r="AN45" s="1573" t="s">
        <v>2077</v>
      </c>
      <c r="AO45" s="1573" t="s">
        <v>2077</v>
      </c>
      <c r="AP45" s="1573" t="s">
        <v>2077</v>
      </c>
      <c r="AQ45" s="1573" t="s">
        <v>2077</v>
      </c>
      <c r="AR45" s="1573" t="s">
        <v>2077</v>
      </c>
      <c r="AS45" s="1573" t="s">
        <v>2077</v>
      </c>
      <c r="AT45" s="1573" t="s">
        <v>2077</v>
      </c>
      <c r="AU45" s="1573" t="s">
        <v>2077</v>
      </c>
      <c r="AV45" s="1573" t="s">
        <v>2077</v>
      </c>
      <c r="AW45" s="1574"/>
      <c r="AX45" s="1575">
        <f t="shared" si="0"/>
        <v>76690.989999999991</v>
      </c>
    </row>
    <row r="46" spans="1:50">
      <c r="A46" s="1552" t="s">
        <v>1181</v>
      </c>
      <c r="B46" s="1578" t="s">
        <v>1947</v>
      </c>
      <c r="C46" s="1577" t="s">
        <v>132</v>
      </c>
      <c r="D46" s="1573" t="s">
        <v>2077</v>
      </c>
      <c r="E46" s="1573" t="s">
        <v>2077</v>
      </c>
      <c r="F46" s="1573" t="s">
        <v>2077</v>
      </c>
      <c r="G46" s="1573" t="s">
        <v>2077</v>
      </c>
      <c r="H46" s="1573" t="s">
        <v>2077</v>
      </c>
      <c r="I46" s="1573" t="s">
        <v>2077</v>
      </c>
      <c r="J46" s="1573" t="s">
        <v>2077</v>
      </c>
      <c r="K46" s="1573" t="s">
        <v>2077</v>
      </c>
      <c r="L46" s="1573" t="s">
        <v>2077</v>
      </c>
      <c r="M46" s="1573" t="s">
        <v>2077</v>
      </c>
      <c r="N46" s="1573" t="s">
        <v>2077</v>
      </c>
      <c r="O46" s="1573" t="s">
        <v>2077</v>
      </c>
      <c r="P46" s="1573" t="s">
        <v>2077</v>
      </c>
      <c r="Q46" s="1573" t="s">
        <v>2077</v>
      </c>
      <c r="R46" s="1573" t="s">
        <v>2077</v>
      </c>
      <c r="S46" s="1573" t="s">
        <v>2077</v>
      </c>
      <c r="T46" s="1573" t="s">
        <v>2077</v>
      </c>
      <c r="U46" s="1573" t="s">
        <v>2077</v>
      </c>
      <c r="V46" s="1573" t="s">
        <v>2077</v>
      </c>
      <c r="W46" s="1573">
        <v>74839.259999999995</v>
      </c>
      <c r="X46" s="1573" t="s">
        <v>2077</v>
      </c>
      <c r="Y46" s="1573">
        <v>13550.74</v>
      </c>
      <c r="Z46" s="1573">
        <v>3289020.54</v>
      </c>
      <c r="AA46" s="1573">
        <v>187876.06</v>
      </c>
      <c r="AB46" s="1573">
        <v>862067.49</v>
      </c>
      <c r="AC46" s="1573" t="s">
        <v>2077</v>
      </c>
      <c r="AD46" s="1573">
        <v>842617.21</v>
      </c>
      <c r="AE46" s="1573">
        <v>367981.15</v>
      </c>
      <c r="AF46" s="1573" t="s">
        <v>2077</v>
      </c>
      <c r="AG46" s="1573" t="s">
        <v>2077</v>
      </c>
      <c r="AH46" s="1573" t="s">
        <v>2077</v>
      </c>
      <c r="AI46" s="1573" t="s">
        <v>2077</v>
      </c>
      <c r="AJ46" s="1573" t="s">
        <v>2077</v>
      </c>
      <c r="AK46" s="1573" t="s">
        <v>2077</v>
      </c>
      <c r="AL46" s="1573" t="s">
        <v>2077</v>
      </c>
      <c r="AM46" s="1573" t="s">
        <v>2077</v>
      </c>
      <c r="AN46" s="1573" t="s">
        <v>2077</v>
      </c>
      <c r="AO46" s="1573" t="s">
        <v>2077</v>
      </c>
      <c r="AP46" s="1573" t="s">
        <v>2077</v>
      </c>
      <c r="AQ46" s="1573" t="s">
        <v>2077</v>
      </c>
      <c r="AR46" s="1573" t="s">
        <v>2077</v>
      </c>
      <c r="AS46" s="1573" t="s">
        <v>2077</v>
      </c>
      <c r="AT46" s="1573" t="s">
        <v>2077</v>
      </c>
      <c r="AU46" s="1573" t="s">
        <v>2077</v>
      </c>
      <c r="AV46" s="1573" t="s">
        <v>2077</v>
      </c>
      <c r="AW46" s="1574"/>
      <c r="AX46" s="1575">
        <f t="shared" si="0"/>
        <v>5637952.4500000002</v>
      </c>
    </row>
    <row r="47" spans="1:50">
      <c r="A47" s="1552" t="s">
        <v>1182</v>
      </c>
      <c r="B47" s="1578" t="s">
        <v>1948</v>
      </c>
      <c r="C47" s="1577" t="s">
        <v>133</v>
      </c>
      <c r="D47" s="1573" t="s">
        <v>2077</v>
      </c>
      <c r="E47" s="1573" t="s">
        <v>2077</v>
      </c>
      <c r="F47" s="1573" t="s">
        <v>2077</v>
      </c>
      <c r="G47" s="1573" t="s">
        <v>2077</v>
      </c>
      <c r="H47" s="1573" t="s">
        <v>2077</v>
      </c>
      <c r="I47" s="1573" t="s">
        <v>2077</v>
      </c>
      <c r="J47" s="1573" t="s">
        <v>2077</v>
      </c>
      <c r="K47" s="1573" t="s">
        <v>2077</v>
      </c>
      <c r="L47" s="1573" t="s">
        <v>2077</v>
      </c>
      <c r="M47" s="1573" t="s">
        <v>2077</v>
      </c>
      <c r="N47" s="1573" t="s">
        <v>2077</v>
      </c>
      <c r="O47" s="1573" t="s">
        <v>2077</v>
      </c>
      <c r="P47" s="1573" t="s">
        <v>2077</v>
      </c>
      <c r="Q47" s="1573">
        <v>36818.89</v>
      </c>
      <c r="R47" s="1573">
        <v>255909.93</v>
      </c>
      <c r="S47" s="1573">
        <v>30442.17</v>
      </c>
      <c r="T47" s="1573">
        <v>41600</v>
      </c>
      <c r="U47" s="1573" t="s">
        <v>2077</v>
      </c>
      <c r="V47" s="1573" t="s">
        <v>2077</v>
      </c>
      <c r="W47" s="1573">
        <v>537968.38</v>
      </c>
      <c r="X47" s="1573">
        <v>1111.19</v>
      </c>
      <c r="Y47" s="1573">
        <v>81500</v>
      </c>
      <c r="Z47" s="1573">
        <v>930016.29</v>
      </c>
      <c r="AA47" s="1573">
        <v>1820507.31</v>
      </c>
      <c r="AB47" s="1573">
        <v>1861764.89</v>
      </c>
      <c r="AC47" s="1573">
        <v>1153105.72</v>
      </c>
      <c r="AD47" s="1573">
        <v>3165691.56</v>
      </c>
      <c r="AE47" s="1573">
        <v>1784385.13</v>
      </c>
      <c r="AF47" s="1573" t="s">
        <v>2077</v>
      </c>
      <c r="AG47" s="1573" t="s">
        <v>2077</v>
      </c>
      <c r="AH47" s="1573" t="s">
        <v>2077</v>
      </c>
      <c r="AI47" s="1573" t="s">
        <v>2077</v>
      </c>
      <c r="AJ47" s="1573" t="s">
        <v>2077</v>
      </c>
      <c r="AK47" s="1573" t="s">
        <v>2077</v>
      </c>
      <c r="AL47" s="1573" t="s">
        <v>2077</v>
      </c>
      <c r="AM47" s="1573" t="s">
        <v>2077</v>
      </c>
      <c r="AN47" s="1573" t="s">
        <v>2077</v>
      </c>
      <c r="AO47" s="1573" t="s">
        <v>2077</v>
      </c>
      <c r="AP47" s="1573" t="s">
        <v>2077</v>
      </c>
      <c r="AQ47" s="1573" t="s">
        <v>2077</v>
      </c>
      <c r="AR47" s="1573" t="s">
        <v>2077</v>
      </c>
      <c r="AS47" s="1573" t="s">
        <v>2077</v>
      </c>
      <c r="AT47" s="1573" t="s">
        <v>2077</v>
      </c>
      <c r="AU47" s="1573" t="s">
        <v>2077</v>
      </c>
      <c r="AV47" s="1573" t="s">
        <v>2077</v>
      </c>
      <c r="AW47" s="1574"/>
      <c r="AX47" s="1575">
        <f t="shared" si="0"/>
        <v>11700821.460000001</v>
      </c>
    </row>
    <row r="48" spans="1:50">
      <c r="A48" s="1552" t="s">
        <v>1183</v>
      </c>
      <c r="B48" s="1578" t="s">
        <v>1949</v>
      </c>
      <c r="C48" s="1577" t="s">
        <v>134</v>
      </c>
      <c r="D48" s="1573" t="s">
        <v>2077</v>
      </c>
      <c r="E48" s="1573" t="s">
        <v>2077</v>
      </c>
      <c r="F48" s="1573" t="s">
        <v>2077</v>
      </c>
      <c r="G48" s="1573" t="s">
        <v>2077</v>
      </c>
      <c r="H48" s="1573" t="s">
        <v>2077</v>
      </c>
      <c r="I48" s="1573" t="s">
        <v>2077</v>
      </c>
      <c r="J48" s="1573" t="s">
        <v>2077</v>
      </c>
      <c r="K48" s="1573" t="s">
        <v>2077</v>
      </c>
      <c r="L48" s="1573" t="s">
        <v>2077</v>
      </c>
      <c r="M48" s="1573" t="s">
        <v>2077</v>
      </c>
      <c r="N48" s="1573" t="s">
        <v>2077</v>
      </c>
      <c r="O48" s="1573" t="s">
        <v>2077</v>
      </c>
      <c r="P48" s="1573" t="s">
        <v>2077</v>
      </c>
      <c r="Q48" s="1573" t="s">
        <v>2077</v>
      </c>
      <c r="R48" s="1573" t="s">
        <v>2077</v>
      </c>
      <c r="S48" s="1573" t="s">
        <v>2077</v>
      </c>
      <c r="T48" s="1573" t="s">
        <v>2077</v>
      </c>
      <c r="U48" s="1573" t="s">
        <v>2077</v>
      </c>
      <c r="V48" s="1573" t="s">
        <v>2077</v>
      </c>
      <c r="W48" s="1573">
        <v>1060027.5900000001</v>
      </c>
      <c r="X48" s="1573">
        <v>550214.11</v>
      </c>
      <c r="Y48" s="1573" t="s">
        <v>2077</v>
      </c>
      <c r="Z48" s="1573">
        <v>1093151.77</v>
      </c>
      <c r="AA48" s="1573">
        <v>1036480.25</v>
      </c>
      <c r="AB48" s="1573">
        <v>3581342.94</v>
      </c>
      <c r="AC48" s="1573" t="s">
        <v>2077</v>
      </c>
      <c r="AD48" s="1573">
        <v>2376973.61</v>
      </c>
      <c r="AE48" s="1573">
        <v>1024797.16</v>
      </c>
      <c r="AF48" s="1573" t="s">
        <v>2077</v>
      </c>
      <c r="AG48" s="1573" t="s">
        <v>2077</v>
      </c>
      <c r="AH48" s="1573" t="s">
        <v>2077</v>
      </c>
      <c r="AI48" s="1573" t="s">
        <v>2077</v>
      </c>
      <c r="AJ48" s="1573" t="s">
        <v>2077</v>
      </c>
      <c r="AK48" s="1573" t="s">
        <v>2077</v>
      </c>
      <c r="AL48" s="1573" t="s">
        <v>2077</v>
      </c>
      <c r="AM48" s="1573" t="s">
        <v>2077</v>
      </c>
      <c r="AN48" s="1573" t="s">
        <v>2077</v>
      </c>
      <c r="AO48" s="1573" t="s">
        <v>2077</v>
      </c>
      <c r="AP48" s="1573" t="s">
        <v>2077</v>
      </c>
      <c r="AQ48" s="1573" t="s">
        <v>2077</v>
      </c>
      <c r="AR48" s="1573" t="s">
        <v>2077</v>
      </c>
      <c r="AS48" s="1573" t="s">
        <v>2077</v>
      </c>
      <c r="AT48" s="1573" t="s">
        <v>2077</v>
      </c>
      <c r="AU48" s="1573" t="s">
        <v>2077</v>
      </c>
      <c r="AV48" s="1573" t="s">
        <v>2077</v>
      </c>
      <c r="AW48" s="1574"/>
      <c r="AX48" s="1575">
        <f t="shared" si="0"/>
        <v>10722987.43</v>
      </c>
    </row>
    <row r="49" spans="1:50">
      <c r="A49" s="1552" t="s">
        <v>1184</v>
      </c>
      <c r="B49" s="1578" t="s">
        <v>1950</v>
      </c>
      <c r="C49" s="1577" t="s">
        <v>135</v>
      </c>
      <c r="D49" s="1573" t="s">
        <v>2077</v>
      </c>
      <c r="E49" s="1573" t="s">
        <v>2077</v>
      </c>
      <c r="F49" s="1573" t="s">
        <v>2077</v>
      </c>
      <c r="G49" s="1573" t="s">
        <v>2077</v>
      </c>
      <c r="H49" s="1573" t="s">
        <v>2077</v>
      </c>
      <c r="I49" s="1573" t="s">
        <v>2077</v>
      </c>
      <c r="J49" s="1573" t="s">
        <v>2077</v>
      </c>
      <c r="K49" s="1573" t="s">
        <v>2077</v>
      </c>
      <c r="L49" s="1573" t="s">
        <v>2077</v>
      </c>
      <c r="M49" s="1573" t="s">
        <v>2077</v>
      </c>
      <c r="N49" s="1573" t="s">
        <v>2077</v>
      </c>
      <c r="O49" s="1573" t="s">
        <v>2077</v>
      </c>
      <c r="P49" s="1573" t="s">
        <v>2077</v>
      </c>
      <c r="Q49" s="1573" t="s">
        <v>2077</v>
      </c>
      <c r="R49" s="1573" t="s">
        <v>2077</v>
      </c>
      <c r="S49" s="1573" t="s">
        <v>2077</v>
      </c>
      <c r="T49" s="1573" t="s">
        <v>2077</v>
      </c>
      <c r="U49" s="1573" t="s">
        <v>2077</v>
      </c>
      <c r="V49" s="1573" t="s">
        <v>2077</v>
      </c>
      <c r="W49" s="1573">
        <v>7410.75</v>
      </c>
      <c r="X49" s="1573" t="s">
        <v>2077</v>
      </c>
      <c r="Y49" s="1573">
        <v>598780.73</v>
      </c>
      <c r="Z49" s="1573" t="s">
        <v>2077</v>
      </c>
      <c r="AA49" s="1573">
        <v>439012.45</v>
      </c>
      <c r="AB49" s="1573">
        <v>92025.02</v>
      </c>
      <c r="AC49" s="1573">
        <v>32820322.899999999</v>
      </c>
      <c r="AD49" s="1573">
        <v>44129.33</v>
      </c>
      <c r="AE49" s="1573" t="s">
        <v>2077</v>
      </c>
      <c r="AF49" s="1573" t="s">
        <v>2077</v>
      </c>
      <c r="AG49" s="1573" t="s">
        <v>2077</v>
      </c>
      <c r="AH49" s="1573" t="s">
        <v>2077</v>
      </c>
      <c r="AI49" s="1573" t="s">
        <v>2077</v>
      </c>
      <c r="AJ49" s="1573" t="s">
        <v>2077</v>
      </c>
      <c r="AK49" s="1573" t="s">
        <v>2077</v>
      </c>
      <c r="AL49" s="1573" t="s">
        <v>2077</v>
      </c>
      <c r="AM49" s="1573" t="s">
        <v>2077</v>
      </c>
      <c r="AN49" s="1573" t="s">
        <v>2077</v>
      </c>
      <c r="AO49" s="1573" t="s">
        <v>2077</v>
      </c>
      <c r="AP49" s="1573" t="s">
        <v>2077</v>
      </c>
      <c r="AQ49" s="1573" t="s">
        <v>2077</v>
      </c>
      <c r="AR49" s="1573" t="s">
        <v>2077</v>
      </c>
      <c r="AS49" s="1573" t="s">
        <v>2077</v>
      </c>
      <c r="AT49" s="1573" t="s">
        <v>2077</v>
      </c>
      <c r="AU49" s="1573" t="s">
        <v>2077</v>
      </c>
      <c r="AV49" s="1573" t="s">
        <v>2077</v>
      </c>
      <c r="AW49" s="1574"/>
      <c r="AX49" s="1575">
        <f t="shared" si="0"/>
        <v>34001681.18</v>
      </c>
    </row>
    <row r="50" spans="1:50">
      <c r="A50" s="1552" t="s">
        <v>1185</v>
      </c>
      <c r="B50" s="1578" t="s">
        <v>1951</v>
      </c>
      <c r="C50" s="1577" t="s">
        <v>136</v>
      </c>
      <c r="D50" s="1573" t="s">
        <v>2077</v>
      </c>
      <c r="E50" s="1573" t="s">
        <v>2077</v>
      </c>
      <c r="F50" s="1573" t="s">
        <v>2077</v>
      </c>
      <c r="G50" s="1573" t="s">
        <v>2077</v>
      </c>
      <c r="H50" s="1573" t="s">
        <v>2077</v>
      </c>
      <c r="I50" s="1573" t="s">
        <v>2077</v>
      </c>
      <c r="J50" s="1573" t="s">
        <v>2077</v>
      </c>
      <c r="K50" s="1573" t="s">
        <v>2077</v>
      </c>
      <c r="L50" s="1573" t="s">
        <v>2077</v>
      </c>
      <c r="M50" s="1573" t="s">
        <v>2077</v>
      </c>
      <c r="N50" s="1573" t="s">
        <v>2077</v>
      </c>
      <c r="O50" s="1573" t="s">
        <v>2077</v>
      </c>
      <c r="P50" s="1573" t="s">
        <v>2077</v>
      </c>
      <c r="Q50" s="1573" t="s">
        <v>2077</v>
      </c>
      <c r="R50" s="1573" t="s">
        <v>2077</v>
      </c>
      <c r="S50" s="1573" t="s">
        <v>2077</v>
      </c>
      <c r="T50" s="1573" t="s">
        <v>2077</v>
      </c>
      <c r="U50" s="1573" t="s">
        <v>2077</v>
      </c>
      <c r="V50" s="1573" t="s">
        <v>2077</v>
      </c>
      <c r="W50" s="1573">
        <v>163533.41</v>
      </c>
      <c r="X50" s="1573" t="s">
        <v>2077</v>
      </c>
      <c r="Y50" s="1573">
        <v>23360.21</v>
      </c>
      <c r="Z50" s="1573">
        <v>466125.6</v>
      </c>
      <c r="AA50" s="1573" t="s">
        <v>2077</v>
      </c>
      <c r="AB50" s="1573">
        <v>24596.06</v>
      </c>
      <c r="AC50" s="1573" t="s">
        <v>2077</v>
      </c>
      <c r="AD50" s="1573">
        <v>313754.59000000003</v>
      </c>
      <c r="AE50" s="1573">
        <v>8090.6</v>
      </c>
      <c r="AF50" s="1573" t="s">
        <v>2077</v>
      </c>
      <c r="AG50" s="1573" t="s">
        <v>2077</v>
      </c>
      <c r="AH50" s="1573" t="s">
        <v>2077</v>
      </c>
      <c r="AI50" s="1573" t="s">
        <v>2077</v>
      </c>
      <c r="AJ50" s="1573" t="s">
        <v>2077</v>
      </c>
      <c r="AK50" s="1573" t="s">
        <v>2077</v>
      </c>
      <c r="AL50" s="1573" t="s">
        <v>2077</v>
      </c>
      <c r="AM50" s="1573" t="s">
        <v>2077</v>
      </c>
      <c r="AN50" s="1573" t="s">
        <v>2077</v>
      </c>
      <c r="AO50" s="1573" t="s">
        <v>2077</v>
      </c>
      <c r="AP50" s="1573" t="s">
        <v>2077</v>
      </c>
      <c r="AQ50" s="1573" t="s">
        <v>2077</v>
      </c>
      <c r="AR50" s="1573" t="s">
        <v>2077</v>
      </c>
      <c r="AS50" s="1573" t="s">
        <v>2077</v>
      </c>
      <c r="AT50" s="1573" t="s">
        <v>2077</v>
      </c>
      <c r="AU50" s="1573" t="s">
        <v>2077</v>
      </c>
      <c r="AV50" s="1573" t="s">
        <v>2077</v>
      </c>
      <c r="AW50" s="1574"/>
      <c r="AX50" s="1575">
        <f t="shared" si="0"/>
        <v>999460.47000000009</v>
      </c>
    </row>
    <row r="51" spans="1:50">
      <c r="A51" s="1552" t="s">
        <v>1186</v>
      </c>
      <c r="B51" s="1578"/>
      <c r="C51" s="1577" t="s">
        <v>137</v>
      </c>
      <c r="D51" s="1573">
        <v>5000</v>
      </c>
      <c r="E51" s="1573">
        <v>3984004</v>
      </c>
      <c r="F51" s="1573">
        <v>4555629.76</v>
      </c>
      <c r="G51" s="1573" t="s">
        <v>2077</v>
      </c>
      <c r="H51" s="1573" t="s">
        <v>2077</v>
      </c>
      <c r="I51" s="1573" t="s">
        <v>2077</v>
      </c>
      <c r="J51" s="1573" t="s">
        <v>2077</v>
      </c>
      <c r="K51" s="1573" t="s">
        <v>2077</v>
      </c>
      <c r="L51" s="1573" t="s">
        <v>2077</v>
      </c>
      <c r="M51" s="1573" t="s">
        <v>2077</v>
      </c>
      <c r="N51" s="1573" t="s">
        <v>2077</v>
      </c>
      <c r="O51" s="1573" t="s">
        <v>2077</v>
      </c>
      <c r="P51" s="1573" t="s">
        <v>2077</v>
      </c>
      <c r="Q51" s="1573" t="s">
        <v>2077</v>
      </c>
      <c r="R51" s="1573" t="s">
        <v>2077</v>
      </c>
      <c r="S51" s="1573" t="s">
        <v>2077</v>
      </c>
      <c r="T51" s="1573" t="s">
        <v>2077</v>
      </c>
      <c r="U51" s="1573" t="s">
        <v>2077</v>
      </c>
      <c r="V51" s="1573">
        <v>3992366.58</v>
      </c>
      <c r="W51" s="1573" t="s">
        <v>2077</v>
      </c>
      <c r="X51" s="1573" t="s">
        <v>2077</v>
      </c>
      <c r="Y51" s="1573" t="s">
        <v>2077</v>
      </c>
      <c r="Z51" s="1573" t="s">
        <v>2077</v>
      </c>
      <c r="AA51" s="1573" t="s">
        <v>2077</v>
      </c>
      <c r="AB51" s="1573" t="s">
        <v>2077</v>
      </c>
      <c r="AC51" s="1573" t="s">
        <v>2077</v>
      </c>
      <c r="AD51" s="1573" t="s">
        <v>2077</v>
      </c>
      <c r="AE51" s="1573" t="s">
        <v>2077</v>
      </c>
      <c r="AF51" s="1573" t="s">
        <v>2077</v>
      </c>
      <c r="AG51" s="1573">
        <v>1261100.6499999999</v>
      </c>
      <c r="AH51" s="1573">
        <v>90381670.260000005</v>
      </c>
      <c r="AI51" s="1573" t="s">
        <v>2077</v>
      </c>
      <c r="AJ51" s="1573">
        <v>32346698.32</v>
      </c>
      <c r="AK51" s="1573" t="s">
        <v>2077</v>
      </c>
      <c r="AL51" s="1573" t="s">
        <v>2077</v>
      </c>
      <c r="AM51" s="1573" t="s">
        <v>2077</v>
      </c>
      <c r="AN51" s="1573" t="s">
        <v>2077</v>
      </c>
      <c r="AO51" s="1573" t="s">
        <v>2077</v>
      </c>
      <c r="AP51" s="1573" t="s">
        <v>2077</v>
      </c>
      <c r="AQ51" s="1573" t="s">
        <v>2077</v>
      </c>
      <c r="AR51" s="1573">
        <v>2221317.42</v>
      </c>
      <c r="AS51" s="1573" t="s">
        <v>2077</v>
      </c>
      <c r="AT51" s="1573" t="s">
        <v>2077</v>
      </c>
      <c r="AU51" s="1573" t="s">
        <v>2077</v>
      </c>
      <c r="AV51" s="1573" t="s">
        <v>2077</v>
      </c>
      <c r="AW51" s="1574"/>
      <c r="AX51" s="1575">
        <f t="shared" si="0"/>
        <v>138747786.98999998</v>
      </c>
    </row>
    <row r="52" spans="1:50">
      <c r="A52" s="1552" t="s">
        <v>1226</v>
      </c>
      <c r="B52" s="1578"/>
      <c r="C52" s="1577" t="s">
        <v>138</v>
      </c>
      <c r="D52" s="1573" t="s">
        <v>2077</v>
      </c>
      <c r="E52" s="1573" t="s">
        <v>2077</v>
      </c>
      <c r="F52" s="1573">
        <v>4699280</v>
      </c>
      <c r="G52" s="1573" t="s">
        <v>2077</v>
      </c>
      <c r="H52" s="1573" t="s">
        <v>2077</v>
      </c>
      <c r="I52" s="1573" t="s">
        <v>2077</v>
      </c>
      <c r="J52" s="1573" t="s">
        <v>2077</v>
      </c>
      <c r="K52" s="1573" t="s">
        <v>2077</v>
      </c>
      <c r="L52" s="1573" t="s">
        <v>2077</v>
      </c>
      <c r="M52" s="1573" t="s">
        <v>2077</v>
      </c>
      <c r="N52" s="1573" t="s">
        <v>2077</v>
      </c>
      <c r="O52" s="1573" t="s">
        <v>2077</v>
      </c>
      <c r="P52" s="1573" t="s">
        <v>2077</v>
      </c>
      <c r="Q52" s="1573" t="s">
        <v>2077</v>
      </c>
      <c r="R52" s="1573" t="s">
        <v>2077</v>
      </c>
      <c r="S52" s="1573" t="s">
        <v>2077</v>
      </c>
      <c r="T52" s="1573" t="s">
        <v>2077</v>
      </c>
      <c r="U52" s="1573" t="s">
        <v>2077</v>
      </c>
      <c r="V52" s="1573" t="s">
        <v>2077</v>
      </c>
      <c r="W52" s="1573" t="s">
        <v>2077</v>
      </c>
      <c r="X52" s="1573" t="s">
        <v>2077</v>
      </c>
      <c r="Y52" s="1573" t="s">
        <v>2077</v>
      </c>
      <c r="Z52" s="1573" t="s">
        <v>2077</v>
      </c>
      <c r="AA52" s="1573" t="s">
        <v>2077</v>
      </c>
      <c r="AB52" s="1573" t="s">
        <v>2077</v>
      </c>
      <c r="AC52" s="1573" t="s">
        <v>2077</v>
      </c>
      <c r="AD52" s="1573" t="s">
        <v>2077</v>
      </c>
      <c r="AE52" s="1573" t="s">
        <v>2077</v>
      </c>
      <c r="AF52" s="1573">
        <v>17743705.199999999</v>
      </c>
      <c r="AG52" s="1573" t="s">
        <v>2077</v>
      </c>
      <c r="AH52" s="1573" t="s">
        <v>2077</v>
      </c>
      <c r="AI52" s="1573" t="s">
        <v>2077</v>
      </c>
      <c r="AJ52" s="1573" t="s">
        <v>2077</v>
      </c>
      <c r="AK52" s="1573" t="s">
        <v>2077</v>
      </c>
      <c r="AL52" s="1573" t="s">
        <v>2077</v>
      </c>
      <c r="AM52" s="1573" t="s">
        <v>2077</v>
      </c>
      <c r="AN52" s="1573" t="s">
        <v>2077</v>
      </c>
      <c r="AO52" s="1573" t="s">
        <v>2077</v>
      </c>
      <c r="AP52" s="1573" t="s">
        <v>2077</v>
      </c>
      <c r="AQ52" s="1573" t="s">
        <v>2077</v>
      </c>
      <c r="AR52" s="1573" t="s">
        <v>2077</v>
      </c>
      <c r="AS52" s="1573" t="s">
        <v>2077</v>
      </c>
      <c r="AT52" s="1573" t="s">
        <v>2077</v>
      </c>
      <c r="AU52" s="1573" t="s">
        <v>2077</v>
      </c>
      <c r="AV52" s="1573" t="s">
        <v>2077</v>
      </c>
      <c r="AW52" s="1574"/>
      <c r="AX52" s="1575">
        <f t="shared" si="0"/>
        <v>22442985.199999999</v>
      </c>
    </row>
    <row r="53" spans="1:50">
      <c r="A53" s="1552" t="s">
        <v>1227</v>
      </c>
      <c r="B53" s="1578"/>
      <c r="C53" s="1577" t="s">
        <v>139</v>
      </c>
      <c r="D53" s="1573" t="s">
        <v>2077</v>
      </c>
      <c r="E53" s="1573" t="s">
        <v>2077</v>
      </c>
      <c r="F53" s="1573" t="s">
        <v>2077</v>
      </c>
      <c r="G53" s="1573" t="s">
        <v>2077</v>
      </c>
      <c r="H53" s="1573" t="s">
        <v>2077</v>
      </c>
      <c r="I53" s="1573" t="s">
        <v>2077</v>
      </c>
      <c r="J53" s="1573" t="s">
        <v>2077</v>
      </c>
      <c r="K53" s="1573" t="s">
        <v>2077</v>
      </c>
      <c r="L53" s="1573" t="s">
        <v>2077</v>
      </c>
      <c r="M53" s="1573" t="s">
        <v>2077</v>
      </c>
      <c r="N53" s="1573" t="s">
        <v>2077</v>
      </c>
      <c r="O53" s="1573" t="s">
        <v>2077</v>
      </c>
      <c r="P53" s="1573" t="s">
        <v>2077</v>
      </c>
      <c r="Q53" s="1573" t="s">
        <v>2077</v>
      </c>
      <c r="R53" s="1573" t="s">
        <v>2077</v>
      </c>
      <c r="S53" s="1573" t="s">
        <v>2077</v>
      </c>
      <c r="T53" s="1573" t="s">
        <v>2077</v>
      </c>
      <c r="U53" s="1573" t="s">
        <v>2077</v>
      </c>
      <c r="V53" s="1573" t="s">
        <v>2077</v>
      </c>
      <c r="W53" s="1573" t="s">
        <v>2077</v>
      </c>
      <c r="X53" s="1573" t="s">
        <v>2077</v>
      </c>
      <c r="Y53" s="1573" t="s">
        <v>2077</v>
      </c>
      <c r="Z53" s="1573" t="s">
        <v>2077</v>
      </c>
      <c r="AA53" s="1573" t="s">
        <v>2077</v>
      </c>
      <c r="AB53" s="1573" t="s">
        <v>2077</v>
      </c>
      <c r="AC53" s="1573" t="s">
        <v>2077</v>
      </c>
      <c r="AD53" s="1573" t="s">
        <v>2077</v>
      </c>
      <c r="AE53" s="1573" t="s">
        <v>2077</v>
      </c>
      <c r="AF53" s="1573" t="s">
        <v>2077</v>
      </c>
      <c r="AG53" s="1573" t="s">
        <v>2077</v>
      </c>
      <c r="AH53" s="1573">
        <v>93473233.829999998</v>
      </c>
      <c r="AI53" s="1573" t="s">
        <v>2077</v>
      </c>
      <c r="AJ53" s="1573" t="s">
        <v>2077</v>
      </c>
      <c r="AK53" s="1573" t="s">
        <v>2077</v>
      </c>
      <c r="AL53" s="1573" t="s">
        <v>2077</v>
      </c>
      <c r="AM53" s="1573" t="s">
        <v>2077</v>
      </c>
      <c r="AN53" s="1573" t="s">
        <v>2077</v>
      </c>
      <c r="AO53" s="1573" t="s">
        <v>2077</v>
      </c>
      <c r="AP53" s="1573" t="s">
        <v>2077</v>
      </c>
      <c r="AQ53" s="1573" t="s">
        <v>2077</v>
      </c>
      <c r="AR53" s="1573" t="s">
        <v>2077</v>
      </c>
      <c r="AS53" s="1573" t="s">
        <v>2077</v>
      </c>
      <c r="AT53" s="1573" t="s">
        <v>2077</v>
      </c>
      <c r="AU53" s="1573" t="s">
        <v>2077</v>
      </c>
      <c r="AV53" s="1573" t="s">
        <v>2077</v>
      </c>
      <c r="AW53" s="1574"/>
      <c r="AX53" s="1575">
        <f t="shared" si="0"/>
        <v>93473233.829999998</v>
      </c>
    </row>
    <row r="54" spans="1:50">
      <c r="A54" s="1552" t="s">
        <v>1228</v>
      </c>
      <c r="B54" s="1578"/>
      <c r="C54" s="1577" t="s">
        <v>140</v>
      </c>
      <c r="D54" s="1573" t="s">
        <v>2077</v>
      </c>
      <c r="E54" s="1573" t="s">
        <v>2077</v>
      </c>
      <c r="F54" s="1573" t="s">
        <v>2077</v>
      </c>
      <c r="G54" s="1573" t="s">
        <v>2077</v>
      </c>
      <c r="H54" s="1573" t="s">
        <v>2077</v>
      </c>
      <c r="I54" s="1573" t="s">
        <v>2077</v>
      </c>
      <c r="J54" s="1573" t="s">
        <v>2077</v>
      </c>
      <c r="K54" s="1573" t="s">
        <v>2077</v>
      </c>
      <c r="L54" s="1573" t="s">
        <v>2077</v>
      </c>
      <c r="M54" s="1573" t="s">
        <v>2077</v>
      </c>
      <c r="N54" s="1573" t="s">
        <v>2077</v>
      </c>
      <c r="O54" s="1573" t="s">
        <v>2077</v>
      </c>
      <c r="P54" s="1573" t="s">
        <v>2077</v>
      </c>
      <c r="Q54" s="1573" t="s">
        <v>2077</v>
      </c>
      <c r="R54" s="1573" t="s">
        <v>2077</v>
      </c>
      <c r="S54" s="1573" t="s">
        <v>2077</v>
      </c>
      <c r="T54" s="1573" t="s">
        <v>2077</v>
      </c>
      <c r="U54" s="1573" t="s">
        <v>2077</v>
      </c>
      <c r="V54" s="1573" t="s">
        <v>2077</v>
      </c>
      <c r="W54" s="1573" t="s">
        <v>2077</v>
      </c>
      <c r="X54" s="1573" t="s">
        <v>2077</v>
      </c>
      <c r="Y54" s="1573" t="s">
        <v>2077</v>
      </c>
      <c r="Z54" s="1573" t="s">
        <v>2077</v>
      </c>
      <c r="AA54" s="1573" t="s">
        <v>2077</v>
      </c>
      <c r="AB54" s="1573" t="s">
        <v>2077</v>
      </c>
      <c r="AC54" s="1573" t="s">
        <v>2077</v>
      </c>
      <c r="AD54" s="1573" t="s">
        <v>2077</v>
      </c>
      <c r="AE54" s="1573" t="s">
        <v>2077</v>
      </c>
      <c r="AF54" s="1573" t="s">
        <v>2077</v>
      </c>
      <c r="AG54" s="1573" t="s">
        <v>2077</v>
      </c>
      <c r="AH54" s="1573">
        <v>25677471.309999999</v>
      </c>
      <c r="AI54" s="1573" t="s">
        <v>2077</v>
      </c>
      <c r="AJ54" s="1573" t="s">
        <v>2077</v>
      </c>
      <c r="AK54" s="1573" t="s">
        <v>2077</v>
      </c>
      <c r="AL54" s="1573" t="s">
        <v>2077</v>
      </c>
      <c r="AM54" s="1573" t="s">
        <v>2077</v>
      </c>
      <c r="AN54" s="1573" t="s">
        <v>2077</v>
      </c>
      <c r="AO54" s="1573" t="s">
        <v>2077</v>
      </c>
      <c r="AP54" s="1573" t="s">
        <v>2077</v>
      </c>
      <c r="AQ54" s="1573" t="s">
        <v>2077</v>
      </c>
      <c r="AR54" s="1573" t="s">
        <v>2077</v>
      </c>
      <c r="AS54" s="1573" t="s">
        <v>2077</v>
      </c>
      <c r="AT54" s="1573" t="s">
        <v>2077</v>
      </c>
      <c r="AU54" s="1573" t="s">
        <v>2077</v>
      </c>
      <c r="AV54" s="1573" t="s">
        <v>2077</v>
      </c>
      <c r="AW54" s="1574"/>
      <c r="AX54" s="1575">
        <f t="shared" si="0"/>
        <v>25677471.309999999</v>
      </c>
    </row>
    <row r="55" spans="1:50">
      <c r="A55" s="1552" t="s">
        <v>1229</v>
      </c>
      <c r="B55" s="1578" t="s">
        <v>1952</v>
      </c>
      <c r="C55" s="1577" t="s">
        <v>141</v>
      </c>
      <c r="D55" s="1573" t="s">
        <v>2077</v>
      </c>
      <c r="E55" s="1573" t="s">
        <v>2077</v>
      </c>
      <c r="F55" s="1573" t="s">
        <v>2077</v>
      </c>
      <c r="G55" s="1573" t="s">
        <v>2077</v>
      </c>
      <c r="H55" s="1573" t="s">
        <v>2077</v>
      </c>
      <c r="I55" s="1573" t="s">
        <v>2077</v>
      </c>
      <c r="J55" s="1573" t="s">
        <v>2077</v>
      </c>
      <c r="K55" s="1573" t="s">
        <v>2077</v>
      </c>
      <c r="L55" s="1573" t="s">
        <v>2077</v>
      </c>
      <c r="M55" s="1573" t="s">
        <v>2077</v>
      </c>
      <c r="N55" s="1573" t="s">
        <v>2077</v>
      </c>
      <c r="O55" s="1573" t="s">
        <v>2077</v>
      </c>
      <c r="P55" s="1573" t="s">
        <v>2077</v>
      </c>
      <c r="Q55" s="1573" t="s">
        <v>2077</v>
      </c>
      <c r="R55" s="1573" t="s">
        <v>2077</v>
      </c>
      <c r="S55" s="1573" t="s">
        <v>2077</v>
      </c>
      <c r="T55" s="1573" t="s">
        <v>2077</v>
      </c>
      <c r="U55" s="1573" t="s">
        <v>2077</v>
      </c>
      <c r="V55" s="1573" t="s">
        <v>2077</v>
      </c>
      <c r="W55" s="1573" t="s">
        <v>2077</v>
      </c>
      <c r="X55" s="1573" t="s">
        <v>2077</v>
      </c>
      <c r="Y55" s="1573" t="s">
        <v>2077</v>
      </c>
      <c r="Z55" s="1573" t="s">
        <v>2077</v>
      </c>
      <c r="AA55" s="1573" t="s">
        <v>2077</v>
      </c>
      <c r="AB55" s="1573" t="s">
        <v>2077</v>
      </c>
      <c r="AC55" s="1573" t="s">
        <v>2077</v>
      </c>
      <c r="AD55" s="1573" t="s">
        <v>2077</v>
      </c>
      <c r="AE55" s="1573" t="s">
        <v>2077</v>
      </c>
      <c r="AF55" s="1573" t="s">
        <v>2077</v>
      </c>
      <c r="AG55" s="1573" t="s">
        <v>2077</v>
      </c>
      <c r="AH55" s="1573">
        <v>-46897418.560000002</v>
      </c>
      <c r="AI55" s="1573" t="s">
        <v>2077</v>
      </c>
      <c r="AJ55" s="1573" t="s">
        <v>2077</v>
      </c>
      <c r="AK55" s="1573" t="s">
        <v>2077</v>
      </c>
      <c r="AL55" s="1573" t="s">
        <v>2077</v>
      </c>
      <c r="AM55" s="1573" t="s">
        <v>2077</v>
      </c>
      <c r="AN55" s="1573" t="s">
        <v>2077</v>
      </c>
      <c r="AO55" s="1573" t="s">
        <v>2077</v>
      </c>
      <c r="AP55" s="1573" t="s">
        <v>2077</v>
      </c>
      <c r="AQ55" s="1573" t="s">
        <v>2077</v>
      </c>
      <c r="AR55" s="1573" t="s">
        <v>2077</v>
      </c>
      <c r="AS55" s="1573" t="s">
        <v>2077</v>
      </c>
      <c r="AT55" s="1573" t="s">
        <v>2077</v>
      </c>
      <c r="AU55" s="1573" t="s">
        <v>2077</v>
      </c>
      <c r="AV55" s="1573" t="s">
        <v>2077</v>
      </c>
      <c r="AW55" s="1574"/>
      <c r="AX55" s="1575">
        <f t="shared" si="0"/>
        <v>-46897418.560000002</v>
      </c>
    </row>
    <row r="56" spans="1:50">
      <c r="A56" s="1552" t="s">
        <v>1230</v>
      </c>
      <c r="B56" s="1578"/>
      <c r="C56" s="1577" t="s">
        <v>428</v>
      </c>
      <c r="D56" s="1573" t="s">
        <v>2077</v>
      </c>
      <c r="E56" s="1573" t="s">
        <v>2077</v>
      </c>
      <c r="F56" s="1573" t="s">
        <v>2077</v>
      </c>
      <c r="G56" s="1573" t="s">
        <v>2077</v>
      </c>
      <c r="H56" s="1573" t="s">
        <v>2077</v>
      </c>
      <c r="I56" s="1573" t="s">
        <v>2077</v>
      </c>
      <c r="J56" s="1573" t="s">
        <v>2077</v>
      </c>
      <c r="K56" s="1573" t="s">
        <v>2077</v>
      </c>
      <c r="L56" s="1573" t="s">
        <v>2077</v>
      </c>
      <c r="M56" s="1573" t="s">
        <v>2077</v>
      </c>
      <c r="N56" s="1573" t="s">
        <v>2077</v>
      </c>
      <c r="O56" s="1573" t="s">
        <v>2077</v>
      </c>
      <c r="P56" s="1573" t="s">
        <v>2077</v>
      </c>
      <c r="Q56" s="1573" t="s">
        <v>2077</v>
      </c>
      <c r="R56" s="1573" t="s">
        <v>2077</v>
      </c>
      <c r="S56" s="1573" t="s">
        <v>2077</v>
      </c>
      <c r="T56" s="1573" t="s">
        <v>2077</v>
      </c>
      <c r="U56" s="1573" t="s">
        <v>2077</v>
      </c>
      <c r="V56" s="1573" t="s">
        <v>2077</v>
      </c>
      <c r="W56" s="1573" t="s">
        <v>2077</v>
      </c>
      <c r="X56" s="1573" t="s">
        <v>2077</v>
      </c>
      <c r="Y56" s="1573" t="s">
        <v>2077</v>
      </c>
      <c r="Z56" s="1573" t="s">
        <v>2077</v>
      </c>
      <c r="AA56" s="1573" t="s">
        <v>2077</v>
      </c>
      <c r="AB56" s="1573" t="s">
        <v>2077</v>
      </c>
      <c r="AC56" s="1573" t="s">
        <v>2077</v>
      </c>
      <c r="AD56" s="1573" t="s">
        <v>2077</v>
      </c>
      <c r="AE56" s="1573" t="s">
        <v>2077</v>
      </c>
      <c r="AF56" s="1573" t="s">
        <v>2077</v>
      </c>
      <c r="AG56" s="1573" t="s">
        <v>2077</v>
      </c>
      <c r="AH56" s="1573">
        <v>35126414.310000002</v>
      </c>
      <c r="AI56" s="1573" t="s">
        <v>2077</v>
      </c>
      <c r="AJ56" s="1573" t="s">
        <v>2077</v>
      </c>
      <c r="AK56" s="1573" t="s">
        <v>2077</v>
      </c>
      <c r="AL56" s="1573" t="s">
        <v>2077</v>
      </c>
      <c r="AM56" s="1573" t="s">
        <v>2077</v>
      </c>
      <c r="AN56" s="1573" t="s">
        <v>2077</v>
      </c>
      <c r="AO56" s="1573" t="s">
        <v>2077</v>
      </c>
      <c r="AP56" s="1573" t="s">
        <v>2077</v>
      </c>
      <c r="AQ56" s="1573" t="s">
        <v>2077</v>
      </c>
      <c r="AR56" s="1573" t="s">
        <v>2077</v>
      </c>
      <c r="AS56" s="1573" t="s">
        <v>2077</v>
      </c>
      <c r="AT56" s="1573" t="s">
        <v>2077</v>
      </c>
      <c r="AU56" s="1573" t="s">
        <v>2077</v>
      </c>
      <c r="AV56" s="1573" t="s">
        <v>2077</v>
      </c>
      <c r="AW56" s="1574"/>
      <c r="AX56" s="1575">
        <f t="shared" si="0"/>
        <v>35126414.310000002</v>
      </c>
    </row>
    <row r="57" spans="1:50">
      <c r="A57" s="1552" t="s">
        <v>1231</v>
      </c>
      <c r="B57" s="1578" t="s">
        <v>1953</v>
      </c>
      <c r="C57" s="1577" t="s">
        <v>375</v>
      </c>
      <c r="D57" s="1573">
        <v>645352.36</v>
      </c>
      <c r="E57" s="1573">
        <v>1313147.3</v>
      </c>
      <c r="F57" s="1573">
        <v>2147467.9500000002</v>
      </c>
      <c r="G57" s="1573" t="s">
        <v>2077</v>
      </c>
      <c r="H57" s="1573" t="s">
        <v>2077</v>
      </c>
      <c r="I57" s="1573" t="s">
        <v>2077</v>
      </c>
      <c r="J57" s="1573" t="s">
        <v>2077</v>
      </c>
      <c r="K57" s="1573" t="s">
        <v>2077</v>
      </c>
      <c r="L57" s="1573" t="s">
        <v>2077</v>
      </c>
      <c r="M57" s="1573">
        <v>95682.42</v>
      </c>
      <c r="N57" s="1573" t="s">
        <v>2077</v>
      </c>
      <c r="O57" s="1573" t="s">
        <v>2077</v>
      </c>
      <c r="P57" s="1573" t="s">
        <v>2077</v>
      </c>
      <c r="Q57" s="1573" t="s">
        <v>2077</v>
      </c>
      <c r="R57" s="1573" t="s">
        <v>2077</v>
      </c>
      <c r="S57" s="1573" t="s">
        <v>2077</v>
      </c>
      <c r="T57" s="1573" t="s">
        <v>2077</v>
      </c>
      <c r="U57" s="1573" t="s">
        <v>2077</v>
      </c>
      <c r="V57" s="1573">
        <v>1202470.69</v>
      </c>
      <c r="W57" s="1573" t="s">
        <v>2077</v>
      </c>
      <c r="X57" s="1573" t="s">
        <v>2077</v>
      </c>
      <c r="Y57" s="1573" t="s">
        <v>2077</v>
      </c>
      <c r="Z57" s="1573">
        <v>522032.67</v>
      </c>
      <c r="AA57" s="1573" t="s">
        <v>2077</v>
      </c>
      <c r="AB57" s="1573" t="s">
        <v>2077</v>
      </c>
      <c r="AC57" s="1573">
        <v>106146.59</v>
      </c>
      <c r="AD57" s="1573" t="s">
        <v>2077</v>
      </c>
      <c r="AE57" s="1573" t="s">
        <v>2077</v>
      </c>
      <c r="AF57" s="1573" t="s">
        <v>2077</v>
      </c>
      <c r="AG57" s="1573" t="s">
        <v>2077</v>
      </c>
      <c r="AH57" s="1573">
        <v>844546.8</v>
      </c>
      <c r="AI57" s="1573" t="s">
        <v>2077</v>
      </c>
      <c r="AJ57" s="1573" t="s">
        <v>2077</v>
      </c>
      <c r="AK57" s="1573" t="s">
        <v>2077</v>
      </c>
      <c r="AL57" s="1573" t="s">
        <v>2077</v>
      </c>
      <c r="AM57" s="1573" t="s">
        <v>2077</v>
      </c>
      <c r="AN57" s="1573" t="s">
        <v>2077</v>
      </c>
      <c r="AO57" s="1573" t="s">
        <v>2077</v>
      </c>
      <c r="AP57" s="1573" t="s">
        <v>2077</v>
      </c>
      <c r="AQ57" s="1573" t="s">
        <v>2077</v>
      </c>
      <c r="AR57" s="1573" t="s">
        <v>2077</v>
      </c>
      <c r="AS57" s="1573" t="s">
        <v>2077</v>
      </c>
      <c r="AT57" s="1573" t="s">
        <v>2077</v>
      </c>
      <c r="AU57" s="1573" t="s">
        <v>2077</v>
      </c>
      <c r="AV57" s="1573" t="s">
        <v>2077</v>
      </c>
      <c r="AW57" s="1574"/>
      <c r="AX57" s="1575">
        <f t="shared" si="0"/>
        <v>6876846.7800000003</v>
      </c>
    </row>
    <row r="58" spans="1:50">
      <c r="A58" s="1552" t="s">
        <v>1232</v>
      </c>
      <c r="B58" s="1578"/>
      <c r="C58" s="1577" t="s">
        <v>332</v>
      </c>
      <c r="D58" s="1573">
        <v>1013621.71</v>
      </c>
      <c r="E58" s="1573">
        <v>1161360.8400000001</v>
      </c>
      <c r="F58" s="1573">
        <v>3493003.2</v>
      </c>
      <c r="G58" s="1573" t="s">
        <v>2077</v>
      </c>
      <c r="H58" s="1573" t="s">
        <v>2077</v>
      </c>
      <c r="I58" s="1573" t="s">
        <v>2077</v>
      </c>
      <c r="J58" s="1573" t="s">
        <v>2077</v>
      </c>
      <c r="K58" s="1573" t="s">
        <v>2077</v>
      </c>
      <c r="L58" s="1573" t="s">
        <v>2077</v>
      </c>
      <c r="M58" s="1573" t="s">
        <v>2077</v>
      </c>
      <c r="N58" s="1573" t="s">
        <v>2077</v>
      </c>
      <c r="O58" s="1573" t="s">
        <v>2077</v>
      </c>
      <c r="P58" s="1573" t="s">
        <v>2077</v>
      </c>
      <c r="Q58" s="1573" t="s">
        <v>2077</v>
      </c>
      <c r="R58" s="1573" t="s">
        <v>2077</v>
      </c>
      <c r="S58" s="1573" t="s">
        <v>2077</v>
      </c>
      <c r="T58" s="1573" t="s">
        <v>2077</v>
      </c>
      <c r="U58" s="1573" t="s">
        <v>2077</v>
      </c>
      <c r="V58" s="1573">
        <v>289286.5</v>
      </c>
      <c r="W58" s="1573" t="s">
        <v>2077</v>
      </c>
      <c r="X58" s="1573" t="s">
        <v>2077</v>
      </c>
      <c r="Y58" s="1573" t="s">
        <v>2077</v>
      </c>
      <c r="Z58" s="1573">
        <v>916341.84</v>
      </c>
      <c r="AA58" s="1573" t="s">
        <v>2077</v>
      </c>
      <c r="AB58" s="1573" t="s">
        <v>2077</v>
      </c>
      <c r="AC58" s="1573" t="s">
        <v>2077</v>
      </c>
      <c r="AD58" s="1573" t="s">
        <v>2077</v>
      </c>
      <c r="AE58" s="1573" t="s">
        <v>2077</v>
      </c>
      <c r="AF58" s="1573" t="s">
        <v>2077</v>
      </c>
      <c r="AG58" s="1573" t="s">
        <v>2077</v>
      </c>
      <c r="AH58" s="1573">
        <v>124888.97</v>
      </c>
      <c r="AI58" s="1573" t="s">
        <v>2077</v>
      </c>
      <c r="AJ58" s="1573" t="s">
        <v>2077</v>
      </c>
      <c r="AK58" s="1573" t="s">
        <v>2077</v>
      </c>
      <c r="AL58" s="1573" t="s">
        <v>2077</v>
      </c>
      <c r="AM58" s="1573" t="s">
        <v>2077</v>
      </c>
      <c r="AN58" s="1573" t="s">
        <v>2077</v>
      </c>
      <c r="AO58" s="1573" t="s">
        <v>2077</v>
      </c>
      <c r="AP58" s="1573" t="s">
        <v>2077</v>
      </c>
      <c r="AQ58" s="1573" t="s">
        <v>2077</v>
      </c>
      <c r="AR58" s="1573" t="s">
        <v>2077</v>
      </c>
      <c r="AS58" s="1573" t="s">
        <v>2077</v>
      </c>
      <c r="AT58" s="1573" t="s">
        <v>2077</v>
      </c>
      <c r="AU58" s="1573" t="s">
        <v>2077</v>
      </c>
      <c r="AV58" s="1573" t="s">
        <v>2077</v>
      </c>
      <c r="AW58" s="1574"/>
      <c r="AX58" s="1575">
        <f t="shared" si="0"/>
        <v>6998503.0599999996</v>
      </c>
    </row>
    <row r="59" spans="1:50">
      <c r="A59" s="1552" t="s">
        <v>1233</v>
      </c>
      <c r="B59" s="1578" t="s">
        <v>1954</v>
      </c>
      <c r="C59" s="1577" t="s">
        <v>738</v>
      </c>
      <c r="D59" s="1573" t="s">
        <v>2077</v>
      </c>
      <c r="E59" s="1573" t="s">
        <v>2077</v>
      </c>
      <c r="F59" s="1573" t="s">
        <v>2077</v>
      </c>
      <c r="G59" s="1573" t="s">
        <v>2077</v>
      </c>
      <c r="H59" s="1573" t="s">
        <v>2077</v>
      </c>
      <c r="I59" s="1573" t="s">
        <v>2077</v>
      </c>
      <c r="J59" s="1573" t="s">
        <v>2077</v>
      </c>
      <c r="K59" s="1573" t="s">
        <v>2077</v>
      </c>
      <c r="L59" s="1573" t="s">
        <v>2077</v>
      </c>
      <c r="M59" s="1573" t="s">
        <v>2077</v>
      </c>
      <c r="N59" s="1573" t="s">
        <v>2077</v>
      </c>
      <c r="O59" s="1573" t="s">
        <v>2077</v>
      </c>
      <c r="P59" s="1573" t="s">
        <v>2077</v>
      </c>
      <c r="Q59" s="1573" t="s">
        <v>2077</v>
      </c>
      <c r="R59" s="1573" t="s">
        <v>2077</v>
      </c>
      <c r="S59" s="1573" t="s">
        <v>2077</v>
      </c>
      <c r="T59" s="1573" t="s">
        <v>2077</v>
      </c>
      <c r="U59" s="1573" t="s">
        <v>2077</v>
      </c>
      <c r="V59" s="1573" t="s">
        <v>2077</v>
      </c>
      <c r="W59" s="1573" t="s">
        <v>2077</v>
      </c>
      <c r="X59" s="1573" t="s">
        <v>2077</v>
      </c>
      <c r="Y59" s="1573" t="s">
        <v>2077</v>
      </c>
      <c r="Z59" s="1573" t="s">
        <v>2077</v>
      </c>
      <c r="AA59" s="1573" t="s">
        <v>2077</v>
      </c>
      <c r="AB59" s="1573" t="s">
        <v>2077</v>
      </c>
      <c r="AC59" s="1573" t="s">
        <v>2077</v>
      </c>
      <c r="AD59" s="1573" t="s">
        <v>2077</v>
      </c>
      <c r="AE59" s="1573" t="s">
        <v>2077</v>
      </c>
      <c r="AF59" s="1573" t="s">
        <v>2077</v>
      </c>
      <c r="AG59" s="1573" t="s">
        <v>2077</v>
      </c>
      <c r="AH59" s="1573">
        <v>20773463.379999999</v>
      </c>
      <c r="AI59" s="1573" t="s">
        <v>2077</v>
      </c>
      <c r="AJ59" s="1573" t="s">
        <v>2077</v>
      </c>
      <c r="AK59" s="1573" t="s">
        <v>2077</v>
      </c>
      <c r="AL59" s="1573" t="s">
        <v>2077</v>
      </c>
      <c r="AM59" s="1573" t="s">
        <v>2077</v>
      </c>
      <c r="AN59" s="1573" t="s">
        <v>2077</v>
      </c>
      <c r="AO59" s="1573" t="s">
        <v>2077</v>
      </c>
      <c r="AP59" s="1573" t="s">
        <v>2077</v>
      </c>
      <c r="AQ59" s="1573" t="s">
        <v>2077</v>
      </c>
      <c r="AR59" s="1573" t="s">
        <v>2077</v>
      </c>
      <c r="AS59" s="1573" t="s">
        <v>2077</v>
      </c>
      <c r="AT59" s="1573" t="s">
        <v>2077</v>
      </c>
      <c r="AU59" s="1573" t="s">
        <v>2077</v>
      </c>
      <c r="AV59" s="1573" t="s">
        <v>2077</v>
      </c>
      <c r="AW59" s="1574"/>
      <c r="AX59" s="1575">
        <f t="shared" si="0"/>
        <v>20773463.379999999</v>
      </c>
    </row>
    <row r="60" spans="1:50">
      <c r="A60" s="1552" t="s">
        <v>1234</v>
      </c>
      <c r="B60" s="1576"/>
      <c r="C60" s="1577" t="s">
        <v>429</v>
      </c>
      <c r="D60" s="1573" t="s">
        <v>2077</v>
      </c>
      <c r="E60" s="1573" t="s">
        <v>2077</v>
      </c>
      <c r="F60" s="1573" t="s">
        <v>2077</v>
      </c>
      <c r="G60" s="1573" t="s">
        <v>2077</v>
      </c>
      <c r="H60" s="1573" t="s">
        <v>2077</v>
      </c>
      <c r="I60" s="1573" t="s">
        <v>2077</v>
      </c>
      <c r="J60" s="1573" t="s">
        <v>2077</v>
      </c>
      <c r="K60" s="1573" t="s">
        <v>2077</v>
      </c>
      <c r="L60" s="1573" t="s">
        <v>2077</v>
      </c>
      <c r="M60" s="1573" t="s">
        <v>2077</v>
      </c>
      <c r="N60" s="1573" t="s">
        <v>2077</v>
      </c>
      <c r="O60" s="1573" t="s">
        <v>2077</v>
      </c>
      <c r="P60" s="1573" t="s">
        <v>2077</v>
      </c>
      <c r="Q60" s="1573" t="s">
        <v>2077</v>
      </c>
      <c r="R60" s="1573" t="s">
        <v>2077</v>
      </c>
      <c r="S60" s="1573" t="s">
        <v>2077</v>
      </c>
      <c r="T60" s="1573" t="s">
        <v>2077</v>
      </c>
      <c r="U60" s="1573" t="s">
        <v>2077</v>
      </c>
      <c r="V60" s="1573" t="s">
        <v>2077</v>
      </c>
      <c r="W60" s="1573" t="s">
        <v>2077</v>
      </c>
      <c r="X60" s="1573" t="s">
        <v>2077</v>
      </c>
      <c r="Y60" s="1573" t="s">
        <v>2077</v>
      </c>
      <c r="Z60" s="1573" t="s">
        <v>2077</v>
      </c>
      <c r="AA60" s="1573" t="s">
        <v>2077</v>
      </c>
      <c r="AB60" s="1573" t="s">
        <v>2077</v>
      </c>
      <c r="AC60" s="1573" t="s">
        <v>2077</v>
      </c>
      <c r="AD60" s="1573" t="s">
        <v>2077</v>
      </c>
      <c r="AE60" s="1573" t="s">
        <v>2077</v>
      </c>
      <c r="AF60" s="1573" t="s">
        <v>2077</v>
      </c>
      <c r="AG60" s="1573" t="s">
        <v>2077</v>
      </c>
      <c r="AH60" s="1573" t="s">
        <v>2077</v>
      </c>
      <c r="AI60" s="1573" t="s">
        <v>2077</v>
      </c>
      <c r="AJ60" s="1573" t="s">
        <v>2077</v>
      </c>
      <c r="AK60" s="1573" t="s">
        <v>2077</v>
      </c>
      <c r="AL60" s="1573" t="s">
        <v>2077</v>
      </c>
      <c r="AM60" s="1573" t="s">
        <v>2077</v>
      </c>
      <c r="AN60" s="1573" t="s">
        <v>2077</v>
      </c>
      <c r="AO60" s="1573" t="s">
        <v>2077</v>
      </c>
      <c r="AP60" s="1573" t="s">
        <v>2077</v>
      </c>
      <c r="AQ60" s="1573" t="s">
        <v>2077</v>
      </c>
      <c r="AR60" s="1573" t="s">
        <v>2077</v>
      </c>
      <c r="AS60" s="1573" t="s">
        <v>2077</v>
      </c>
      <c r="AT60" s="1573" t="s">
        <v>2077</v>
      </c>
      <c r="AU60" s="1573" t="s">
        <v>2077</v>
      </c>
      <c r="AV60" s="1573" t="s">
        <v>2077</v>
      </c>
      <c r="AW60" s="1574"/>
      <c r="AX60" s="1575">
        <f t="shared" si="0"/>
        <v>0</v>
      </c>
    </row>
    <row r="61" spans="1:50">
      <c r="A61" s="1552" t="s">
        <v>1235</v>
      </c>
      <c r="B61" s="1576" t="s">
        <v>1955</v>
      </c>
      <c r="C61" s="1577" t="s">
        <v>430</v>
      </c>
      <c r="D61" s="1573">
        <v>1873080</v>
      </c>
      <c r="E61" s="1573">
        <v>1486080</v>
      </c>
      <c r="F61" s="1573">
        <v>2616120</v>
      </c>
      <c r="G61" s="1573" t="s">
        <v>2077</v>
      </c>
      <c r="H61" s="1573" t="s">
        <v>2077</v>
      </c>
      <c r="I61" s="1573" t="s">
        <v>2077</v>
      </c>
      <c r="J61" s="1573" t="s">
        <v>2077</v>
      </c>
      <c r="K61" s="1573" t="s">
        <v>2077</v>
      </c>
      <c r="L61" s="1573" t="s">
        <v>2077</v>
      </c>
      <c r="M61" s="1573" t="s">
        <v>2077</v>
      </c>
      <c r="N61" s="1573" t="s">
        <v>2077</v>
      </c>
      <c r="O61" s="1573" t="s">
        <v>2077</v>
      </c>
      <c r="P61" s="1573" t="s">
        <v>2077</v>
      </c>
      <c r="Q61" s="1573" t="s">
        <v>2077</v>
      </c>
      <c r="R61" s="1573" t="s">
        <v>2077</v>
      </c>
      <c r="S61" s="1573" t="s">
        <v>2077</v>
      </c>
      <c r="T61" s="1573" t="s">
        <v>2077</v>
      </c>
      <c r="U61" s="1573" t="s">
        <v>2077</v>
      </c>
      <c r="V61" s="1573" t="s">
        <v>2077</v>
      </c>
      <c r="W61" s="1573" t="s">
        <v>2077</v>
      </c>
      <c r="X61" s="1573" t="s">
        <v>2077</v>
      </c>
      <c r="Y61" s="1573" t="s">
        <v>2077</v>
      </c>
      <c r="Z61" s="1573" t="s">
        <v>2077</v>
      </c>
      <c r="AA61" s="1573" t="s">
        <v>2077</v>
      </c>
      <c r="AB61" s="1573" t="s">
        <v>2077</v>
      </c>
      <c r="AC61" s="1573" t="s">
        <v>2077</v>
      </c>
      <c r="AD61" s="1573" t="s">
        <v>2077</v>
      </c>
      <c r="AE61" s="1573" t="s">
        <v>2077</v>
      </c>
      <c r="AF61" s="1573" t="s">
        <v>2077</v>
      </c>
      <c r="AG61" s="1573" t="s">
        <v>2077</v>
      </c>
      <c r="AH61" s="1573" t="s">
        <v>2077</v>
      </c>
      <c r="AI61" s="1573" t="s">
        <v>2077</v>
      </c>
      <c r="AJ61" s="1573" t="s">
        <v>2077</v>
      </c>
      <c r="AK61" s="1573" t="s">
        <v>2077</v>
      </c>
      <c r="AL61" s="1573" t="s">
        <v>2077</v>
      </c>
      <c r="AM61" s="1573" t="s">
        <v>2077</v>
      </c>
      <c r="AN61" s="1573" t="s">
        <v>2077</v>
      </c>
      <c r="AO61" s="1573" t="s">
        <v>2077</v>
      </c>
      <c r="AP61" s="1573" t="s">
        <v>2077</v>
      </c>
      <c r="AQ61" s="1573" t="s">
        <v>2077</v>
      </c>
      <c r="AR61" s="1573" t="s">
        <v>2077</v>
      </c>
      <c r="AS61" s="1573" t="s">
        <v>2077</v>
      </c>
      <c r="AT61" s="1573" t="s">
        <v>2077</v>
      </c>
      <c r="AU61" s="1573" t="s">
        <v>2077</v>
      </c>
      <c r="AV61" s="1573" t="s">
        <v>2077</v>
      </c>
      <c r="AW61" s="1574"/>
      <c r="AX61" s="1575">
        <f t="shared" si="0"/>
        <v>5975280</v>
      </c>
    </row>
    <row r="62" spans="1:50">
      <c r="A62" s="1552" t="s">
        <v>1236</v>
      </c>
      <c r="B62" s="1576" t="s">
        <v>1956</v>
      </c>
      <c r="C62" s="1577" t="s">
        <v>142</v>
      </c>
      <c r="D62" s="1573">
        <v>-41640.53</v>
      </c>
      <c r="E62" s="1573">
        <v>-28660.83</v>
      </c>
      <c r="F62" s="1573">
        <v>48249.19</v>
      </c>
      <c r="G62" s="1573">
        <v>1889.41</v>
      </c>
      <c r="H62" s="1573" t="s">
        <v>2077</v>
      </c>
      <c r="I62" s="1573">
        <v>-2858.43</v>
      </c>
      <c r="J62" s="1573" t="s">
        <v>2077</v>
      </c>
      <c r="K62" s="1573" t="s">
        <v>2077</v>
      </c>
      <c r="L62" s="1573" t="s">
        <v>2077</v>
      </c>
      <c r="M62" s="1573" t="s">
        <v>2077</v>
      </c>
      <c r="N62" s="1573">
        <v>122460</v>
      </c>
      <c r="O62" s="1573" t="s">
        <v>2077</v>
      </c>
      <c r="P62" s="1573" t="s">
        <v>2077</v>
      </c>
      <c r="Q62" s="1573" t="s">
        <v>2077</v>
      </c>
      <c r="R62" s="1573" t="s">
        <v>2077</v>
      </c>
      <c r="S62" s="1573" t="s">
        <v>2077</v>
      </c>
      <c r="T62" s="1573" t="s">
        <v>2077</v>
      </c>
      <c r="U62" s="1573" t="s">
        <v>2077</v>
      </c>
      <c r="V62" s="1573">
        <v>-7313.32</v>
      </c>
      <c r="W62" s="1573" t="s">
        <v>2077</v>
      </c>
      <c r="X62" s="1573" t="s">
        <v>2077</v>
      </c>
      <c r="Y62" s="1573" t="s">
        <v>2077</v>
      </c>
      <c r="Z62" s="1573">
        <v>46133.760000000002</v>
      </c>
      <c r="AA62" s="1573" t="s">
        <v>2077</v>
      </c>
      <c r="AB62" s="1573" t="s">
        <v>2077</v>
      </c>
      <c r="AC62" s="1573" t="s">
        <v>2077</v>
      </c>
      <c r="AD62" s="1573" t="s">
        <v>2077</v>
      </c>
      <c r="AE62" s="1573" t="s">
        <v>2077</v>
      </c>
      <c r="AF62" s="1573" t="s">
        <v>2077</v>
      </c>
      <c r="AG62" s="1573" t="s">
        <v>2077</v>
      </c>
      <c r="AH62" s="1573" t="s">
        <v>2077</v>
      </c>
      <c r="AI62" s="1573" t="s">
        <v>2077</v>
      </c>
      <c r="AJ62" s="1573" t="s">
        <v>2077</v>
      </c>
      <c r="AK62" s="1573" t="s">
        <v>2077</v>
      </c>
      <c r="AL62" s="1573">
        <v>163443.20000000001</v>
      </c>
      <c r="AM62" s="1573" t="s">
        <v>2077</v>
      </c>
      <c r="AN62" s="1573" t="s">
        <v>2077</v>
      </c>
      <c r="AO62" s="1573" t="s">
        <v>2077</v>
      </c>
      <c r="AP62" s="1573" t="s">
        <v>2077</v>
      </c>
      <c r="AQ62" s="1573" t="s">
        <v>2077</v>
      </c>
      <c r="AR62" s="1573" t="s">
        <v>2077</v>
      </c>
      <c r="AS62" s="1573" t="s">
        <v>2077</v>
      </c>
      <c r="AT62" s="1573" t="s">
        <v>2077</v>
      </c>
      <c r="AU62" s="1573" t="s">
        <v>2077</v>
      </c>
      <c r="AV62" s="1573" t="s">
        <v>2077</v>
      </c>
      <c r="AW62" s="1574"/>
      <c r="AX62" s="1575">
        <f t="shared" si="0"/>
        <v>301702.45</v>
      </c>
    </row>
    <row r="63" spans="1:50">
      <c r="A63" s="1552" t="s">
        <v>1237</v>
      </c>
      <c r="B63" s="1576"/>
      <c r="C63" s="1577" t="s">
        <v>144</v>
      </c>
      <c r="D63" s="1573" t="s">
        <v>2077</v>
      </c>
      <c r="E63" s="1573" t="s">
        <v>2077</v>
      </c>
      <c r="F63" s="1573" t="s">
        <v>2077</v>
      </c>
      <c r="G63" s="1573" t="s">
        <v>2077</v>
      </c>
      <c r="H63" s="1573" t="s">
        <v>2077</v>
      </c>
      <c r="I63" s="1573" t="s">
        <v>2077</v>
      </c>
      <c r="J63" s="1573" t="s">
        <v>2077</v>
      </c>
      <c r="K63" s="1573" t="s">
        <v>2077</v>
      </c>
      <c r="L63" s="1573" t="s">
        <v>2077</v>
      </c>
      <c r="M63" s="1573" t="s">
        <v>2077</v>
      </c>
      <c r="N63" s="1573" t="s">
        <v>2077</v>
      </c>
      <c r="O63" s="1573" t="s">
        <v>2077</v>
      </c>
      <c r="P63" s="1573" t="s">
        <v>2077</v>
      </c>
      <c r="Q63" s="1573" t="s">
        <v>2077</v>
      </c>
      <c r="R63" s="1573" t="s">
        <v>2077</v>
      </c>
      <c r="S63" s="1573" t="s">
        <v>2077</v>
      </c>
      <c r="T63" s="1573" t="s">
        <v>2077</v>
      </c>
      <c r="U63" s="1573" t="s">
        <v>2077</v>
      </c>
      <c r="V63" s="1573" t="s">
        <v>2077</v>
      </c>
      <c r="W63" s="1573" t="s">
        <v>2077</v>
      </c>
      <c r="X63" s="1573" t="s">
        <v>2077</v>
      </c>
      <c r="Y63" s="1573" t="s">
        <v>2077</v>
      </c>
      <c r="Z63" s="1573" t="s">
        <v>2077</v>
      </c>
      <c r="AA63" s="1573" t="s">
        <v>2077</v>
      </c>
      <c r="AB63" s="1573" t="s">
        <v>2077</v>
      </c>
      <c r="AC63" s="1573" t="s">
        <v>2077</v>
      </c>
      <c r="AD63" s="1573" t="s">
        <v>2077</v>
      </c>
      <c r="AE63" s="1573" t="s">
        <v>2077</v>
      </c>
      <c r="AF63" s="1573" t="s">
        <v>2077</v>
      </c>
      <c r="AG63" s="1573" t="s">
        <v>2077</v>
      </c>
      <c r="AH63" s="1573">
        <v>2091068.94</v>
      </c>
      <c r="AI63" s="1573" t="s">
        <v>2077</v>
      </c>
      <c r="AJ63" s="1573" t="s">
        <v>2077</v>
      </c>
      <c r="AK63" s="1573" t="s">
        <v>2077</v>
      </c>
      <c r="AL63" s="1573" t="s">
        <v>2077</v>
      </c>
      <c r="AM63" s="1573" t="s">
        <v>2077</v>
      </c>
      <c r="AN63" s="1573" t="s">
        <v>2077</v>
      </c>
      <c r="AO63" s="1573" t="s">
        <v>2077</v>
      </c>
      <c r="AP63" s="1573" t="s">
        <v>2077</v>
      </c>
      <c r="AQ63" s="1573" t="s">
        <v>2077</v>
      </c>
      <c r="AR63" s="1573" t="s">
        <v>2077</v>
      </c>
      <c r="AS63" s="1573" t="s">
        <v>2077</v>
      </c>
      <c r="AT63" s="1573" t="s">
        <v>2077</v>
      </c>
      <c r="AU63" s="1573" t="s">
        <v>2077</v>
      </c>
      <c r="AV63" s="1573" t="s">
        <v>2077</v>
      </c>
      <c r="AW63" s="1574"/>
      <c r="AX63" s="1575">
        <f t="shared" si="0"/>
        <v>2091068.94</v>
      </c>
    </row>
    <row r="64" spans="1:50">
      <c r="A64" s="1552" t="s">
        <v>1238</v>
      </c>
      <c r="B64" s="1576" t="s">
        <v>1957</v>
      </c>
      <c r="C64" s="1577" t="s">
        <v>143</v>
      </c>
      <c r="D64" s="1573" t="s">
        <v>2077</v>
      </c>
      <c r="E64" s="1573" t="s">
        <v>2077</v>
      </c>
      <c r="F64" s="1573" t="s">
        <v>2077</v>
      </c>
      <c r="G64" s="1573" t="s">
        <v>2077</v>
      </c>
      <c r="H64" s="1573" t="s">
        <v>2077</v>
      </c>
      <c r="I64" s="1573" t="s">
        <v>2077</v>
      </c>
      <c r="J64" s="1573" t="s">
        <v>2077</v>
      </c>
      <c r="K64" s="1573" t="s">
        <v>2077</v>
      </c>
      <c r="L64" s="1573" t="s">
        <v>2077</v>
      </c>
      <c r="M64" s="1573" t="s">
        <v>2077</v>
      </c>
      <c r="N64" s="1573" t="s">
        <v>2077</v>
      </c>
      <c r="O64" s="1573" t="s">
        <v>2077</v>
      </c>
      <c r="P64" s="1573" t="s">
        <v>2077</v>
      </c>
      <c r="Q64" s="1573" t="s">
        <v>2077</v>
      </c>
      <c r="R64" s="1573" t="s">
        <v>2077</v>
      </c>
      <c r="S64" s="1573" t="s">
        <v>2077</v>
      </c>
      <c r="T64" s="1573" t="s">
        <v>2077</v>
      </c>
      <c r="U64" s="1573" t="s">
        <v>2077</v>
      </c>
      <c r="V64" s="1573" t="s">
        <v>2077</v>
      </c>
      <c r="W64" s="1573" t="s">
        <v>2077</v>
      </c>
      <c r="X64" s="1573" t="s">
        <v>2077</v>
      </c>
      <c r="Y64" s="1573" t="s">
        <v>2077</v>
      </c>
      <c r="Z64" s="1573" t="s">
        <v>2077</v>
      </c>
      <c r="AA64" s="1573" t="s">
        <v>2077</v>
      </c>
      <c r="AB64" s="1573" t="s">
        <v>2077</v>
      </c>
      <c r="AC64" s="1573" t="s">
        <v>2077</v>
      </c>
      <c r="AD64" s="1573" t="s">
        <v>2077</v>
      </c>
      <c r="AE64" s="1573" t="s">
        <v>2077</v>
      </c>
      <c r="AF64" s="1573" t="s">
        <v>2077</v>
      </c>
      <c r="AG64" s="1573" t="s">
        <v>2077</v>
      </c>
      <c r="AH64" s="1573">
        <v>12224302.640000001</v>
      </c>
      <c r="AI64" s="1573" t="s">
        <v>2077</v>
      </c>
      <c r="AJ64" s="1573" t="s">
        <v>2077</v>
      </c>
      <c r="AK64" s="1573" t="s">
        <v>2077</v>
      </c>
      <c r="AL64" s="1573" t="s">
        <v>2077</v>
      </c>
      <c r="AM64" s="1573" t="s">
        <v>2077</v>
      </c>
      <c r="AN64" s="1573" t="s">
        <v>2077</v>
      </c>
      <c r="AO64" s="1573" t="s">
        <v>2077</v>
      </c>
      <c r="AP64" s="1573" t="s">
        <v>2077</v>
      </c>
      <c r="AQ64" s="1573" t="s">
        <v>2077</v>
      </c>
      <c r="AR64" s="1573" t="s">
        <v>2077</v>
      </c>
      <c r="AS64" s="1573" t="s">
        <v>2077</v>
      </c>
      <c r="AT64" s="1573" t="s">
        <v>2077</v>
      </c>
      <c r="AU64" s="1573" t="s">
        <v>2077</v>
      </c>
      <c r="AV64" s="1573" t="s">
        <v>2077</v>
      </c>
      <c r="AW64" s="1574"/>
      <c r="AX64" s="1575">
        <f t="shared" si="0"/>
        <v>12224302.640000001</v>
      </c>
    </row>
    <row r="65" spans="1:50">
      <c r="A65" s="1552" t="s">
        <v>1239</v>
      </c>
      <c r="B65" s="1576"/>
      <c r="C65" s="1577" t="s">
        <v>604</v>
      </c>
      <c r="D65" s="1573" t="s">
        <v>2077</v>
      </c>
      <c r="E65" s="1573" t="s">
        <v>2077</v>
      </c>
      <c r="F65" s="1573" t="s">
        <v>2077</v>
      </c>
      <c r="G65" s="1573" t="s">
        <v>2077</v>
      </c>
      <c r="H65" s="1573" t="s">
        <v>2077</v>
      </c>
      <c r="I65" s="1573" t="s">
        <v>2077</v>
      </c>
      <c r="J65" s="1573" t="s">
        <v>2077</v>
      </c>
      <c r="K65" s="1573" t="s">
        <v>2077</v>
      </c>
      <c r="L65" s="1573" t="s">
        <v>2077</v>
      </c>
      <c r="M65" s="1573" t="s">
        <v>2077</v>
      </c>
      <c r="N65" s="1573" t="s">
        <v>2077</v>
      </c>
      <c r="O65" s="1573" t="s">
        <v>2077</v>
      </c>
      <c r="P65" s="1573" t="s">
        <v>2077</v>
      </c>
      <c r="Q65" s="1573" t="s">
        <v>2077</v>
      </c>
      <c r="R65" s="1573" t="s">
        <v>2077</v>
      </c>
      <c r="S65" s="1573" t="s">
        <v>2077</v>
      </c>
      <c r="T65" s="1573" t="s">
        <v>2077</v>
      </c>
      <c r="U65" s="1573" t="s">
        <v>2077</v>
      </c>
      <c r="V65" s="1573" t="s">
        <v>2077</v>
      </c>
      <c r="W65" s="1573" t="s">
        <v>2077</v>
      </c>
      <c r="X65" s="1573" t="s">
        <v>2077</v>
      </c>
      <c r="Y65" s="1573" t="s">
        <v>2077</v>
      </c>
      <c r="Z65" s="1573" t="s">
        <v>2077</v>
      </c>
      <c r="AA65" s="1573" t="s">
        <v>2077</v>
      </c>
      <c r="AB65" s="1573" t="s">
        <v>2077</v>
      </c>
      <c r="AC65" s="1573" t="s">
        <v>2077</v>
      </c>
      <c r="AD65" s="1573" t="s">
        <v>2077</v>
      </c>
      <c r="AE65" s="1573" t="s">
        <v>2077</v>
      </c>
      <c r="AF65" s="1573" t="s">
        <v>2077</v>
      </c>
      <c r="AG65" s="1573" t="s">
        <v>2077</v>
      </c>
      <c r="AH65" s="1573">
        <v>219663.86</v>
      </c>
      <c r="AI65" s="1573" t="s">
        <v>2077</v>
      </c>
      <c r="AJ65" s="1573" t="s">
        <v>2077</v>
      </c>
      <c r="AK65" s="1573" t="s">
        <v>2077</v>
      </c>
      <c r="AL65" s="1573" t="s">
        <v>2077</v>
      </c>
      <c r="AM65" s="1573" t="s">
        <v>2077</v>
      </c>
      <c r="AN65" s="1573" t="s">
        <v>2077</v>
      </c>
      <c r="AO65" s="1573" t="s">
        <v>2077</v>
      </c>
      <c r="AP65" s="1573" t="s">
        <v>2077</v>
      </c>
      <c r="AQ65" s="1573" t="s">
        <v>2077</v>
      </c>
      <c r="AR65" s="1573" t="s">
        <v>2077</v>
      </c>
      <c r="AS65" s="1573" t="s">
        <v>2077</v>
      </c>
      <c r="AT65" s="1573" t="s">
        <v>2077</v>
      </c>
      <c r="AU65" s="1573" t="s">
        <v>2077</v>
      </c>
      <c r="AV65" s="1573" t="s">
        <v>2077</v>
      </c>
      <c r="AW65" s="1574"/>
      <c r="AX65" s="1575">
        <f t="shared" si="0"/>
        <v>219663.86</v>
      </c>
    </row>
    <row r="66" spans="1:50">
      <c r="A66" s="1552" t="s">
        <v>1240</v>
      </c>
      <c r="B66" s="1576" t="s">
        <v>1958</v>
      </c>
      <c r="C66" s="1577" t="s">
        <v>431</v>
      </c>
      <c r="D66" s="1573" t="s">
        <v>2077</v>
      </c>
      <c r="E66" s="1573" t="s">
        <v>2077</v>
      </c>
      <c r="F66" s="1573" t="s">
        <v>2077</v>
      </c>
      <c r="G66" s="1573" t="s">
        <v>2077</v>
      </c>
      <c r="H66" s="1573" t="s">
        <v>2077</v>
      </c>
      <c r="I66" s="1573" t="s">
        <v>2077</v>
      </c>
      <c r="J66" s="1573" t="s">
        <v>2077</v>
      </c>
      <c r="K66" s="1573">
        <v>117.66</v>
      </c>
      <c r="L66" s="1573" t="s">
        <v>2077</v>
      </c>
      <c r="M66" s="1573" t="s">
        <v>2077</v>
      </c>
      <c r="N66" s="1573" t="s">
        <v>2077</v>
      </c>
      <c r="O66" s="1573" t="s">
        <v>2077</v>
      </c>
      <c r="P66" s="1573" t="s">
        <v>2077</v>
      </c>
      <c r="Q66" s="1573" t="s">
        <v>2077</v>
      </c>
      <c r="R66" s="1573" t="s">
        <v>2077</v>
      </c>
      <c r="S66" s="1573" t="s">
        <v>2077</v>
      </c>
      <c r="T66" s="1573" t="s">
        <v>2077</v>
      </c>
      <c r="U66" s="1573" t="s">
        <v>2077</v>
      </c>
      <c r="V66" s="1573" t="s">
        <v>2077</v>
      </c>
      <c r="W66" s="1573" t="s">
        <v>2077</v>
      </c>
      <c r="X66" s="1573" t="s">
        <v>2077</v>
      </c>
      <c r="Y66" s="1573" t="s">
        <v>2077</v>
      </c>
      <c r="Z66" s="1573" t="s">
        <v>2077</v>
      </c>
      <c r="AA66" s="1573" t="s">
        <v>2077</v>
      </c>
      <c r="AB66" s="1573" t="s">
        <v>2077</v>
      </c>
      <c r="AC66" s="1573" t="s">
        <v>2077</v>
      </c>
      <c r="AD66" s="1573" t="s">
        <v>2077</v>
      </c>
      <c r="AE66" s="1573" t="s">
        <v>2077</v>
      </c>
      <c r="AF66" s="1573" t="s">
        <v>2077</v>
      </c>
      <c r="AG66" s="1573" t="s">
        <v>2077</v>
      </c>
      <c r="AH66" s="1573">
        <v>12360597.189999999</v>
      </c>
      <c r="AI66" s="1573" t="s">
        <v>2077</v>
      </c>
      <c r="AJ66" s="1573" t="s">
        <v>2077</v>
      </c>
      <c r="AK66" s="1573" t="s">
        <v>2077</v>
      </c>
      <c r="AL66" s="1573" t="s">
        <v>2077</v>
      </c>
      <c r="AM66" s="1573" t="s">
        <v>2077</v>
      </c>
      <c r="AN66" s="1573" t="s">
        <v>2077</v>
      </c>
      <c r="AO66" s="1573" t="s">
        <v>2077</v>
      </c>
      <c r="AP66" s="1573" t="s">
        <v>2077</v>
      </c>
      <c r="AQ66" s="1573" t="s">
        <v>2077</v>
      </c>
      <c r="AR66" s="1573" t="s">
        <v>2077</v>
      </c>
      <c r="AS66" s="1573" t="s">
        <v>2077</v>
      </c>
      <c r="AT66" s="1573" t="s">
        <v>2077</v>
      </c>
      <c r="AU66" s="1573" t="s">
        <v>2077</v>
      </c>
      <c r="AV66" s="1573" t="s">
        <v>2077</v>
      </c>
      <c r="AW66" s="1574"/>
      <c r="AX66" s="1575">
        <f t="shared" si="0"/>
        <v>12360714.85</v>
      </c>
    </row>
    <row r="67" spans="1:50">
      <c r="A67" s="1552" t="s">
        <v>1241</v>
      </c>
      <c r="B67" s="1576" t="s">
        <v>1959</v>
      </c>
      <c r="C67" s="1577" t="s">
        <v>432</v>
      </c>
      <c r="D67" s="1573" t="s">
        <v>2077</v>
      </c>
      <c r="E67" s="1573" t="s">
        <v>2077</v>
      </c>
      <c r="F67" s="1573" t="s">
        <v>2077</v>
      </c>
      <c r="G67" s="1573" t="s">
        <v>2077</v>
      </c>
      <c r="H67" s="1573" t="s">
        <v>2077</v>
      </c>
      <c r="I67" s="1573" t="s">
        <v>2077</v>
      </c>
      <c r="J67" s="1573" t="s">
        <v>2077</v>
      </c>
      <c r="K67" s="1573" t="s">
        <v>2077</v>
      </c>
      <c r="L67" s="1573" t="s">
        <v>2077</v>
      </c>
      <c r="M67" s="1573" t="s">
        <v>2077</v>
      </c>
      <c r="N67" s="1573" t="s">
        <v>2077</v>
      </c>
      <c r="O67" s="1573" t="s">
        <v>2077</v>
      </c>
      <c r="P67" s="1573" t="s">
        <v>2077</v>
      </c>
      <c r="Q67" s="1573" t="s">
        <v>2077</v>
      </c>
      <c r="R67" s="1573" t="s">
        <v>2077</v>
      </c>
      <c r="S67" s="1573" t="s">
        <v>2077</v>
      </c>
      <c r="T67" s="1573" t="s">
        <v>2077</v>
      </c>
      <c r="U67" s="1573" t="s">
        <v>2077</v>
      </c>
      <c r="V67" s="1573" t="s">
        <v>2077</v>
      </c>
      <c r="W67" s="1573" t="s">
        <v>2077</v>
      </c>
      <c r="X67" s="1573" t="s">
        <v>2077</v>
      </c>
      <c r="Y67" s="1573" t="s">
        <v>2077</v>
      </c>
      <c r="Z67" s="1573" t="s">
        <v>2077</v>
      </c>
      <c r="AA67" s="1573" t="s">
        <v>2077</v>
      </c>
      <c r="AB67" s="1573" t="s">
        <v>2077</v>
      </c>
      <c r="AC67" s="1573" t="s">
        <v>2077</v>
      </c>
      <c r="AD67" s="1573" t="s">
        <v>2077</v>
      </c>
      <c r="AE67" s="1573" t="s">
        <v>2077</v>
      </c>
      <c r="AF67" s="1573" t="s">
        <v>2077</v>
      </c>
      <c r="AG67" s="1573" t="s">
        <v>2077</v>
      </c>
      <c r="AH67" s="1573">
        <v>4757236.82</v>
      </c>
      <c r="AI67" s="1573" t="s">
        <v>2077</v>
      </c>
      <c r="AJ67" s="1573" t="s">
        <v>2077</v>
      </c>
      <c r="AK67" s="1573" t="s">
        <v>2077</v>
      </c>
      <c r="AL67" s="1573" t="s">
        <v>2077</v>
      </c>
      <c r="AM67" s="1573" t="s">
        <v>2077</v>
      </c>
      <c r="AN67" s="1573" t="s">
        <v>2077</v>
      </c>
      <c r="AO67" s="1573" t="s">
        <v>2077</v>
      </c>
      <c r="AP67" s="1573" t="s">
        <v>2077</v>
      </c>
      <c r="AQ67" s="1573" t="s">
        <v>2077</v>
      </c>
      <c r="AR67" s="1573" t="s">
        <v>2077</v>
      </c>
      <c r="AS67" s="1573" t="s">
        <v>2077</v>
      </c>
      <c r="AT67" s="1573" t="s">
        <v>2077</v>
      </c>
      <c r="AU67" s="1573" t="s">
        <v>2077</v>
      </c>
      <c r="AV67" s="1573" t="s">
        <v>2077</v>
      </c>
      <c r="AW67" s="1574"/>
      <c r="AX67" s="1575">
        <f t="shared" si="0"/>
        <v>4757236.82</v>
      </c>
    </row>
    <row r="68" spans="1:50">
      <c r="A68" s="1552" t="s">
        <v>1242</v>
      </c>
      <c r="B68" s="1576"/>
      <c r="C68" s="1577" t="s">
        <v>1983</v>
      </c>
      <c r="D68" s="1573" t="s">
        <v>2077</v>
      </c>
      <c r="E68" s="1573" t="s">
        <v>2077</v>
      </c>
      <c r="F68" s="1573" t="s">
        <v>2077</v>
      </c>
      <c r="G68" s="1573" t="s">
        <v>2077</v>
      </c>
      <c r="H68" s="1573" t="s">
        <v>2077</v>
      </c>
      <c r="I68" s="1573" t="s">
        <v>2077</v>
      </c>
      <c r="J68" s="1573" t="s">
        <v>2077</v>
      </c>
      <c r="K68" s="1573" t="s">
        <v>2077</v>
      </c>
      <c r="L68" s="1573" t="s">
        <v>2077</v>
      </c>
      <c r="M68" s="1573" t="s">
        <v>2077</v>
      </c>
      <c r="N68" s="1573" t="s">
        <v>2077</v>
      </c>
      <c r="O68" s="1573" t="s">
        <v>2077</v>
      </c>
      <c r="P68" s="1573" t="s">
        <v>2077</v>
      </c>
      <c r="Q68" s="1573" t="s">
        <v>2077</v>
      </c>
      <c r="R68" s="1573" t="s">
        <v>2077</v>
      </c>
      <c r="S68" s="1573" t="s">
        <v>2077</v>
      </c>
      <c r="T68" s="1573" t="s">
        <v>2077</v>
      </c>
      <c r="U68" s="1573" t="s">
        <v>2077</v>
      </c>
      <c r="V68" s="1573" t="s">
        <v>2077</v>
      </c>
      <c r="W68" s="1573" t="s">
        <v>2077</v>
      </c>
      <c r="X68" s="1573" t="s">
        <v>2077</v>
      </c>
      <c r="Y68" s="1573" t="s">
        <v>2077</v>
      </c>
      <c r="Z68" s="1573" t="s">
        <v>2077</v>
      </c>
      <c r="AA68" s="1573" t="s">
        <v>2077</v>
      </c>
      <c r="AB68" s="1573" t="s">
        <v>2077</v>
      </c>
      <c r="AC68" s="1573" t="s">
        <v>2077</v>
      </c>
      <c r="AD68" s="1573" t="s">
        <v>2077</v>
      </c>
      <c r="AE68" s="1573" t="s">
        <v>2077</v>
      </c>
      <c r="AF68" s="1573" t="s">
        <v>2077</v>
      </c>
      <c r="AG68" s="1573" t="s">
        <v>2077</v>
      </c>
      <c r="AH68" s="1573" t="s">
        <v>2077</v>
      </c>
      <c r="AI68" s="1573" t="s">
        <v>2077</v>
      </c>
      <c r="AJ68" s="1573" t="s">
        <v>2077</v>
      </c>
      <c r="AK68" s="1573" t="s">
        <v>2077</v>
      </c>
      <c r="AL68" s="1573" t="s">
        <v>2077</v>
      </c>
      <c r="AM68" s="1573" t="s">
        <v>2077</v>
      </c>
      <c r="AN68" s="1573" t="s">
        <v>2077</v>
      </c>
      <c r="AO68" s="1573" t="s">
        <v>2077</v>
      </c>
      <c r="AP68" s="1573" t="s">
        <v>2077</v>
      </c>
      <c r="AQ68" s="1573" t="s">
        <v>2077</v>
      </c>
      <c r="AR68" s="1573" t="s">
        <v>2077</v>
      </c>
      <c r="AS68" s="1573" t="s">
        <v>2077</v>
      </c>
      <c r="AT68" s="1573" t="s">
        <v>2077</v>
      </c>
      <c r="AU68" s="1573" t="s">
        <v>2077</v>
      </c>
      <c r="AV68" s="1573" t="s">
        <v>2077</v>
      </c>
      <c r="AW68" s="1574"/>
      <c r="AX68" s="1575">
        <f t="shared" si="0"/>
        <v>0</v>
      </c>
    </row>
    <row r="69" spans="1:50">
      <c r="A69" s="1552" t="s">
        <v>1995</v>
      </c>
      <c r="B69" s="1576" t="s">
        <v>1991</v>
      </c>
      <c r="C69" s="1577" t="s">
        <v>1992</v>
      </c>
      <c r="D69" s="1573" t="s">
        <v>2077</v>
      </c>
      <c r="E69" s="1573" t="s">
        <v>2077</v>
      </c>
      <c r="F69" s="1573" t="s">
        <v>2077</v>
      </c>
      <c r="G69" s="1573" t="s">
        <v>2077</v>
      </c>
      <c r="H69" s="1573" t="s">
        <v>2077</v>
      </c>
      <c r="I69" s="1573" t="s">
        <v>2077</v>
      </c>
      <c r="J69" s="1573" t="s">
        <v>2077</v>
      </c>
      <c r="K69" s="1573" t="s">
        <v>2077</v>
      </c>
      <c r="L69" s="1573" t="s">
        <v>2077</v>
      </c>
      <c r="M69" s="1573" t="s">
        <v>2077</v>
      </c>
      <c r="N69" s="1573" t="s">
        <v>2077</v>
      </c>
      <c r="O69" s="1573" t="s">
        <v>2077</v>
      </c>
      <c r="P69" s="1573" t="s">
        <v>2077</v>
      </c>
      <c r="Q69" s="1573" t="s">
        <v>2077</v>
      </c>
      <c r="R69" s="1573" t="s">
        <v>2077</v>
      </c>
      <c r="S69" s="1573" t="s">
        <v>2077</v>
      </c>
      <c r="T69" s="1573" t="s">
        <v>2077</v>
      </c>
      <c r="U69" s="1573" t="s">
        <v>2077</v>
      </c>
      <c r="V69" s="1573" t="s">
        <v>2077</v>
      </c>
      <c r="W69" s="1573" t="s">
        <v>2077</v>
      </c>
      <c r="X69" s="1573" t="s">
        <v>2077</v>
      </c>
      <c r="Y69" s="1573" t="s">
        <v>2077</v>
      </c>
      <c r="Z69" s="1573" t="s">
        <v>2077</v>
      </c>
      <c r="AA69" s="1573" t="s">
        <v>2077</v>
      </c>
      <c r="AB69" s="1573" t="s">
        <v>2077</v>
      </c>
      <c r="AC69" s="1573" t="s">
        <v>2077</v>
      </c>
      <c r="AD69" s="1573" t="s">
        <v>2077</v>
      </c>
      <c r="AE69" s="1573" t="s">
        <v>2077</v>
      </c>
      <c r="AF69" s="1573" t="s">
        <v>2077</v>
      </c>
      <c r="AG69" s="1573" t="s">
        <v>2077</v>
      </c>
      <c r="AH69" s="1573" t="s">
        <v>2077</v>
      </c>
      <c r="AI69" s="1573" t="s">
        <v>2077</v>
      </c>
      <c r="AJ69" s="1573" t="s">
        <v>2077</v>
      </c>
      <c r="AK69" s="1573" t="s">
        <v>2077</v>
      </c>
      <c r="AL69" s="1573" t="s">
        <v>2077</v>
      </c>
      <c r="AM69" s="1573" t="s">
        <v>2077</v>
      </c>
      <c r="AN69" s="1573" t="s">
        <v>2077</v>
      </c>
      <c r="AO69" s="1573">
        <v>4007038.06</v>
      </c>
      <c r="AP69" s="1573">
        <v>205400.69</v>
      </c>
      <c r="AQ69" s="1573" t="s">
        <v>2077</v>
      </c>
      <c r="AR69" s="1573" t="s">
        <v>2077</v>
      </c>
      <c r="AS69" s="1573" t="s">
        <v>2077</v>
      </c>
      <c r="AT69" s="1573" t="s">
        <v>2077</v>
      </c>
      <c r="AU69" s="1573" t="s">
        <v>2077</v>
      </c>
      <c r="AV69" s="1573" t="s">
        <v>2077</v>
      </c>
      <c r="AW69" s="1574"/>
      <c r="AX69" s="1575">
        <f t="shared" si="0"/>
        <v>4212438.75</v>
      </c>
    </row>
    <row r="70" spans="1:50">
      <c r="A70" s="1552" t="s">
        <v>2031</v>
      </c>
      <c r="B70" s="1576" t="s">
        <v>1986</v>
      </c>
      <c r="C70" s="1577" t="s">
        <v>1987</v>
      </c>
      <c r="D70" s="1573" t="s">
        <v>2077</v>
      </c>
      <c r="E70" s="1573" t="s">
        <v>2077</v>
      </c>
      <c r="F70" s="1573" t="s">
        <v>2077</v>
      </c>
      <c r="G70" s="1573" t="s">
        <v>2077</v>
      </c>
      <c r="H70" s="1573" t="s">
        <v>2077</v>
      </c>
      <c r="I70" s="1573" t="s">
        <v>2077</v>
      </c>
      <c r="J70" s="1573" t="s">
        <v>2077</v>
      </c>
      <c r="K70" s="1573" t="s">
        <v>2077</v>
      </c>
      <c r="L70" s="1573" t="s">
        <v>2077</v>
      </c>
      <c r="M70" s="1573" t="s">
        <v>2077</v>
      </c>
      <c r="N70" s="1573" t="s">
        <v>2077</v>
      </c>
      <c r="O70" s="1573" t="s">
        <v>2077</v>
      </c>
      <c r="P70" s="1573" t="s">
        <v>2077</v>
      </c>
      <c r="Q70" s="1573" t="s">
        <v>2077</v>
      </c>
      <c r="R70" s="1573" t="s">
        <v>2077</v>
      </c>
      <c r="S70" s="1573" t="s">
        <v>2077</v>
      </c>
      <c r="T70" s="1573" t="s">
        <v>2077</v>
      </c>
      <c r="U70" s="1573" t="s">
        <v>2077</v>
      </c>
      <c r="V70" s="1573" t="s">
        <v>2077</v>
      </c>
      <c r="W70" s="1573" t="s">
        <v>2077</v>
      </c>
      <c r="X70" s="1573" t="s">
        <v>2077</v>
      </c>
      <c r="Y70" s="1573" t="s">
        <v>2077</v>
      </c>
      <c r="Z70" s="1573" t="s">
        <v>2077</v>
      </c>
      <c r="AA70" s="1573" t="s">
        <v>2077</v>
      </c>
      <c r="AB70" s="1573" t="s">
        <v>2077</v>
      </c>
      <c r="AC70" s="1573" t="s">
        <v>2077</v>
      </c>
      <c r="AD70" s="1573" t="s">
        <v>2077</v>
      </c>
      <c r="AE70" s="1573" t="s">
        <v>2077</v>
      </c>
      <c r="AF70" s="1573" t="s">
        <v>2077</v>
      </c>
      <c r="AG70" s="1573" t="s">
        <v>2077</v>
      </c>
      <c r="AH70" s="1573" t="s">
        <v>2077</v>
      </c>
      <c r="AI70" s="1573" t="s">
        <v>2077</v>
      </c>
      <c r="AJ70" s="1573" t="s">
        <v>2077</v>
      </c>
      <c r="AK70" s="1573" t="s">
        <v>2077</v>
      </c>
      <c r="AL70" s="1573" t="s">
        <v>2077</v>
      </c>
      <c r="AM70" s="1573">
        <v>21967647.699999999</v>
      </c>
      <c r="AN70" s="1573">
        <v>69171359.269999996</v>
      </c>
      <c r="AO70" s="1573" t="s">
        <v>2077</v>
      </c>
      <c r="AP70" s="1573" t="s">
        <v>2077</v>
      </c>
      <c r="AQ70" s="1573" t="s">
        <v>2077</v>
      </c>
      <c r="AR70" s="1573" t="s">
        <v>2077</v>
      </c>
      <c r="AS70" s="1573">
        <v>6392727.3499999996</v>
      </c>
      <c r="AT70" s="1573" t="s">
        <v>2077</v>
      </c>
      <c r="AU70" s="1573">
        <v>23788.73</v>
      </c>
      <c r="AV70" s="1573" t="s">
        <v>2077</v>
      </c>
      <c r="AW70" s="1574"/>
      <c r="AX70" s="1575">
        <f>SUM(D70:AW70)</f>
        <v>97555523.049999997</v>
      </c>
    </row>
    <row r="71" spans="1:50">
      <c r="A71" s="1552" t="s">
        <v>2032</v>
      </c>
      <c r="B71" s="1576" t="s">
        <v>1986</v>
      </c>
      <c r="C71" s="1577" t="s">
        <v>2007</v>
      </c>
      <c r="D71" s="1573" t="s">
        <v>2077</v>
      </c>
      <c r="E71" s="1573" t="s">
        <v>2077</v>
      </c>
      <c r="F71" s="1573" t="s">
        <v>2077</v>
      </c>
      <c r="G71" s="1573" t="s">
        <v>2077</v>
      </c>
      <c r="H71" s="1573" t="s">
        <v>2077</v>
      </c>
      <c r="I71" s="1573" t="s">
        <v>2077</v>
      </c>
      <c r="J71" s="1573" t="s">
        <v>2077</v>
      </c>
      <c r="K71" s="1573" t="s">
        <v>2077</v>
      </c>
      <c r="L71" s="1573" t="s">
        <v>2077</v>
      </c>
      <c r="M71" s="1573" t="s">
        <v>2077</v>
      </c>
      <c r="N71" s="1573" t="s">
        <v>2077</v>
      </c>
      <c r="O71" s="1573" t="s">
        <v>2077</v>
      </c>
      <c r="P71" s="1573" t="s">
        <v>2077</v>
      </c>
      <c r="Q71" s="1573" t="s">
        <v>2077</v>
      </c>
      <c r="R71" s="1573" t="s">
        <v>2077</v>
      </c>
      <c r="S71" s="1573" t="s">
        <v>2077</v>
      </c>
      <c r="T71" s="1573" t="s">
        <v>2077</v>
      </c>
      <c r="U71" s="1573" t="s">
        <v>2077</v>
      </c>
      <c r="V71" s="1573" t="s">
        <v>2077</v>
      </c>
      <c r="W71" s="1573" t="s">
        <v>2077</v>
      </c>
      <c r="X71" s="1573" t="s">
        <v>2077</v>
      </c>
      <c r="Y71" s="1573" t="s">
        <v>2077</v>
      </c>
      <c r="Z71" s="1573" t="s">
        <v>2077</v>
      </c>
      <c r="AA71" s="1573" t="s">
        <v>2077</v>
      </c>
      <c r="AB71" s="1573" t="s">
        <v>2077</v>
      </c>
      <c r="AC71" s="1573" t="s">
        <v>2077</v>
      </c>
      <c r="AD71" s="1573" t="s">
        <v>2077</v>
      </c>
      <c r="AE71" s="1573" t="s">
        <v>2077</v>
      </c>
      <c r="AF71" s="1573" t="s">
        <v>2077</v>
      </c>
      <c r="AG71" s="1573" t="s">
        <v>2077</v>
      </c>
      <c r="AH71" s="1573" t="s">
        <v>2077</v>
      </c>
      <c r="AI71" s="1573" t="s">
        <v>2077</v>
      </c>
      <c r="AJ71" s="1573" t="s">
        <v>2077</v>
      </c>
      <c r="AK71" s="1573" t="s">
        <v>2077</v>
      </c>
      <c r="AL71" s="1573" t="s">
        <v>2077</v>
      </c>
      <c r="AM71" s="1573" t="s">
        <v>2077</v>
      </c>
      <c r="AN71" s="1573">
        <v>31705222.969999999</v>
      </c>
      <c r="AO71" s="1573">
        <v>523803.48</v>
      </c>
      <c r="AP71" s="1573" t="s">
        <v>2077</v>
      </c>
      <c r="AQ71" s="1573" t="s">
        <v>2077</v>
      </c>
      <c r="AR71" s="1573" t="s">
        <v>2077</v>
      </c>
      <c r="AS71" s="1573">
        <v>147233.06</v>
      </c>
      <c r="AT71" s="1573" t="s">
        <v>2077</v>
      </c>
      <c r="AU71" s="1573">
        <v>110284.14</v>
      </c>
      <c r="AV71" s="1573" t="s">
        <v>2077</v>
      </c>
      <c r="AW71" s="1574"/>
      <c r="AX71" s="1575">
        <f>SUM(D71:AW71)</f>
        <v>32486543.649999999</v>
      </c>
    </row>
    <row r="72" spans="1:50" ht="15" thickBot="1">
      <c r="A72" s="1552" t="s">
        <v>541</v>
      </c>
      <c r="B72" s="1579"/>
      <c r="C72" s="1579" t="s">
        <v>1165</v>
      </c>
      <c r="D72" s="1573">
        <v>0</v>
      </c>
      <c r="E72" s="1573">
        <v>0</v>
      </c>
      <c r="F72" s="1573">
        <v>0</v>
      </c>
      <c r="G72" s="1573">
        <v>0</v>
      </c>
      <c r="H72" s="1573">
        <v>0</v>
      </c>
      <c r="I72" s="1573">
        <v>0</v>
      </c>
      <c r="J72" s="1573">
        <v>0</v>
      </c>
      <c r="K72" s="1573">
        <v>0</v>
      </c>
      <c r="L72" s="1573">
        <v>0</v>
      </c>
      <c r="M72" s="1573">
        <v>0</v>
      </c>
      <c r="N72" s="1573">
        <v>0</v>
      </c>
      <c r="O72" s="1573">
        <v>0</v>
      </c>
      <c r="P72" s="1573">
        <v>0</v>
      </c>
      <c r="Q72" s="1573">
        <v>0</v>
      </c>
      <c r="R72" s="1573">
        <v>0</v>
      </c>
      <c r="S72" s="1573">
        <v>0</v>
      </c>
      <c r="T72" s="1573">
        <v>0</v>
      </c>
      <c r="U72" s="1573">
        <v>0</v>
      </c>
      <c r="V72" s="1573">
        <v>0</v>
      </c>
      <c r="W72" s="1573">
        <v>0</v>
      </c>
      <c r="X72" s="1573">
        <v>0</v>
      </c>
      <c r="Y72" s="1573">
        <v>0</v>
      </c>
      <c r="Z72" s="1573">
        <v>0</v>
      </c>
      <c r="AA72" s="1573">
        <v>0</v>
      </c>
      <c r="AB72" s="1573">
        <v>0</v>
      </c>
      <c r="AC72" s="1573">
        <v>0</v>
      </c>
      <c r="AD72" s="1573">
        <v>0</v>
      </c>
      <c r="AE72" s="1573">
        <v>0</v>
      </c>
      <c r="AF72" s="1573">
        <v>0</v>
      </c>
      <c r="AG72" s="1573">
        <v>0</v>
      </c>
      <c r="AH72" s="1573">
        <v>0</v>
      </c>
      <c r="AI72" s="1573">
        <v>0</v>
      </c>
      <c r="AJ72" s="1573">
        <v>0</v>
      </c>
      <c r="AK72" s="1573">
        <v>0</v>
      </c>
      <c r="AL72" s="1573">
        <v>0</v>
      </c>
      <c r="AM72" s="1573">
        <v>0</v>
      </c>
      <c r="AN72" s="1573">
        <v>0</v>
      </c>
      <c r="AO72" s="1573">
        <v>0</v>
      </c>
      <c r="AP72" s="1573">
        <v>0</v>
      </c>
      <c r="AQ72" s="1573" t="s">
        <v>2077</v>
      </c>
      <c r="AR72" s="1573" t="s">
        <v>2077</v>
      </c>
      <c r="AS72" s="1573" t="s">
        <v>2077</v>
      </c>
      <c r="AT72" s="1573" t="s">
        <v>2077</v>
      </c>
      <c r="AU72" s="1573" t="s">
        <v>2077</v>
      </c>
      <c r="AV72" s="1573" t="s">
        <v>2077</v>
      </c>
      <c r="AW72" s="1580"/>
      <c r="AX72" s="1581"/>
    </row>
    <row r="73" spans="1:50" ht="15" thickBot="1">
      <c r="A73" s="1552">
        <v>2</v>
      </c>
      <c r="B73" s="1582"/>
      <c r="C73" s="1583" t="s">
        <v>633</v>
      </c>
      <c r="D73" s="1573">
        <v>0</v>
      </c>
      <c r="E73" s="1573">
        <v>0</v>
      </c>
      <c r="F73" s="1573">
        <v>0</v>
      </c>
      <c r="G73" s="1573">
        <v>0</v>
      </c>
      <c r="H73" s="1573">
        <v>0</v>
      </c>
      <c r="I73" s="1573">
        <v>0</v>
      </c>
      <c r="J73" s="1573">
        <v>0</v>
      </c>
      <c r="K73" s="1573">
        <v>0</v>
      </c>
      <c r="L73" s="1573">
        <v>0</v>
      </c>
      <c r="M73" s="1573">
        <v>0</v>
      </c>
      <c r="N73" s="1573">
        <v>0</v>
      </c>
      <c r="O73" s="1573">
        <v>0</v>
      </c>
      <c r="P73" s="1573">
        <v>0</v>
      </c>
      <c r="Q73" s="1573">
        <v>0</v>
      </c>
      <c r="R73" s="1573">
        <v>0</v>
      </c>
      <c r="S73" s="1573">
        <v>0</v>
      </c>
      <c r="T73" s="1573">
        <v>0</v>
      </c>
      <c r="U73" s="1573">
        <v>0</v>
      </c>
      <c r="V73" s="1573">
        <v>0</v>
      </c>
      <c r="W73" s="1573">
        <v>0</v>
      </c>
      <c r="X73" s="1573">
        <v>0</v>
      </c>
      <c r="Y73" s="1573">
        <v>0</v>
      </c>
      <c r="Z73" s="1573">
        <v>0</v>
      </c>
      <c r="AA73" s="1573">
        <v>0</v>
      </c>
      <c r="AB73" s="1573">
        <v>0</v>
      </c>
      <c r="AC73" s="1573">
        <v>0</v>
      </c>
      <c r="AD73" s="1573">
        <v>0</v>
      </c>
      <c r="AE73" s="1573">
        <v>0</v>
      </c>
      <c r="AF73" s="1573">
        <v>0</v>
      </c>
      <c r="AG73" s="1573">
        <v>0</v>
      </c>
      <c r="AH73" s="1573">
        <v>0</v>
      </c>
      <c r="AI73" s="1573">
        <v>0</v>
      </c>
      <c r="AJ73" s="1573">
        <v>0</v>
      </c>
      <c r="AK73" s="1573">
        <v>0</v>
      </c>
      <c r="AL73" s="1573">
        <v>0</v>
      </c>
      <c r="AM73" s="1573">
        <v>0</v>
      </c>
      <c r="AN73" s="1573">
        <v>0</v>
      </c>
      <c r="AO73" s="1573">
        <v>0</v>
      </c>
      <c r="AP73" s="1573">
        <v>0</v>
      </c>
      <c r="AQ73" s="1573" t="s">
        <v>2077</v>
      </c>
      <c r="AR73" s="1573" t="s">
        <v>2077</v>
      </c>
      <c r="AS73" s="1573" t="s">
        <v>2077</v>
      </c>
      <c r="AT73" s="1573" t="s">
        <v>2077</v>
      </c>
      <c r="AU73" s="1573" t="s">
        <v>2077</v>
      </c>
      <c r="AV73" s="1573" t="s">
        <v>2077</v>
      </c>
      <c r="AW73" s="1584"/>
      <c r="AX73" s="1581">
        <f t="shared" ref="AX73" si="1">SUM(D73:AL73)</f>
        <v>0</v>
      </c>
    </row>
    <row r="74" spans="1:50">
      <c r="A74" s="1552"/>
      <c r="B74" s="1582"/>
      <c r="C74" s="1582"/>
      <c r="D74" s="1585"/>
      <c r="E74" s="1585"/>
      <c r="F74" s="1585"/>
      <c r="G74" s="1586"/>
      <c r="H74" s="1586"/>
      <c r="I74" s="1586"/>
      <c r="J74" s="1586"/>
      <c r="K74" s="1586"/>
      <c r="L74" s="1586"/>
      <c r="M74" s="1586"/>
      <c r="N74" s="1586"/>
      <c r="O74" s="1586"/>
      <c r="P74" s="1586"/>
      <c r="Q74" s="1586"/>
      <c r="R74" s="1586"/>
      <c r="S74" s="1586"/>
      <c r="T74" s="1586"/>
      <c r="U74" s="1586"/>
      <c r="V74" s="1586"/>
      <c r="W74" s="1586"/>
      <c r="X74" s="1586"/>
      <c r="Y74" s="1586"/>
      <c r="Z74" s="1586"/>
      <c r="AA74" s="1586"/>
      <c r="AB74" s="1586"/>
      <c r="AC74" s="1586"/>
      <c r="AD74" s="1586"/>
      <c r="AE74" s="1586"/>
      <c r="AF74" s="1586"/>
      <c r="AG74" s="1586"/>
      <c r="AH74" s="1586"/>
      <c r="AI74" s="1586"/>
      <c r="AJ74" s="1586"/>
      <c r="AK74" s="1586"/>
      <c r="AL74" s="1586"/>
      <c r="AM74" s="1586"/>
      <c r="AN74" s="1586"/>
      <c r="AO74" s="1586"/>
      <c r="AP74" s="1586"/>
      <c r="AQ74" s="1586"/>
      <c r="AR74" s="1586"/>
      <c r="AS74" s="1586"/>
      <c r="AT74" s="1586"/>
      <c r="AU74" s="1586"/>
      <c r="AV74" s="1586"/>
      <c r="AW74" s="1586"/>
      <c r="AX74" s="1575"/>
    </row>
    <row r="75" spans="1:50">
      <c r="A75" s="1552">
        <v>3</v>
      </c>
      <c r="B75" s="1587" t="s">
        <v>218</v>
      </c>
      <c r="C75" s="1588"/>
      <c r="D75" s="1589">
        <f>SUM(D18:D73)</f>
        <v>50529002.32</v>
      </c>
      <c r="E75" s="1589">
        <f t="shared" ref="E75:AW75" si="2">SUM(E18:E73)</f>
        <v>86336407.430000007</v>
      </c>
      <c r="F75" s="1589">
        <f t="shared" si="2"/>
        <v>199712943.46999997</v>
      </c>
      <c r="G75" s="1589">
        <f t="shared" si="2"/>
        <v>4089501.41</v>
      </c>
      <c r="H75" s="1589">
        <f t="shared" si="2"/>
        <v>174405742.13999999</v>
      </c>
      <c r="I75" s="1589">
        <f t="shared" si="2"/>
        <v>31704021.579999994</v>
      </c>
      <c r="J75" s="1589">
        <f t="shared" si="2"/>
        <v>2341980.5499999998</v>
      </c>
      <c r="K75" s="1589">
        <f t="shared" si="2"/>
        <v>6642511.790000001</v>
      </c>
      <c r="L75" s="1589">
        <f t="shared" si="2"/>
        <v>3694689.6199999996</v>
      </c>
      <c r="M75" s="1589">
        <f t="shared" si="2"/>
        <v>1210779.48</v>
      </c>
      <c r="N75" s="1589">
        <f t="shared" si="2"/>
        <v>122460</v>
      </c>
      <c r="O75" s="1589">
        <f t="shared" si="2"/>
        <v>10978645.969999999</v>
      </c>
      <c r="P75" s="1589">
        <f t="shared" si="2"/>
        <v>7146293.0300000012</v>
      </c>
      <c r="Q75" s="1589">
        <f t="shared" si="2"/>
        <v>7609972.3200000003</v>
      </c>
      <c r="R75" s="1589">
        <f t="shared" si="2"/>
        <v>9678943.8399999999</v>
      </c>
      <c r="S75" s="1589">
        <f t="shared" si="2"/>
        <v>5965414.1600000001</v>
      </c>
      <c r="T75" s="1589">
        <f t="shared" si="2"/>
        <v>5112288.129999999</v>
      </c>
      <c r="U75" s="1589">
        <f t="shared" si="2"/>
        <v>9342001.7200000007</v>
      </c>
      <c r="V75" s="1589">
        <f t="shared" si="2"/>
        <v>150228523.07999998</v>
      </c>
      <c r="W75" s="1589">
        <f t="shared" si="2"/>
        <v>4900583.75</v>
      </c>
      <c r="X75" s="1589">
        <f t="shared" si="2"/>
        <v>846286.1</v>
      </c>
      <c r="Y75" s="1589">
        <f t="shared" si="2"/>
        <v>1934846.69</v>
      </c>
      <c r="Z75" s="1589">
        <f t="shared" si="2"/>
        <v>36533598.720000006</v>
      </c>
      <c r="AA75" s="1589">
        <f t="shared" si="2"/>
        <v>14437552.720000001</v>
      </c>
      <c r="AB75" s="1589">
        <f t="shared" si="2"/>
        <v>14378404.33</v>
      </c>
      <c r="AC75" s="1589">
        <f t="shared" si="2"/>
        <v>39738974.140000001</v>
      </c>
      <c r="AD75" s="1589">
        <f t="shared" si="2"/>
        <v>21886162.509999998</v>
      </c>
      <c r="AE75" s="1589">
        <f t="shared" si="2"/>
        <v>5819388.459999999</v>
      </c>
      <c r="AF75" s="1589">
        <f t="shared" si="2"/>
        <v>106388915.08</v>
      </c>
      <c r="AG75" s="1589">
        <f t="shared" si="2"/>
        <v>1261100.6499999999</v>
      </c>
      <c r="AH75" s="1589">
        <f t="shared" si="2"/>
        <v>44555454.650000006</v>
      </c>
      <c r="AI75" s="1589">
        <f t="shared" si="2"/>
        <v>0</v>
      </c>
      <c r="AJ75" s="1589">
        <f t="shared" si="2"/>
        <v>191164218.06</v>
      </c>
      <c r="AK75" s="1589">
        <f t="shared" si="2"/>
        <v>26599074.210000001</v>
      </c>
      <c r="AL75" s="1589">
        <f t="shared" si="2"/>
        <v>1187345065.5600002</v>
      </c>
      <c r="AM75" s="1589">
        <f t="shared" si="2"/>
        <v>21967647.699999999</v>
      </c>
      <c r="AN75" s="1589">
        <f t="shared" si="2"/>
        <v>100876582.23999999</v>
      </c>
      <c r="AO75" s="1589">
        <f t="shared" si="2"/>
        <v>4530841.54</v>
      </c>
      <c r="AP75" s="1589">
        <f t="shared" si="2"/>
        <v>205400.69</v>
      </c>
      <c r="AQ75" s="1589">
        <f t="shared" si="2"/>
        <v>0</v>
      </c>
      <c r="AR75" s="1589">
        <f t="shared" si="2"/>
        <v>2293639.46</v>
      </c>
      <c r="AS75" s="1589">
        <f t="shared" si="2"/>
        <v>6539960.4099999992</v>
      </c>
      <c r="AT75" s="1589">
        <f t="shared" si="2"/>
        <v>0</v>
      </c>
      <c r="AU75" s="1589">
        <f t="shared" si="2"/>
        <v>134072.87</v>
      </c>
      <c r="AV75" s="1589">
        <f t="shared" si="2"/>
        <v>133222.20000000001</v>
      </c>
      <c r="AW75" s="1590">
        <f t="shared" si="2"/>
        <v>0</v>
      </c>
      <c r="AX75" s="1575">
        <f>SUM(AX18:AX74)</f>
        <v>2601323114.7800002</v>
      </c>
    </row>
    <row r="76" spans="1:50">
      <c r="B76" s="1553"/>
      <c r="C76" s="1553"/>
    </row>
    <row r="77" spans="1:50">
      <c r="B77" s="1553"/>
      <c r="C77" s="1553"/>
      <c r="H77" s="1591"/>
    </row>
    <row r="78" spans="1:50">
      <c r="B78" s="1553"/>
      <c r="C78" s="1553"/>
      <c r="H78" s="1591"/>
      <c r="AF78" s="1592"/>
      <c r="AG78" s="1592"/>
    </row>
    <row r="79" spans="1:50">
      <c r="B79" s="1553"/>
      <c r="C79" s="1553"/>
      <c r="H79" s="1591"/>
      <c r="AF79" s="1592"/>
      <c r="AG79" s="1592"/>
    </row>
    <row r="80" spans="1:50">
      <c r="B80" s="1553"/>
      <c r="C80" s="1553"/>
      <c r="AF80" s="1592"/>
      <c r="AG80" s="1592"/>
    </row>
    <row r="81" spans="2:33">
      <c r="B81" s="1553"/>
      <c r="C81" s="1553"/>
      <c r="AF81" s="1592"/>
      <c r="AG81" s="1592"/>
    </row>
    <row r="82" spans="2:33">
      <c r="B82" s="1553"/>
      <c r="C82" s="1553"/>
      <c r="AF82" s="1592"/>
      <c r="AG82" s="1592"/>
    </row>
    <row r="83" spans="2:33">
      <c r="B83" s="1553"/>
      <c r="C83" s="1553"/>
      <c r="AF83" s="1592"/>
      <c r="AG83" s="1592"/>
    </row>
    <row r="84" spans="2:33">
      <c r="B84" s="1553"/>
      <c r="C84" s="1553"/>
      <c r="AF84" s="1592"/>
      <c r="AG84" s="1592"/>
    </row>
    <row r="85" spans="2:33">
      <c r="B85" s="1553"/>
      <c r="C85" s="1553"/>
      <c r="AF85" s="1592"/>
      <c r="AG85" s="1592"/>
    </row>
    <row r="86" spans="2:33">
      <c r="B86" s="1553"/>
      <c r="C86" s="1553"/>
    </row>
    <row r="87" spans="2:33">
      <c r="B87" s="1553"/>
      <c r="C87" s="1553"/>
    </row>
    <row r="88" spans="2:33">
      <c r="B88" s="1553"/>
      <c r="C88" s="1553"/>
    </row>
    <row r="89" spans="2:33">
      <c r="B89" s="1553"/>
      <c r="C89" s="1553"/>
    </row>
    <row r="90" spans="2:33">
      <c r="B90" s="1553"/>
      <c r="C90" s="1553"/>
    </row>
    <row r="91" spans="2:33">
      <c r="B91" s="1553"/>
      <c r="C91" s="1553"/>
    </row>
    <row r="92" spans="2:33">
      <c r="B92" s="1553"/>
      <c r="C92" s="1553"/>
    </row>
    <row r="93" spans="2:33">
      <c r="B93" s="1553"/>
      <c r="C93" s="1553"/>
    </row>
    <row r="94" spans="2:33">
      <c r="B94" s="1553"/>
      <c r="C94" s="1553"/>
    </row>
    <row r="95" spans="2:33">
      <c r="B95" s="1553"/>
      <c r="C95" s="1553"/>
    </row>
    <row r="96" spans="2:33">
      <c r="B96" s="1553"/>
      <c r="C96" s="1553"/>
    </row>
    <row r="97" spans="2:3">
      <c r="B97" s="1553"/>
      <c r="C97" s="1553"/>
    </row>
    <row r="98" spans="2:3">
      <c r="B98" s="1553"/>
      <c r="C98" s="1553"/>
    </row>
    <row r="99" spans="2:3">
      <c r="B99" s="1553"/>
      <c r="C99" s="1553"/>
    </row>
    <row r="100" spans="2:3">
      <c r="B100" s="1553"/>
      <c r="C100" s="1553"/>
    </row>
    <row r="101" spans="2:3">
      <c r="B101" s="1553"/>
      <c r="C101" s="1553"/>
    </row>
    <row r="102" spans="2:3">
      <c r="B102" s="1553"/>
      <c r="C102" s="1553"/>
    </row>
    <row r="103" spans="2:3">
      <c r="B103" s="1553"/>
      <c r="C103" s="1553"/>
    </row>
  </sheetData>
  <sheetProtection formatCells="0"/>
  <customSheetViews>
    <customSheetView guid="{B321D76C-CDE5-48BB-9CDE-80FF97D58FCF}" scale="115" showPageBreaks="1" printArea="1" view="pageBreakPreview" topLeftCell="A10">
      <selection activeCell="D33" sqref="D33"/>
      <colBreaks count="1" manualBreakCount="1">
        <brk id="21" max="71" man="1"/>
      </colBreaks>
      <pageMargins left="0.4" right="0.4" top="0.5" bottom="0.5" header="0.3" footer="0.3"/>
      <printOptions horizontalCentered="1"/>
      <pageSetup scale="35" fitToWidth="2" orientation="landscape" r:id="rId1"/>
    </customSheetView>
  </customSheetViews>
  <mergeCells count="6">
    <mergeCell ref="B10:H10"/>
    <mergeCell ref="D4:G4"/>
    <mergeCell ref="D5:G5"/>
    <mergeCell ref="D6:G6"/>
    <mergeCell ref="D8:G8"/>
    <mergeCell ref="D9:G9"/>
  </mergeCells>
  <printOptions horizontalCentered="1"/>
  <pageMargins left="0.4" right="0.4" top="0.5" bottom="0.5" header="0.3" footer="0.3"/>
  <pageSetup scale="35" fitToWidth="2" orientation="landscape" r:id="rId2"/>
  <colBreaks count="1" manualBreakCount="1">
    <brk id="21"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rgb="FF92D050"/>
    <pageSetUpPr fitToPage="1"/>
  </sheetPr>
  <dimension ref="A1:L29"/>
  <sheetViews>
    <sheetView view="pageBreakPreview" zoomScale="80" zoomScaleNormal="100" zoomScaleSheetLayoutView="80" workbookViewId="0">
      <selection activeCell="Q38" sqref="Q38"/>
    </sheetView>
  </sheetViews>
  <sheetFormatPr defaultColWidth="9" defaultRowHeight="13.2"/>
  <cols>
    <col min="1" max="1" width="7.77734375" style="25" bestFit="1" customWidth="1"/>
    <col min="2" max="2" width="9" style="25" bestFit="1" customWidth="1"/>
    <col min="3" max="3" width="41.21875" style="25" bestFit="1" customWidth="1"/>
    <col min="4" max="4" width="16.77734375" style="25" bestFit="1" customWidth="1"/>
    <col min="5" max="5" width="2.77734375" style="25" customWidth="1"/>
    <col min="6" max="6" width="7.21875" style="25" customWidth="1"/>
    <col min="7" max="7" width="1.77734375" style="25" customWidth="1"/>
    <col min="8" max="8" width="34.44140625" style="25" bestFit="1" customWidth="1"/>
    <col min="9" max="10" width="9" style="25"/>
    <col min="11" max="11" width="29.109375" style="25" customWidth="1"/>
    <col min="12" max="16384" width="9" style="25"/>
  </cols>
  <sheetData>
    <row r="1" spans="1:12" s="82" customFormat="1" ht="15.6">
      <c r="A1" s="167" t="s">
        <v>1636</v>
      </c>
      <c r="B1" s="19"/>
      <c r="C1" s="210"/>
      <c r="D1" s="19"/>
      <c r="E1" s="19"/>
      <c r="F1" s="19"/>
      <c r="G1" s="19"/>
      <c r="H1" s="122"/>
      <c r="L1" s="21"/>
    </row>
    <row r="3" spans="1:12" ht="17.399999999999999">
      <c r="A3" s="11"/>
      <c r="B3" s="10"/>
      <c r="C3" s="211"/>
      <c r="D3" s="10"/>
      <c r="E3" s="10"/>
      <c r="F3" s="10"/>
      <c r="G3" s="10"/>
      <c r="H3" s="10"/>
      <c r="I3" s="10"/>
      <c r="J3" s="10"/>
      <c r="K3" s="24"/>
      <c r="L3" s="813"/>
    </row>
    <row r="4" spans="1:12" ht="17.399999999999999">
      <c r="A4" s="1984" t="s">
        <v>200</v>
      </c>
      <c r="B4" s="1984"/>
      <c r="C4" s="1984"/>
      <c r="D4" s="1984"/>
      <c r="E4" s="1984"/>
      <c r="F4" s="1984"/>
      <c r="G4" s="1984"/>
      <c r="H4" s="1984"/>
      <c r="I4" s="66"/>
      <c r="J4" s="66"/>
      <c r="K4" s="66"/>
      <c r="L4" s="66"/>
    </row>
    <row r="5" spans="1:12" ht="17.399999999999999">
      <c r="A5" s="1984" t="s">
        <v>103</v>
      </c>
      <c r="B5" s="1984"/>
      <c r="C5" s="1984"/>
      <c r="D5" s="1984"/>
      <c r="E5" s="1984"/>
      <c r="F5" s="1984"/>
      <c r="G5" s="1984"/>
      <c r="H5" s="1984"/>
      <c r="I5" s="66"/>
      <c r="J5" s="66"/>
      <c r="K5" s="66"/>
      <c r="L5" s="66"/>
    </row>
    <row r="6" spans="1:12" ht="17.399999999999999">
      <c r="A6" s="1985" t="str">
        <f>SUMMARY!A7</f>
        <v>YEAR ENDING DECEMBER 31, 2021</v>
      </c>
      <c r="B6" s="1985"/>
      <c r="C6" s="1985"/>
      <c r="D6" s="1985"/>
      <c r="E6" s="1985"/>
      <c r="F6" s="1985"/>
      <c r="G6" s="1985"/>
      <c r="H6" s="1985"/>
      <c r="I6" s="66"/>
      <c r="J6" s="66"/>
      <c r="K6" s="66"/>
      <c r="L6" s="66"/>
    </row>
    <row r="7" spans="1:12" ht="12" customHeight="1">
      <c r="A7" s="10"/>
      <c r="B7" s="10"/>
      <c r="C7" s="22"/>
      <c r="D7" s="10"/>
      <c r="E7" s="10"/>
      <c r="F7" s="10"/>
      <c r="G7" s="10"/>
      <c r="H7" s="10"/>
      <c r="I7" s="10"/>
      <c r="J7" s="10"/>
      <c r="K7" s="10"/>
      <c r="L7" s="10"/>
    </row>
    <row r="8" spans="1:12" ht="17.399999999999999">
      <c r="A8" s="1986" t="s">
        <v>950</v>
      </c>
      <c r="B8" s="1986"/>
      <c r="C8" s="1986"/>
      <c r="D8" s="1986"/>
      <c r="E8" s="1986"/>
      <c r="F8" s="1986"/>
      <c r="G8" s="1986"/>
      <c r="H8" s="1986"/>
      <c r="I8" s="27"/>
      <c r="J8" s="27"/>
      <c r="K8" s="27"/>
      <c r="L8" s="27"/>
    </row>
    <row r="9" spans="1:12" ht="17.399999999999999">
      <c r="A9" s="1984" t="s">
        <v>779</v>
      </c>
      <c r="B9" s="1984"/>
      <c r="C9" s="1984"/>
      <c r="D9" s="1984"/>
      <c r="E9" s="1984"/>
      <c r="F9" s="1984"/>
      <c r="G9" s="1984"/>
      <c r="H9" s="1984"/>
      <c r="I9" s="66"/>
      <c r="J9" s="66"/>
      <c r="K9" s="66"/>
      <c r="L9" s="66"/>
    </row>
    <row r="11" spans="1:12" s="82" customFormat="1" ht="15"/>
    <row r="12" spans="1:12" s="82" customFormat="1" ht="15"/>
    <row r="13" spans="1:12" s="82" customFormat="1" ht="15.6">
      <c r="D13" s="282" t="s">
        <v>338</v>
      </c>
      <c r="E13" s="249"/>
      <c r="F13" s="283" t="s">
        <v>147</v>
      </c>
      <c r="H13" s="210" t="s">
        <v>341</v>
      </c>
    </row>
    <row r="14" spans="1:12" s="82" customFormat="1" ht="15">
      <c r="B14" s="284" t="s">
        <v>1</v>
      </c>
      <c r="D14" s="285" t="s">
        <v>192</v>
      </c>
      <c r="E14" s="285"/>
      <c r="F14" s="285" t="s">
        <v>193</v>
      </c>
    </row>
    <row r="15" spans="1:12" s="82" customFormat="1" ht="15">
      <c r="B15" s="284"/>
      <c r="D15" s="247"/>
      <c r="E15" s="247"/>
      <c r="F15" s="247"/>
      <c r="G15" s="247"/>
    </row>
    <row r="16" spans="1:12" s="82" customFormat="1" ht="15.6">
      <c r="B16" s="815">
        <v>1</v>
      </c>
      <c r="C16" s="82" t="s">
        <v>452</v>
      </c>
      <c r="D16" s="239">
        <f>SUM('B2-Plant'!Q24:Q25,'B2-Plant'!Q33)</f>
        <v>2808894949.3099995</v>
      </c>
      <c r="E16" s="350"/>
      <c r="F16" s="286"/>
      <c r="G16" s="286"/>
      <c r="H16" s="82" t="s">
        <v>1754</v>
      </c>
    </row>
    <row r="17" spans="2:8" s="82" customFormat="1" ht="15.6">
      <c r="B17" s="815"/>
      <c r="D17" s="239"/>
      <c r="E17" s="239"/>
      <c r="F17" s="239"/>
    </row>
    <row r="18" spans="2:8" s="82" customFormat="1" ht="30.6">
      <c r="B18" s="815">
        <v>2</v>
      </c>
      <c r="C18" s="327" t="s">
        <v>348</v>
      </c>
      <c r="D18" s="239">
        <f>+-'B2-Plant'!Q35</f>
        <v>75862878.109999999</v>
      </c>
      <c r="E18" s="239"/>
      <c r="F18" s="239"/>
      <c r="H18" s="82" t="s">
        <v>1663</v>
      </c>
    </row>
    <row r="19" spans="2:8" s="82" customFormat="1" ht="16.2" thickBot="1">
      <c r="B19" s="815"/>
      <c r="D19" s="239"/>
      <c r="E19" s="239"/>
      <c r="F19" s="239"/>
    </row>
    <row r="20" spans="2:8" s="82" customFormat="1" ht="16.2" thickBot="1">
      <c r="B20" s="815">
        <v>3</v>
      </c>
      <c r="C20" s="167" t="s">
        <v>147</v>
      </c>
      <c r="D20" s="239"/>
      <c r="E20" s="239"/>
      <c r="F20" s="760">
        <f>D18/D16</f>
        <v>2.7008086624469737E-2</v>
      </c>
      <c r="G20" s="358"/>
      <c r="H20" s="82" t="s">
        <v>373</v>
      </c>
    </row>
    <row r="21" spans="2:8" s="82" customFormat="1" ht="15.6">
      <c r="B21" s="167"/>
      <c r="D21" s="239"/>
      <c r="E21" s="239"/>
      <c r="F21" s="239"/>
    </row>
    <row r="22" spans="2:8" s="82" customFormat="1" ht="15.6">
      <c r="B22" s="815">
        <v>4</v>
      </c>
      <c r="C22" s="82" t="s">
        <v>347</v>
      </c>
      <c r="D22" s="239">
        <f>'A1-O&amp;M'!H29</f>
        <v>63139593.979999997</v>
      </c>
      <c r="E22" s="239"/>
      <c r="F22" s="239"/>
      <c r="H22" s="82" t="s">
        <v>945</v>
      </c>
    </row>
    <row r="23" spans="2:8" s="82" customFormat="1" ht="15.6">
      <c r="B23" s="167"/>
      <c r="D23" s="239"/>
      <c r="E23" s="239"/>
      <c r="F23" s="239"/>
    </row>
    <row r="24" spans="2:8" s="82" customFormat="1" ht="15.6">
      <c r="B24" s="815">
        <v>5</v>
      </c>
      <c r="C24" s="167" t="s">
        <v>782</v>
      </c>
      <c r="D24" s="313">
        <f>-D22*F20</f>
        <v>-1705279.6236456879</v>
      </c>
      <c r="E24" s="313"/>
      <c r="F24" s="239"/>
      <c r="H24" s="82" t="s">
        <v>1112</v>
      </c>
    </row>
    <row r="25" spans="2:8" s="82" customFormat="1" ht="15.6">
      <c r="B25" s="815"/>
      <c r="D25" s="239"/>
    </row>
    <row r="26" spans="2:8" s="82" customFormat="1" ht="15.6">
      <c r="B26" s="815"/>
    </row>
    <row r="27" spans="2:8" s="82" customFormat="1" ht="15"/>
    <row r="28" spans="2:8" s="82" customFormat="1" ht="15"/>
    <row r="29" spans="2:8" s="82" customFormat="1" ht="15"/>
  </sheetData>
  <sheetProtection algorithmName="SHA-512" hashValue="8W6/1sRf+RtxZoBJ/2QHMbOmQ0weRIVameRXZQtYYdWlC35wYFREwUkTlNlrlM1IwVXAPVSu+IEx8macDB1log==" saltValue="EhHXCOUPYPm9zRURh1x3jg==" spinCount="100000" sheet="1" objects="1" scenarios="1"/>
  <customSheetViews>
    <customSheetView guid="{B321D76C-CDE5-48BB-9CDE-80FF97D58FCF}" scale="85" showPageBreaks="1" fitToPage="1" printArea="1" view="pageBreakPreview" topLeftCell="A7">
      <selection activeCell="D33" sqref="D33"/>
      <pageMargins left="0.45" right="0.45" top="0.75" bottom="0.75" header="0.3" footer="0.3"/>
      <printOptions horizontalCentered="1"/>
      <pageSetup orientation="landscape" r:id="rId1"/>
    </customSheetView>
  </customSheetViews>
  <mergeCells count="5">
    <mergeCell ref="A4:H4"/>
    <mergeCell ref="A5:H5"/>
    <mergeCell ref="A6:H6"/>
    <mergeCell ref="A8:H8"/>
    <mergeCell ref="A9:H9"/>
  </mergeCells>
  <printOptions horizontalCentered="1"/>
  <pageMargins left="0.45" right="0.45" top="0.75" bottom="0.75" header="0.3" footer="0.3"/>
  <pageSetup orientation="landscape"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tabColor rgb="FF92D050"/>
    <pageSetUpPr fitToPage="1"/>
  </sheetPr>
  <dimension ref="A1:K29"/>
  <sheetViews>
    <sheetView view="pageBreakPreview" zoomScale="80" zoomScaleNormal="100" zoomScaleSheetLayoutView="80" workbookViewId="0">
      <selection activeCell="D18" sqref="D18"/>
    </sheetView>
  </sheetViews>
  <sheetFormatPr defaultColWidth="9" defaultRowHeight="12"/>
  <cols>
    <col min="1" max="1" width="1.44140625" style="1171" customWidth="1"/>
    <col min="2" max="2" width="7.21875" style="1171" customWidth="1"/>
    <col min="3" max="3" width="43.33203125" style="1171" bestFit="1" customWidth="1"/>
    <col min="4" max="4" width="17.109375" style="1171" customWidth="1"/>
    <col min="5" max="5" width="12.44140625" style="1171" bestFit="1" customWidth="1"/>
    <col min="6" max="6" width="34.77734375" style="1171" bestFit="1" customWidth="1"/>
    <col min="7" max="7" width="1.77734375" style="1171" customWidth="1"/>
    <col min="8" max="10" width="9" style="1171"/>
    <col min="11" max="11" width="29.109375" style="1171" customWidth="1"/>
    <col min="12" max="16384" width="9" style="1171"/>
  </cols>
  <sheetData>
    <row r="1" spans="1:11" s="1156" customFormat="1" ht="15.6">
      <c r="A1" s="13" t="s">
        <v>946</v>
      </c>
      <c r="B1" s="19"/>
      <c r="C1" s="1155"/>
      <c r="D1" s="19"/>
      <c r="E1" s="19"/>
      <c r="F1" s="122"/>
      <c r="K1" s="21"/>
    </row>
    <row r="2" spans="1:11" s="1140" customFormat="1"/>
    <row r="3" spans="1:11" s="1140" customFormat="1" ht="17.399999999999999">
      <c r="A3" s="11"/>
      <c r="B3" s="10"/>
      <c r="C3" s="1157"/>
      <c r="D3" s="10"/>
      <c r="E3" s="10"/>
      <c r="F3" s="10"/>
      <c r="G3" s="10"/>
      <c r="H3" s="10"/>
      <c r="I3" s="10"/>
      <c r="J3" s="24"/>
      <c r="K3" s="813"/>
    </row>
    <row r="4" spans="1:11" s="1140" customFormat="1" ht="17.399999999999999">
      <c r="A4" s="1984" t="s">
        <v>200</v>
      </c>
      <c r="B4" s="1984"/>
      <c r="C4" s="1984"/>
      <c r="D4" s="1984"/>
      <c r="E4" s="1984"/>
      <c r="F4" s="1984"/>
      <c r="G4" s="66"/>
      <c r="H4" s="66"/>
      <c r="I4" s="66"/>
      <c r="J4" s="66"/>
      <c r="K4" s="66"/>
    </row>
    <row r="5" spans="1:11" s="1140" customFormat="1" ht="17.399999999999999">
      <c r="A5" s="1984" t="s">
        <v>103</v>
      </c>
      <c r="B5" s="1984"/>
      <c r="C5" s="1984"/>
      <c r="D5" s="1984"/>
      <c r="E5" s="1984"/>
      <c r="F5" s="1984"/>
      <c r="G5" s="66"/>
      <c r="H5" s="66"/>
      <c r="I5" s="66"/>
      <c r="J5" s="66"/>
      <c r="K5" s="66"/>
    </row>
    <row r="6" spans="1:11" s="1140" customFormat="1" ht="17.399999999999999">
      <c r="A6" s="1985" t="str">
        <f>SUMMARY!A7</f>
        <v>YEAR ENDING DECEMBER 31, 2021</v>
      </c>
      <c r="B6" s="1985"/>
      <c r="C6" s="1985"/>
      <c r="D6" s="1985"/>
      <c r="E6" s="1985"/>
      <c r="F6" s="1985"/>
      <c r="G6" s="66"/>
      <c r="H6" s="66"/>
      <c r="I6" s="66"/>
      <c r="J6" s="66"/>
      <c r="K6" s="66"/>
    </row>
    <row r="7" spans="1:11" s="1140" customFormat="1" ht="12" customHeight="1">
      <c r="A7" s="10"/>
      <c r="B7" s="10"/>
      <c r="C7" s="22"/>
      <c r="D7" s="10"/>
      <c r="E7" s="10"/>
      <c r="F7" s="10"/>
      <c r="G7" s="10"/>
      <c r="H7" s="10"/>
      <c r="I7" s="10"/>
      <c r="J7" s="10"/>
      <c r="K7" s="10"/>
    </row>
    <row r="8" spans="1:11" s="1140" customFormat="1" ht="17.399999999999999">
      <c r="A8" s="1986" t="s">
        <v>947</v>
      </c>
      <c r="B8" s="1986"/>
      <c r="C8" s="1986"/>
      <c r="D8" s="1986"/>
      <c r="E8" s="1986"/>
      <c r="F8" s="1986"/>
      <c r="G8" s="27"/>
      <c r="H8" s="27"/>
      <c r="I8" s="27"/>
      <c r="J8" s="27"/>
      <c r="K8" s="27"/>
    </row>
    <row r="9" spans="1:11" s="851" customFormat="1" ht="17.399999999999999">
      <c r="A9" s="1984" t="s">
        <v>780</v>
      </c>
      <c r="B9" s="1984"/>
      <c r="C9" s="1984"/>
      <c r="D9" s="1984"/>
      <c r="E9" s="1984"/>
      <c r="F9" s="1984"/>
      <c r="G9" s="66"/>
      <c r="H9" s="66"/>
      <c r="I9" s="66"/>
      <c r="J9" s="66"/>
      <c r="K9" s="66"/>
    </row>
    <row r="10" spans="1:11" s="851" customFormat="1" ht="17.399999999999999">
      <c r="A10" s="813"/>
      <c r="B10" s="813"/>
      <c r="C10" s="813"/>
      <c r="D10" s="813"/>
      <c r="E10" s="813"/>
      <c r="F10" s="813"/>
      <c r="G10" s="66"/>
      <c r="H10" s="66"/>
      <c r="I10" s="66"/>
      <c r="J10" s="66"/>
      <c r="K10" s="66"/>
    </row>
    <row r="11" spans="1:11" s="851" customFormat="1" ht="17.399999999999999">
      <c r="A11" s="813"/>
      <c r="B11" s="813"/>
      <c r="C11" s="813"/>
      <c r="D11" s="813"/>
      <c r="E11" s="813"/>
      <c r="F11" s="813"/>
      <c r="G11" s="66"/>
      <c r="H11" s="66"/>
      <c r="I11" s="66"/>
      <c r="J11" s="66"/>
      <c r="K11" s="66"/>
    </row>
    <row r="12" spans="1:11" s="851" customFormat="1" ht="13.2"/>
    <row r="13" spans="1:11" s="1158" customFormat="1" ht="15.6">
      <c r="D13" s="1159" t="s">
        <v>338</v>
      </c>
      <c r="E13" s="1160" t="s">
        <v>147</v>
      </c>
      <c r="F13" s="1161" t="s">
        <v>341</v>
      </c>
    </row>
    <row r="14" spans="1:11" s="1158" customFormat="1" ht="15">
      <c r="B14" s="1162" t="s">
        <v>1</v>
      </c>
      <c r="D14" s="1163" t="s">
        <v>192</v>
      </c>
      <c r="E14" s="1163" t="s">
        <v>193</v>
      </c>
    </row>
    <row r="15" spans="1:11" s="1158" customFormat="1" ht="15">
      <c r="B15" s="1162"/>
      <c r="D15" s="1164"/>
      <c r="E15" s="1164"/>
      <c r="F15" s="1164"/>
    </row>
    <row r="16" spans="1:11" s="1158" customFormat="1" ht="15.6">
      <c r="B16" s="1165">
        <v>1</v>
      </c>
      <c r="C16" s="1158" t="s">
        <v>452</v>
      </c>
      <c r="D16" s="499">
        <f>SUM('B2-Plant'!Q24:Q25,'B2-Plant'!Q33)</f>
        <v>2808894949.3099995</v>
      </c>
      <c r="E16" s="499"/>
      <c r="F16" s="1158" t="s">
        <v>948</v>
      </c>
    </row>
    <row r="17" spans="2:6" s="1158" customFormat="1" ht="15.6">
      <c r="B17" s="1165"/>
      <c r="D17" s="499"/>
      <c r="E17" s="499"/>
    </row>
    <row r="18" spans="2:6" s="1158" customFormat="1" ht="15.6">
      <c r="B18" s="1165">
        <v>2</v>
      </c>
      <c r="C18" s="1166" t="s">
        <v>345</v>
      </c>
      <c r="D18" s="499">
        <f>-'B2-Plant'!Q36</f>
        <v>44743653.020000003</v>
      </c>
      <c r="E18" s="499"/>
      <c r="F18" s="1158" t="s">
        <v>1662</v>
      </c>
    </row>
    <row r="19" spans="2:6" s="1158" customFormat="1" ht="16.2" thickBot="1">
      <c r="B19" s="1165"/>
      <c r="D19" s="499"/>
      <c r="E19" s="499"/>
    </row>
    <row r="20" spans="2:6" s="1158" customFormat="1" ht="16.2" thickBot="1">
      <c r="B20" s="1165">
        <v>3</v>
      </c>
      <c r="C20" s="1139" t="s">
        <v>147</v>
      </c>
      <c r="D20" s="499"/>
      <c r="E20" s="1167">
        <f>D18/D16</f>
        <v>1.592927248168936E-2</v>
      </c>
      <c r="F20" s="1158" t="s">
        <v>373</v>
      </c>
    </row>
    <row r="21" spans="2:6" s="1158" customFormat="1" ht="15.6">
      <c r="B21" s="1165"/>
      <c r="D21" s="499"/>
      <c r="E21" s="499"/>
    </row>
    <row r="22" spans="2:6" s="1158" customFormat="1" ht="15.6">
      <c r="B22" s="1165">
        <v>4</v>
      </c>
      <c r="C22" s="1158" t="s">
        <v>347</v>
      </c>
      <c r="D22" s="499">
        <f>'A1-O&amp;M'!H29</f>
        <v>63139593.979999997</v>
      </c>
      <c r="E22" s="499"/>
      <c r="F22" s="1158" t="s">
        <v>949</v>
      </c>
    </row>
    <row r="23" spans="2:6" s="1158" customFormat="1" ht="15.6">
      <c r="B23" s="1165"/>
      <c r="D23" s="499"/>
      <c r="E23" s="499"/>
    </row>
    <row r="24" spans="2:6" s="1158" customFormat="1" ht="15.6">
      <c r="B24" s="1165">
        <v>5</v>
      </c>
      <c r="C24" s="1139" t="s">
        <v>346</v>
      </c>
      <c r="D24" s="1168">
        <f>-D22*E20</f>
        <v>-1005767.7968906531</v>
      </c>
      <c r="E24" s="499"/>
      <c r="F24" s="1158" t="s">
        <v>1113</v>
      </c>
    </row>
    <row r="25" spans="2:6" s="1158" customFormat="1" ht="15.6">
      <c r="D25" s="1169"/>
      <c r="E25" s="1170"/>
    </row>
    <row r="26" spans="2:6" s="1158" customFormat="1" ht="15"/>
    <row r="27" spans="2:6" s="1158" customFormat="1" ht="15"/>
    <row r="28" spans="2:6" s="1158" customFormat="1" ht="15"/>
    <row r="29" spans="2:6" s="1158" customFormat="1" ht="15"/>
  </sheetData>
  <sheetProtection algorithmName="SHA-512" hashValue="n4NSoVYyi3TmnvSKOlckFMleOTIzPN6WngyTvHVwBbExDBT9x2pXRh26+0gOjoek+lYaQZ+juv2yW+yyren7dA==" saltValue="+lpREoECyz+yCtKN5IqQhA==" spinCount="100000" sheet="1" objects="1" scenarios="1"/>
  <customSheetViews>
    <customSheetView guid="{B321D76C-CDE5-48BB-9CDE-80FF97D58FCF}" scale="85" showPageBreaks="1" fitToPage="1" printArea="1" view="pageBreakPreview" topLeftCell="A4">
      <selection activeCell="D33" sqref="D33"/>
      <pageMargins left="0.45" right="0.45" top="0.75" bottom="0.75" header="0.3" footer="0.3"/>
      <printOptions horizontalCentered="1"/>
      <pageSetup orientation="landscape" r:id="rId1"/>
    </customSheetView>
  </customSheetViews>
  <mergeCells count="5">
    <mergeCell ref="A4:F4"/>
    <mergeCell ref="A5:F5"/>
    <mergeCell ref="A6:F6"/>
    <mergeCell ref="A8:F8"/>
    <mergeCell ref="A9:F9"/>
  </mergeCells>
  <printOptions horizontalCentered="1"/>
  <pageMargins left="0.45" right="0.45" top="0.75" bottom="0.75" header="0.3" footer="0.3"/>
  <pageSetup orientation="landscape"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92D050"/>
  </sheetPr>
  <dimension ref="A1:O40"/>
  <sheetViews>
    <sheetView view="pageBreakPreview" zoomScale="80" zoomScaleNormal="100" zoomScaleSheetLayoutView="80" workbookViewId="0">
      <selection activeCell="M44" sqref="M44:M45"/>
    </sheetView>
  </sheetViews>
  <sheetFormatPr defaultColWidth="16.77734375" defaultRowHeight="13.2"/>
  <cols>
    <col min="1" max="1" width="7.77734375" style="851" customWidth="1"/>
    <col min="2" max="2" width="8.77734375" style="1181" customWidth="1"/>
    <col min="3" max="3" width="3" style="1181" customWidth="1"/>
    <col min="4" max="4" width="13.77734375" style="851" customWidth="1"/>
    <col min="5" max="5" width="3.44140625" style="851" customWidth="1"/>
    <col min="6" max="6" width="11.44140625" style="851" bestFit="1" customWidth="1"/>
    <col min="7" max="7" width="3.44140625" style="851" customWidth="1"/>
    <col min="8" max="8" width="14.33203125" style="851" bestFit="1" customWidth="1"/>
    <col min="9" max="9" width="2.77734375" style="851" customWidth="1"/>
    <col min="10" max="10" width="6.109375" style="851" customWidth="1"/>
    <col min="11" max="11" width="29.109375" style="851" customWidth="1"/>
    <col min="12" max="16384" width="16.77734375" style="851"/>
  </cols>
  <sheetData>
    <row r="1" spans="1:15" ht="15.6">
      <c r="A1" s="13" t="s">
        <v>893</v>
      </c>
      <c r="B1" s="91"/>
      <c r="C1" s="91"/>
      <c r="D1" s="13"/>
      <c r="E1" s="19"/>
      <c r="F1" s="1161"/>
      <c r="G1" s="19"/>
      <c r="H1" s="19"/>
      <c r="I1" s="19"/>
      <c r="K1" s="62"/>
    </row>
    <row r="2" spans="1:15" ht="15.6">
      <c r="A2" s="13"/>
      <c r="D2" s="13"/>
      <c r="E2" s="19"/>
      <c r="F2" s="1161"/>
      <c r="G2" s="19"/>
      <c r="H2" s="19"/>
      <c r="I2" s="19"/>
      <c r="J2" s="62"/>
      <c r="K2" s="62"/>
      <c r="L2" s="21"/>
    </row>
    <row r="3" spans="1:15" ht="17.399999999999999">
      <c r="A3" s="11"/>
      <c r="B3" s="95"/>
      <c r="C3" s="95"/>
      <c r="D3" s="11"/>
      <c r="E3" s="10"/>
      <c r="F3" s="1182"/>
      <c r="G3" s="10"/>
      <c r="H3" s="10"/>
      <c r="I3" s="10"/>
      <c r="J3" s="10"/>
      <c r="K3" s="10"/>
      <c r="L3" s="813"/>
    </row>
    <row r="4" spans="1:15" ht="17.399999999999999">
      <c r="A4" s="1984" t="s">
        <v>200</v>
      </c>
      <c r="B4" s="1984"/>
      <c r="C4" s="1984"/>
      <c r="D4" s="1984"/>
      <c r="E4" s="1984"/>
      <c r="F4" s="1984"/>
      <c r="G4" s="1984"/>
      <c r="H4" s="1984"/>
      <c r="I4" s="1984"/>
      <c r="J4" s="1984"/>
      <c r="K4" s="66"/>
      <c r="L4" s="66"/>
    </row>
    <row r="5" spans="1:15" ht="17.399999999999999">
      <c r="A5" s="1984" t="s">
        <v>103</v>
      </c>
      <c r="B5" s="1984"/>
      <c r="C5" s="1984"/>
      <c r="D5" s="1984"/>
      <c r="E5" s="1984"/>
      <c r="F5" s="1984"/>
      <c r="G5" s="1984"/>
      <c r="H5" s="1984"/>
      <c r="I5" s="1984"/>
      <c r="J5" s="1984"/>
      <c r="K5" s="66"/>
      <c r="L5" s="66"/>
    </row>
    <row r="6" spans="1:15" ht="17.399999999999999">
      <c r="A6" s="1985" t="str">
        <f>SUMMARY!A7</f>
        <v>YEAR ENDING DECEMBER 31, 2021</v>
      </c>
      <c r="B6" s="1985"/>
      <c r="C6" s="1985"/>
      <c r="D6" s="1985"/>
      <c r="E6" s="1985"/>
      <c r="F6" s="1985"/>
      <c r="G6" s="1985"/>
      <c r="H6" s="1985"/>
      <c r="I6" s="1985"/>
      <c r="J6" s="1985"/>
      <c r="K6" s="66"/>
      <c r="L6" s="66"/>
    </row>
    <row r="7" spans="1:15" ht="17.399999999999999">
      <c r="A7" s="10"/>
      <c r="B7" s="95"/>
      <c r="C7" s="95"/>
      <c r="D7" s="10"/>
      <c r="E7" s="10"/>
      <c r="F7" s="22"/>
      <c r="G7" s="10"/>
      <c r="H7" s="10"/>
      <c r="I7" s="10"/>
      <c r="J7" s="10"/>
      <c r="K7" s="10"/>
      <c r="L7" s="10"/>
    </row>
    <row r="8" spans="1:15" ht="17.399999999999999">
      <c r="A8" s="1986" t="s">
        <v>951</v>
      </c>
      <c r="B8" s="1986"/>
      <c r="C8" s="1986"/>
      <c r="D8" s="1986"/>
      <c r="E8" s="1986"/>
      <c r="F8" s="1986"/>
      <c r="G8" s="1986"/>
      <c r="H8" s="1986"/>
      <c r="I8" s="1986"/>
      <c r="J8" s="1986"/>
      <c r="K8" s="27"/>
      <c r="L8" s="27"/>
    </row>
    <row r="9" spans="1:15" ht="17.399999999999999">
      <c r="A9" s="1984" t="s">
        <v>757</v>
      </c>
      <c r="B9" s="1984"/>
      <c r="C9" s="1984"/>
      <c r="D9" s="1984"/>
      <c r="E9" s="1984"/>
      <c r="F9" s="1984"/>
      <c r="G9" s="1984"/>
      <c r="H9" s="1984"/>
      <c r="I9" s="1984"/>
      <c r="J9" s="1984"/>
      <c r="K9" s="66"/>
      <c r="L9" s="66"/>
    </row>
    <row r="10" spans="1:15" ht="17.399999999999999">
      <c r="A10" s="66"/>
      <c r="B10" s="820"/>
      <c r="C10" s="820"/>
      <c r="D10" s="66"/>
      <c r="E10" s="66"/>
      <c r="F10" s="66"/>
      <c r="G10" s="66"/>
      <c r="H10" s="66"/>
      <c r="I10" s="66"/>
      <c r="J10" s="66"/>
      <c r="K10" s="66"/>
      <c r="L10" s="66"/>
    </row>
    <row r="11" spans="1:15" ht="17.399999999999999">
      <c r="A11" s="66"/>
      <c r="B11" s="820"/>
      <c r="C11" s="820"/>
      <c r="D11" s="66"/>
      <c r="E11" s="66"/>
      <c r="F11" s="66"/>
      <c r="G11" s="66"/>
      <c r="H11" s="66"/>
      <c r="I11" s="66"/>
      <c r="J11" s="66"/>
      <c r="K11" s="66"/>
      <c r="L11" s="66"/>
    </row>
    <row r="12" spans="1:15" ht="17.399999999999999">
      <c r="A12" s="66"/>
      <c r="D12" s="611" t="s">
        <v>192</v>
      </c>
      <c r="E12" s="66"/>
      <c r="F12" s="612" t="s">
        <v>193</v>
      </c>
      <c r="G12" s="66"/>
      <c r="H12" s="1183" t="s">
        <v>194</v>
      </c>
      <c r="I12" s="66"/>
      <c r="J12" s="66"/>
      <c r="K12" s="66"/>
      <c r="L12" s="66"/>
    </row>
    <row r="13" spans="1:15" s="1158" customFormat="1" ht="15.6">
      <c r="B13" s="1181"/>
      <c r="C13" s="1181"/>
      <c r="D13" s="1165"/>
      <c r="E13" s="1165"/>
      <c r="F13" s="1165"/>
      <c r="G13" s="1165"/>
      <c r="H13" s="1165"/>
      <c r="I13" s="1165"/>
    </row>
    <row r="14" spans="1:15" s="1158" customFormat="1" ht="15.6">
      <c r="B14" s="1184"/>
      <c r="C14" s="1181"/>
      <c r="D14" s="1165" t="s">
        <v>302</v>
      </c>
      <c r="E14" s="1165"/>
      <c r="F14" s="1165"/>
      <c r="G14" s="1165"/>
      <c r="H14" s="1165" t="s">
        <v>751</v>
      </c>
      <c r="I14" s="1165"/>
    </row>
    <row r="15" spans="1:15" s="1158" customFormat="1" ht="15.6">
      <c r="B15" s="1185" t="s">
        <v>1</v>
      </c>
      <c r="C15" s="1184"/>
      <c r="D15" s="1186" t="s">
        <v>303</v>
      </c>
      <c r="E15" s="1165"/>
      <c r="F15" s="1186" t="s">
        <v>2</v>
      </c>
      <c r="G15" s="1187"/>
      <c r="H15" s="1186" t="s">
        <v>338</v>
      </c>
      <c r="I15" s="1187"/>
    </row>
    <row r="16" spans="1:15" s="1158" customFormat="1" ht="15.6">
      <c r="B16" s="1164" t="s">
        <v>471</v>
      </c>
      <c r="C16" s="1188"/>
      <c r="D16" s="1172">
        <v>44227</v>
      </c>
      <c r="E16" s="1165"/>
      <c r="F16" s="1173">
        <v>514180</v>
      </c>
      <c r="G16" s="1191"/>
      <c r="H16" s="1174">
        <v>3425.04</v>
      </c>
      <c r="I16" s="1193"/>
      <c r="K16" s="1189"/>
      <c r="L16" s="1165"/>
      <c r="M16" s="1190"/>
      <c r="N16" s="1191"/>
      <c r="O16" s="1192"/>
    </row>
    <row r="17" spans="2:15" s="1158" customFormat="1" ht="15.6">
      <c r="B17" s="1164" t="s">
        <v>473</v>
      </c>
      <c r="C17" s="1194"/>
      <c r="D17" s="1172">
        <v>44255</v>
      </c>
      <c r="E17" s="1165"/>
      <c r="F17" s="1173">
        <v>514180</v>
      </c>
      <c r="G17" s="1191"/>
      <c r="H17" s="1174">
        <v>4500</v>
      </c>
      <c r="I17" s="1193"/>
      <c r="K17" s="1189"/>
      <c r="L17" s="1165"/>
      <c r="M17" s="1190"/>
      <c r="N17" s="1191"/>
      <c r="O17" s="1192"/>
    </row>
    <row r="18" spans="2:15" s="1158" customFormat="1" ht="15.6">
      <c r="B18" s="1164" t="s">
        <v>494</v>
      </c>
      <c r="C18" s="1194"/>
      <c r="D18" s="1172">
        <v>44286</v>
      </c>
      <c r="E18" s="1165"/>
      <c r="F18" s="1173">
        <v>514180</v>
      </c>
      <c r="G18" s="1191"/>
      <c r="H18" s="1174">
        <v>8565.18</v>
      </c>
      <c r="I18" s="1193"/>
      <c r="K18" s="1189"/>
      <c r="L18" s="1165"/>
      <c r="M18" s="1190"/>
      <c r="N18" s="1191"/>
      <c r="O18" s="1192"/>
    </row>
    <row r="19" spans="2:15" s="1158" customFormat="1" ht="15.6">
      <c r="B19" s="1164" t="s">
        <v>495</v>
      </c>
      <c r="C19" s="1164"/>
      <c r="D19" s="1172">
        <v>44316</v>
      </c>
      <c r="E19" s="1165"/>
      <c r="F19" s="1173">
        <v>514180</v>
      </c>
      <c r="G19" s="1191"/>
      <c r="H19" s="1174">
        <v>3445.12</v>
      </c>
      <c r="I19" s="1193"/>
      <c r="K19" s="1189"/>
      <c r="L19" s="1165"/>
      <c r="M19" s="1190"/>
      <c r="N19" s="1191"/>
      <c r="O19" s="1192"/>
    </row>
    <row r="20" spans="2:15" s="1158" customFormat="1" ht="15.6">
      <c r="B20" s="1164" t="s">
        <v>496</v>
      </c>
      <c r="C20" s="1164"/>
      <c r="D20" s="1172">
        <v>44347</v>
      </c>
      <c r="E20" s="1165"/>
      <c r="F20" s="1173">
        <v>514180</v>
      </c>
      <c r="G20" s="1191"/>
      <c r="H20" s="1175">
        <v>3572.56</v>
      </c>
      <c r="I20" s="1193"/>
      <c r="K20" s="1189"/>
      <c r="L20" s="1165"/>
      <c r="M20" s="1190"/>
      <c r="N20" s="1191"/>
      <c r="O20" s="1195"/>
    </row>
    <row r="21" spans="2:15" s="1158" customFormat="1" ht="15.6">
      <c r="B21" s="1164" t="s">
        <v>497</v>
      </c>
      <c r="C21" s="1164"/>
      <c r="D21" s="1172">
        <v>44377</v>
      </c>
      <c r="E21" s="1165"/>
      <c r="F21" s="1173">
        <v>514180</v>
      </c>
      <c r="G21" s="1191"/>
      <c r="H21" s="1174">
        <v>2897.56</v>
      </c>
      <c r="I21" s="1193"/>
      <c r="K21" s="1189"/>
      <c r="L21" s="1165"/>
      <c r="M21" s="1190"/>
      <c r="N21" s="1191"/>
      <c r="O21" s="1192"/>
    </row>
    <row r="22" spans="2:15" s="1158" customFormat="1" ht="15">
      <c r="B22" s="1164" t="s">
        <v>498</v>
      </c>
      <c r="C22" s="1164"/>
      <c r="D22" s="1176">
        <v>44408</v>
      </c>
      <c r="E22" s="1196"/>
      <c r="F22" s="1177">
        <v>514180</v>
      </c>
      <c r="G22" s="1196"/>
      <c r="H22" s="1174">
        <v>4247.5599999999995</v>
      </c>
      <c r="I22" s="1193"/>
    </row>
    <row r="23" spans="2:15" s="1158" customFormat="1" ht="15.6">
      <c r="B23" s="1164" t="s">
        <v>499</v>
      </c>
      <c r="C23" s="1164"/>
      <c r="D23" s="1176">
        <v>44439</v>
      </c>
      <c r="E23" s="1165"/>
      <c r="F23" s="1177">
        <v>514180</v>
      </c>
      <c r="G23" s="1196"/>
      <c r="H23" s="1174">
        <v>12197.56</v>
      </c>
      <c r="I23" s="1193"/>
    </row>
    <row r="24" spans="2:15" s="1158" customFormat="1" ht="15.6">
      <c r="B24" s="1164" t="s">
        <v>500</v>
      </c>
      <c r="C24" s="1164"/>
      <c r="D24" s="1176">
        <v>44469</v>
      </c>
      <c r="E24" s="1919"/>
      <c r="F24" s="1177">
        <v>514180</v>
      </c>
      <c r="G24" s="1196"/>
      <c r="H24" s="1174">
        <v>1350</v>
      </c>
      <c r="I24" s="1193"/>
    </row>
    <row r="25" spans="2:15" s="1158" customFormat="1" ht="15.6">
      <c r="B25" s="1164" t="s">
        <v>501</v>
      </c>
      <c r="C25" s="1197"/>
      <c r="D25" s="1176">
        <v>44500</v>
      </c>
      <c r="E25" s="1919"/>
      <c r="F25" s="1177">
        <v>514180</v>
      </c>
      <c r="G25" s="1196"/>
      <c r="H25" s="1174">
        <v>4295.12</v>
      </c>
      <c r="I25" s="1193"/>
    </row>
    <row r="26" spans="2:15" s="1158" customFormat="1" ht="15.6">
      <c r="B26" s="1164" t="s">
        <v>502</v>
      </c>
      <c r="C26" s="1197"/>
      <c r="D26" s="1176">
        <v>44530</v>
      </c>
      <c r="E26" s="1919"/>
      <c r="F26" s="1177">
        <v>514180</v>
      </c>
      <c r="G26" s="1196"/>
      <c r="H26" s="1174">
        <v>110901.81</v>
      </c>
      <c r="I26" s="1193"/>
    </row>
    <row r="27" spans="2:15" s="1158" customFormat="1" ht="15.6">
      <c r="B27" s="1164" t="s">
        <v>503</v>
      </c>
      <c r="C27" s="1197"/>
      <c r="D27" s="1176">
        <v>44561</v>
      </c>
      <c r="E27" s="1919"/>
      <c r="F27" s="1177">
        <v>514180</v>
      </c>
      <c r="G27" s="1196"/>
      <c r="H27" s="1174">
        <v>3422.56</v>
      </c>
      <c r="I27" s="1193"/>
    </row>
    <row r="28" spans="2:15" s="1158" customFormat="1" ht="15.6">
      <c r="B28" s="1164" t="s">
        <v>504</v>
      </c>
      <c r="C28" s="1198"/>
      <c r="D28" s="1176"/>
      <c r="E28" s="1919"/>
      <c r="F28" s="1177"/>
      <c r="G28" s="1196"/>
      <c r="H28" s="1174"/>
      <c r="I28" s="1193"/>
    </row>
    <row r="29" spans="2:15" s="1158" customFormat="1" ht="15">
      <c r="B29" s="1164" t="s">
        <v>505</v>
      </c>
      <c r="C29" s="1198"/>
      <c r="D29" s="1176"/>
      <c r="E29" s="1196"/>
      <c r="F29" s="1177"/>
      <c r="G29" s="1196"/>
      <c r="H29" s="1175"/>
      <c r="I29" s="1193"/>
    </row>
    <row r="30" spans="2:15" s="1158" customFormat="1" ht="15">
      <c r="B30" s="1164" t="s">
        <v>506</v>
      </c>
      <c r="C30" s="1198"/>
      <c r="D30" s="1176"/>
      <c r="E30" s="1196"/>
      <c r="F30" s="1177"/>
      <c r="G30" s="1196"/>
      <c r="H30" s="1175"/>
      <c r="I30" s="1193"/>
    </row>
    <row r="31" spans="2:15" s="1158" customFormat="1" ht="15">
      <c r="B31" s="1164" t="s">
        <v>1168</v>
      </c>
      <c r="C31" s="1198"/>
      <c r="D31" s="1176"/>
      <c r="E31" s="1196"/>
      <c r="F31" s="1177"/>
      <c r="G31" s="1196"/>
      <c r="H31" s="1175"/>
      <c r="I31" s="1193"/>
    </row>
    <row r="32" spans="2:15" s="1158" customFormat="1" ht="15">
      <c r="B32" s="1164" t="s">
        <v>1169</v>
      </c>
      <c r="C32" s="1198"/>
      <c r="D32" s="1176"/>
      <c r="E32" s="1196"/>
      <c r="F32" s="1177"/>
      <c r="G32" s="1196"/>
      <c r="H32" s="1175"/>
      <c r="I32" s="1193"/>
    </row>
    <row r="33" spans="2:9" s="1158" customFormat="1" ht="15">
      <c r="B33" s="1164" t="s">
        <v>1170</v>
      </c>
      <c r="C33" s="1198"/>
      <c r="D33" s="1176"/>
      <c r="E33" s="1196"/>
      <c r="F33" s="1177"/>
      <c r="G33" s="1196"/>
      <c r="H33" s="1175"/>
      <c r="I33" s="1193"/>
    </row>
    <row r="34" spans="2:9" s="1158" customFormat="1" ht="15">
      <c r="B34" s="1164" t="s">
        <v>1171</v>
      </c>
      <c r="C34" s="1198"/>
      <c r="D34" s="1176"/>
      <c r="E34" s="1196"/>
      <c r="F34" s="1177"/>
      <c r="G34" s="1196"/>
      <c r="H34" s="1175"/>
      <c r="I34" s="1193"/>
    </row>
    <row r="35" spans="2:9" s="1158" customFormat="1" ht="15">
      <c r="B35" s="1164" t="s">
        <v>541</v>
      </c>
      <c r="C35" s="1198"/>
      <c r="D35" s="1178"/>
      <c r="E35" s="1196"/>
      <c r="F35" s="1179"/>
      <c r="G35" s="1196"/>
      <c r="H35" s="1180"/>
      <c r="I35" s="1193"/>
    </row>
    <row r="36" spans="2:9" s="1158" customFormat="1" ht="15.6">
      <c r="B36" s="1164">
        <v>2</v>
      </c>
      <c r="C36" s="1199"/>
      <c r="D36" s="1196"/>
      <c r="E36" s="1196"/>
      <c r="F36" s="1196" t="s">
        <v>296</v>
      </c>
      <c r="G36" s="1196"/>
      <c r="H36" s="1200">
        <f>SUM(H16:H35)</f>
        <v>162820.07</v>
      </c>
      <c r="I36" s="1201"/>
    </row>
    <row r="37" spans="2:9" s="1158" customFormat="1" ht="15.6">
      <c r="B37" s="1181"/>
      <c r="C37" s="1181"/>
      <c r="H37" s="1139"/>
    </row>
    <row r="38" spans="2:9" s="1158" customFormat="1" ht="15.6">
      <c r="B38" s="1181"/>
      <c r="C38" s="1181"/>
      <c r="H38" s="1139"/>
    </row>
    <row r="39" spans="2:9" s="1158" customFormat="1" ht="15">
      <c r="B39" s="1181"/>
      <c r="C39" s="1181"/>
    </row>
    <row r="40" spans="2:9" s="1158" customFormat="1" ht="15">
      <c r="B40" s="1181"/>
      <c r="C40" s="1181"/>
    </row>
  </sheetData>
  <sortState xmlns:xlrd2="http://schemas.microsoft.com/office/spreadsheetml/2017/richdata2" ref="D16:H28">
    <sortCondition ref="D16:D28"/>
  </sortState>
  <customSheetViews>
    <customSheetView guid="{B321D76C-CDE5-48BB-9CDE-80FF97D58FCF}" scale="85" showPageBreaks="1" printArea="1" view="pageBreakPreview">
      <selection activeCell="D33" sqref="D33"/>
      <pageMargins left="0.7" right="0.7" top="0.75" bottom="0.75" header="0.3" footer="0.3"/>
      <printOptions horizontalCentered="1"/>
      <pageSetup orientation="portrait" r:id="rId1"/>
    </customSheetView>
  </customSheetViews>
  <mergeCells count="5">
    <mergeCell ref="A4:J4"/>
    <mergeCell ref="A5:J5"/>
    <mergeCell ref="A6:J6"/>
    <mergeCell ref="A8:J8"/>
    <mergeCell ref="A9:J9"/>
  </mergeCells>
  <printOptions horizontalCentered="1"/>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3">
    <pageSetUpPr fitToPage="1"/>
  </sheetPr>
  <dimension ref="A1:O55"/>
  <sheetViews>
    <sheetView showGridLines="0" tabSelected="1" defaultGridColor="0" colorId="22" zoomScale="80" zoomScaleNormal="80" zoomScaleSheetLayoutView="80" workbookViewId="0">
      <selection activeCell="B60" sqref="B60"/>
    </sheetView>
  </sheetViews>
  <sheetFormatPr defaultColWidth="13.44140625" defaultRowHeight="12"/>
  <cols>
    <col min="1" max="1" width="8.21875" style="824" customWidth="1"/>
    <col min="2" max="2" width="30.21875" style="824" customWidth="1"/>
    <col min="3" max="3" width="18.21875" style="824" customWidth="1"/>
    <col min="4" max="4" width="18.77734375" style="824" customWidth="1"/>
    <col min="5" max="5" width="18.44140625" style="824" customWidth="1"/>
    <col min="6" max="6" width="39.44140625" style="824" customWidth="1"/>
    <col min="7" max="7" width="16.77734375" style="1797" customWidth="1"/>
    <col min="8" max="8" width="20.109375" style="1945" customWidth="1"/>
    <col min="9" max="10" width="17" style="824" customWidth="1"/>
    <col min="11" max="11" width="20.44140625" style="824" customWidth="1"/>
    <col min="12" max="12" width="22.44140625" style="824" customWidth="1"/>
    <col min="13" max="13" width="15.21875" style="824" bestFit="1" customWidth="1"/>
    <col min="14" max="16384" width="13.44140625" style="824"/>
  </cols>
  <sheetData>
    <row r="1" spans="1:13" ht="15.6">
      <c r="A1" s="4" t="s">
        <v>1155</v>
      </c>
      <c r="B1" s="4"/>
      <c r="C1" s="3"/>
      <c r="D1" s="3"/>
      <c r="E1" s="3"/>
      <c r="F1" s="122"/>
    </row>
    <row r="2" spans="1:13" ht="15">
      <c r="A2" s="3"/>
      <c r="B2" s="825"/>
      <c r="C2" s="3"/>
      <c r="D2" s="3"/>
      <c r="E2" s="3"/>
      <c r="F2" s="3"/>
    </row>
    <row r="5" spans="1:13" ht="15.6">
      <c r="A5" s="1980" t="s">
        <v>199</v>
      </c>
      <c r="B5" s="1980"/>
      <c r="C5" s="1980"/>
      <c r="D5" s="1980"/>
      <c r="E5" s="1980"/>
      <c r="F5" s="1980"/>
      <c r="G5" s="1980"/>
      <c r="H5" s="1980"/>
      <c r="I5" s="1980"/>
    </row>
    <row r="6" spans="1:13" ht="15.6">
      <c r="A6" s="1980" t="s">
        <v>103</v>
      </c>
      <c r="B6" s="1980"/>
      <c r="C6" s="1980"/>
      <c r="D6" s="1980"/>
      <c r="E6" s="1980"/>
      <c r="F6" s="1980"/>
      <c r="G6" s="1980"/>
      <c r="H6" s="1980"/>
      <c r="I6" s="1980"/>
    </row>
    <row r="7" spans="1:13" ht="15.6">
      <c r="A7" s="1981" t="s">
        <v>2047</v>
      </c>
      <c r="B7" s="1981"/>
      <c r="C7" s="1981"/>
      <c r="D7" s="1981"/>
      <c r="E7" s="1981"/>
      <c r="F7" s="1981"/>
      <c r="G7" s="1981"/>
      <c r="H7" s="1981"/>
      <c r="I7" s="1981"/>
    </row>
    <row r="10" spans="1:13" ht="15.6">
      <c r="A10" s="1982" t="s">
        <v>351</v>
      </c>
      <c r="B10" s="1982"/>
      <c r="C10" s="1982"/>
      <c r="D10" s="1982"/>
      <c r="E10" s="1982"/>
      <c r="F10" s="1982"/>
      <c r="G10" s="1982"/>
      <c r="H10" s="1982"/>
      <c r="I10" s="1982"/>
    </row>
    <row r="11" spans="1:13" ht="15.6">
      <c r="A11" s="3"/>
      <c r="B11" s="3"/>
      <c r="C11" s="4" t="s">
        <v>89</v>
      </c>
      <c r="D11" s="3"/>
      <c r="E11" s="3"/>
      <c r="F11" s="3"/>
      <c r="G11" s="1798"/>
      <c r="H11" s="1946"/>
    </row>
    <row r="14" spans="1:13" s="826" customFormat="1" ht="15.6">
      <c r="B14" s="102"/>
      <c r="C14" s="102"/>
      <c r="D14" s="102"/>
      <c r="E14" s="102"/>
      <c r="F14" s="102"/>
      <c r="G14" s="1799"/>
      <c r="H14" s="1947"/>
    </row>
    <row r="15" spans="1:13" s="827" customFormat="1" ht="15.6">
      <c r="A15" s="566" t="s">
        <v>1</v>
      </c>
      <c r="B15" s="567" t="s">
        <v>90</v>
      </c>
      <c r="C15" s="3"/>
      <c r="D15" s="290" t="s">
        <v>358</v>
      </c>
      <c r="E15" s="3"/>
      <c r="F15" s="540" t="s">
        <v>55</v>
      </c>
      <c r="G15" s="1798"/>
      <c r="H15" s="1946"/>
      <c r="M15" s="1960"/>
    </row>
    <row r="16" spans="1:13" s="827" customFormat="1" ht="15">
      <c r="A16" s="3"/>
      <c r="B16" s="3"/>
      <c r="C16" s="3"/>
      <c r="D16" s="291" t="s">
        <v>6</v>
      </c>
      <c r="E16" s="3"/>
      <c r="F16" s="291" t="s">
        <v>7</v>
      </c>
      <c r="G16" s="1800"/>
      <c r="H16" s="1948"/>
      <c r="M16" s="1961"/>
    </row>
    <row r="17" spans="1:13" s="828" customFormat="1" ht="15.6">
      <c r="G17" s="1952"/>
      <c r="H17" s="1949"/>
      <c r="I17" s="1928"/>
      <c r="J17" s="1943"/>
      <c r="K17" s="1935"/>
      <c r="L17" s="1944"/>
      <c r="M17" s="121"/>
    </row>
    <row r="18" spans="1:13" s="828" customFormat="1" ht="15.6">
      <c r="A18" s="811">
        <v>1</v>
      </c>
      <c r="B18" s="3" t="s">
        <v>91</v>
      </c>
      <c r="C18" s="3"/>
      <c r="D18" s="546">
        <f>'A1-O&amp;M'!J37</f>
        <v>86725400.309463665</v>
      </c>
      <c r="E18" s="3"/>
      <c r="F18" s="568" t="s">
        <v>885</v>
      </c>
      <c r="G18" s="1953"/>
      <c r="H18" s="1946"/>
      <c r="I18" s="1930"/>
      <c r="J18" s="1930"/>
      <c r="K18" s="1937"/>
      <c r="L18" s="1937"/>
      <c r="M18" s="1962"/>
    </row>
    <row r="19" spans="1:13" s="828" customFormat="1" ht="15">
      <c r="D19" s="545"/>
      <c r="G19" s="1953"/>
      <c r="H19" s="1946"/>
      <c r="I19" s="1929"/>
      <c r="J19" s="1930"/>
      <c r="K19" s="1937"/>
      <c r="L19" s="1936"/>
      <c r="M19" s="1963"/>
    </row>
    <row r="20" spans="1:13" s="828" customFormat="1" ht="15.6">
      <c r="A20" s="811">
        <v>2</v>
      </c>
      <c r="B20" s="3" t="s">
        <v>93</v>
      </c>
      <c r="C20" s="3"/>
      <c r="D20" s="546">
        <f>'A2-A&amp;G'!J40</f>
        <v>84292554.520792246</v>
      </c>
      <c r="E20" s="3"/>
      <c r="F20" s="568" t="s">
        <v>886</v>
      </c>
      <c r="G20" s="1953"/>
      <c r="H20" s="1946"/>
      <c r="I20" s="1929"/>
      <c r="J20" s="1930"/>
      <c r="K20" s="1937"/>
      <c r="L20" s="1937"/>
      <c r="M20"/>
    </row>
    <row r="21" spans="1:13" s="828" customFormat="1" ht="15">
      <c r="D21" s="545"/>
      <c r="E21" s="829"/>
      <c r="G21" s="1953"/>
      <c r="H21" s="1946"/>
      <c r="I21" s="1929"/>
      <c r="J21" s="1930"/>
      <c r="K21" s="1937"/>
      <c r="L21" s="1936"/>
      <c r="M21"/>
    </row>
    <row r="22" spans="1:13" s="828" customFormat="1" ht="15.6">
      <c r="A22" s="811">
        <v>3</v>
      </c>
      <c r="B22" s="3" t="s">
        <v>92</v>
      </c>
      <c r="C22" s="3"/>
      <c r="D22" s="546">
        <f>'B1-Depn'!P47</f>
        <v>54135475.739718936</v>
      </c>
      <c r="E22" s="752"/>
      <c r="F22" s="568" t="s">
        <v>881</v>
      </c>
      <c r="G22" s="1953"/>
      <c r="H22" s="1946"/>
      <c r="I22" s="1929"/>
      <c r="J22" s="1930"/>
      <c r="K22" s="1937"/>
      <c r="L22" s="1937"/>
      <c r="M22"/>
    </row>
    <row r="23" spans="1:13" s="828" customFormat="1" ht="15">
      <c r="D23" s="830"/>
      <c r="G23" s="1953"/>
      <c r="H23" s="1946"/>
      <c r="I23" s="1929"/>
      <c r="J23" s="1930"/>
      <c r="K23" s="1937"/>
      <c r="L23" s="1936"/>
      <c r="M23"/>
    </row>
    <row r="24" spans="1:13" s="828" customFormat="1" ht="15.6">
      <c r="A24" s="811">
        <v>4</v>
      </c>
      <c r="B24" s="4" t="s">
        <v>94</v>
      </c>
      <c r="C24" s="3"/>
      <c r="D24" s="589">
        <f>SUM(D18:D22)</f>
        <v>225153430.56997487</v>
      </c>
      <c r="E24" s="3"/>
      <c r="F24" s="3" t="s">
        <v>593</v>
      </c>
      <c r="G24" s="1953"/>
      <c r="H24" s="1946"/>
      <c r="I24" s="1930"/>
      <c r="J24" s="1930"/>
      <c r="K24" s="1938"/>
      <c r="L24" s="1938"/>
      <c r="M24"/>
    </row>
    <row r="25" spans="1:13" s="828" customFormat="1" ht="15">
      <c r="D25" s="545"/>
      <c r="G25" s="1953"/>
      <c r="H25" s="1946"/>
      <c r="I25" s="1929"/>
      <c r="J25" s="1930"/>
      <c r="K25" s="1937"/>
      <c r="L25" s="1936"/>
      <c r="M25"/>
    </row>
    <row r="26" spans="1:13" s="828" customFormat="1" ht="16.2" thickBot="1">
      <c r="A26" s="811">
        <v>5</v>
      </c>
      <c r="B26" s="540" t="s">
        <v>95</v>
      </c>
      <c r="C26" s="3"/>
      <c r="D26" s="590">
        <f>'C1-Rate Base'!L31</f>
        <v>1333796028.0890124</v>
      </c>
      <c r="E26" s="3"/>
      <c r="F26" s="568" t="s">
        <v>882</v>
      </c>
      <c r="G26" s="1953"/>
      <c r="H26" s="1946"/>
      <c r="I26" s="1929"/>
      <c r="J26" s="1930"/>
      <c r="K26" s="1938"/>
      <c r="L26" s="1938"/>
      <c r="M26"/>
    </row>
    <row r="27" spans="1:13" s="828" customFormat="1" ht="15.6" thickTop="1">
      <c r="D27" s="545"/>
      <c r="G27" s="1953"/>
      <c r="H27" s="1946"/>
      <c r="I27" s="1929"/>
      <c r="J27" s="1930"/>
      <c r="K27" s="1937"/>
      <c r="L27" s="1936"/>
      <c r="M27"/>
    </row>
    <row r="28" spans="1:13" s="828" customFormat="1" ht="15.6">
      <c r="A28" s="811">
        <v>6</v>
      </c>
      <c r="B28" s="3" t="s">
        <v>96</v>
      </c>
      <c r="C28" s="3"/>
      <c r="D28" s="670">
        <f>'C1-Rate Base'!P31</f>
        <v>90070806.358178213</v>
      </c>
      <c r="E28" s="3"/>
      <c r="F28" s="568" t="s">
        <v>883</v>
      </c>
      <c r="G28" s="1953"/>
      <c r="H28" s="1946"/>
      <c r="I28" s="1929"/>
      <c r="J28" s="1930"/>
      <c r="K28" s="1937"/>
      <c r="L28" s="1937"/>
      <c r="M28"/>
    </row>
    <row r="29" spans="1:13" s="828" customFormat="1" ht="15">
      <c r="D29" s="545"/>
      <c r="G29" s="1953"/>
      <c r="H29" s="1946"/>
      <c r="I29" s="1929"/>
      <c r="J29" s="1930"/>
      <c r="K29" s="1936"/>
      <c r="L29" s="1936"/>
      <c r="M29"/>
    </row>
    <row r="30" spans="1:13" s="828" customFormat="1" ht="15.6">
      <c r="A30" s="811" t="s">
        <v>1366</v>
      </c>
      <c r="B30" s="3" t="s">
        <v>1712</v>
      </c>
      <c r="C30" s="3"/>
      <c r="D30" s="1531">
        <f>'D2-Project Cap Structures'!H54</f>
        <v>262162.40056736208</v>
      </c>
      <c r="E30" s="3"/>
      <c r="F30" s="568" t="s">
        <v>1748</v>
      </c>
      <c r="G30" s="1953"/>
      <c r="H30" s="1946"/>
      <c r="I30" s="1929"/>
      <c r="J30" s="1930"/>
      <c r="K30" s="1937"/>
      <c r="L30" s="1937"/>
      <c r="M30"/>
    </row>
    <row r="31" spans="1:13" s="828" customFormat="1" ht="15.6">
      <c r="D31" s="588"/>
      <c r="E31" s="588"/>
      <c r="G31" s="1953"/>
      <c r="H31" s="1946"/>
      <c r="I31" s="1929"/>
      <c r="J31" s="1930"/>
      <c r="K31" s="1936"/>
      <c r="L31" s="1936"/>
      <c r="M31"/>
    </row>
    <row r="32" spans="1:13" s="828" customFormat="1" ht="15.6">
      <c r="A32" s="811">
        <v>7</v>
      </c>
      <c r="B32" s="4" t="s">
        <v>454</v>
      </c>
      <c r="C32" s="3"/>
      <c r="D32" s="588">
        <f>D24+D28+D30</f>
        <v>315486399.32872045</v>
      </c>
      <c r="E32" s="3"/>
      <c r="F32" s="568" t="s">
        <v>1713</v>
      </c>
      <c r="G32" s="1953"/>
      <c r="H32" s="1946"/>
      <c r="I32" s="1929"/>
      <c r="J32" s="1930"/>
      <c r="K32" s="1938"/>
      <c r="L32" s="1937"/>
      <c r="M32"/>
    </row>
    <row r="33" spans="1:15" s="827" customFormat="1" ht="15">
      <c r="G33" s="1954"/>
      <c r="H33" s="1948"/>
      <c r="I33" s="1931"/>
      <c r="J33" s="1930"/>
      <c r="K33" s="1939"/>
      <c r="L33" s="1940"/>
      <c r="M33"/>
    </row>
    <row r="34" spans="1:15" s="827" customFormat="1" ht="15.6">
      <c r="A34" s="811">
        <v>8</v>
      </c>
      <c r="B34" s="832" t="s">
        <v>840</v>
      </c>
      <c r="C34" s="828"/>
      <c r="D34" s="545">
        <f>+'F1-Proj RR'!O67</f>
        <v>0</v>
      </c>
      <c r="E34" s="833"/>
      <c r="F34" s="833" t="s">
        <v>1134</v>
      </c>
      <c r="G34" s="1953"/>
      <c r="H34" s="1946"/>
      <c r="I34" s="1932"/>
      <c r="J34" s="1930"/>
      <c r="K34" s="1941"/>
      <c r="L34" s="1940"/>
      <c r="M34"/>
    </row>
    <row r="35" spans="1:15" s="827" customFormat="1" ht="15">
      <c r="A35" s="834"/>
      <c r="G35" s="1954"/>
      <c r="H35" s="1948"/>
      <c r="I35" s="1931"/>
      <c r="J35" s="1930"/>
      <c r="K35" s="1942"/>
      <c r="L35" s="1940"/>
      <c r="M35"/>
    </row>
    <row r="36" spans="1:15" s="827" customFormat="1" ht="15.6">
      <c r="A36" s="811">
        <v>9</v>
      </c>
      <c r="B36" s="832" t="s">
        <v>591</v>
      </c>
      <c r="C36" s="828"/>
      <c r="D36" s="1802">
        <f>+'F3-True-Up'!J30</f>
        <v>69337733.239376858</v>
      </c>
      <c r="E36" s="835"/>
      <c r="F36" s="836" t="s">
        <v>1135</v>
      </c>
      <c r="G36" s="1953"/>
      <c r="H36" s="1946"/>
      <c r="I36" s="1933"/>
      <c r="J36" s="1930"/>
      <c r="K36" s="1942"/>
      <c r="L36" s="1937"/>
      <c r="M36"/>
    </row>
    <row r="37" spans="1:15" s="827" customFormat="1" ht="15">
      <c r="A37" s="834"/>
      <c r="B37" s="832"/>
      <c r="C37" s="828"/>
      <c r="D37" s="837"/>
      <c r="E37" s="838"/>
      <c r="F37" s="833"/>
      <c r="G37" s="1955"/>
      <c r="H37" s="1950"/>
      <c r="I37" s="1931"/>
      <c r="J37" s="1930"/>
      <c r="K37" s="1942"/>
      <c r="L37" s="1940"/>
      <c r="M37"/>
    </row>
    <row r="38" spans="1:15" s="827" customFormat="1" ht="15.6">
      <c r="A38" s="811">
        <v>10</v>
      </c>
      <c r="B38" s="839" t="s">
        <v>592</v>
      </c>
      <c r="C38" s="828"/>
      <c r="D38" s="840">
        <f>+D32+D36+D34</f>
        <v>384824132.56809729</v>
      </c>
      <c r="E38" s="841"/>
      <c r="F38" s="842" t="s">
        <v>842</v>
      </c>
      <c r="G38" s="1953"/>
      <c r="H38" s="1946"/>
      <c r="I38" s="1933"/>
      <c r="J38" s="1930"/>
      <c r="K38" s="1942"/>
      <c r="L38" s="1937"/>
      <c r="M38"/>
    </row>
    <row r="39" spans="1:15" s="827" customFormat="1" ht="15">
      <c r="A39" s="828"/>
      <c r="B39" s="828"/>
      <c r="C39" s="828"/>
      <c r="D39" s="828"/>
      <c r="E39" s="843"/>
      <c r="F39" s="828"/>
      <c r="G39" s="1953"/>
      <c r="H39" s="1946"/>
      <c r="I39" s="1933"/>
      <c r="J39" s="1930"/>
      <c r="K39" s="1942"/>
      <c r="L39" s="1940"/>
      <c r="M39"/>
      <c r="O39" s="842"/>
    </row>
    <row r="40" spans="1:15" s="827" customFormat="1" ht="15.6">
      <c r="A40" s="811"/>
      <c r="B40" s="548" t="s">
        <v>594</v>
      </c>
      <c r="C40" s="828"/>
      <c r="D40" s="828"/>
      <c r="E40" s="843"/>
      <c r="F40" s="828"/>
      <c r="G40" s="1953"/>
      <c r="H40" s="1946"/>
      <c r="I40" s="1930"/>
      <c r="J40" s="1930"/>
      <c r="K40" s="1942"/>
      <c r="L40" s="1940"/>
      <c r="M40"/>
      <c r="O40" s="842"/>
    </row>
    <row r="41" spans="1:15" s="827" customFormat="1" ht="15">
      <c r="A41" s="828"/>
      <c r="B41" s="828"/>
      <c r="C41" s="828"/>
      <c r="D41" s="828"/>
      <c r="E41" s="843"/>
      <c r="F41" s="828"/>
      <c r="G41" s="1953"/>
      <c r="H41" s="1946"/>
      <c r="I41" s="1930"/>
      <c r="J41" s="1930"/>
      <c r="K41" s="1942"/>
      <c r="L41" s="1940"/>
      <c r="M41"/>
      <c r="O41" s="842"/>
    </row>
    <row r="42" spans="1:15" s="827" customFormat="1" ht="15.6">
      <c r="A42" s="811">
        <v>11</v>
      </c>
      <c r="B42" s="828" t="s">
        <v>777</v>
      </c>
      <c r="C42" s="828"/>
      <c r="D42" s="545">
        <f>+'F1-Proj RR'!T47</f>
        <v>364242802.62586367</v>
      </c>
      <c r="E42" s="843"/>
      <c r="F42" s="842" t="s">
        <v>1131</v>
      </c>
      <c r="G42" s="1953"/>
      <c r="H42" s="1946"/>
      <c r="I42" s="1934"/>
      <c r="J42" s="1930"/>
      <c r="K42" s="1942"/>
      <c r="L42" s="1937"/>
      <c r="M42"/>
      <c r="O42" s="842"/>
    </row>
    <row r="43" spans="1:15" s="827" customFormat="1" ht="15.6">
      <c r="A43" s="811" t="s">
        <v>1078</v>
      </c>
      <c r="B43" s="828" t="s">
        <v>1156</v>
      </c>
      <c r="C43" s="828"/>
      <c r="D43" s="545">
        <f>+'F1-Proj RR'!T48</f>
        <v>8291305.7409385554</v>
      </c>
      <c r="E43" s="843"/>
      <c r="F43" s="842" t="s">
        <v>1133</v>
      </c>
      <c r="G43" s="1953"/>
      <c r="H43" s="1946"/>
      <c r="I43" s="1934"/>
      <c r="J43" s="1930"/>
      <c r="K43" s="1942"/>
      <c r="L43" s="1937"/>
      <c r="M43"/>
      <c r="O43" s="842"/>
    </row>
    <row r="44" spans="1:15" s="827" customFormat="1" ht="15.6">
      <c r="A44" s="811" t="s">
        <v>1079</v>
      </c>
      <c r="B44" s="828" t="s">
        <v>2058</v>
      </c>
      <c r="C44" s="828"/>
      <c r="D44" s="545">
        <f>+'F1-Proj RR'!T49</f>
        <v>12290024.201295082</v>
      </c>
      <c r="E44" s="828"/>
      <c r="F44" s="842" t="s">
        <v>1132</v>
      </c>
      <c r="G44" s="1953"/>
      <c r="H44" s="1946"/>
      <c r="I44" s="1934"/>
      <c r="J44" s="1930"/>
      <c r="K44" s="1942"/>
      <c r="L44" s="1937"/>
      <c r="M44"/>
      <c r="O44" s="842"/>
    </row>
    <row r="45" spans="1:15" s="827" customFormat="1" ht="15.6">
      <c r="A45" s="811" t="s">
        <v>1080</v>
      </c>
      <c r="B45" s="845">
        <v>0</v>
      </c>
      <c r="C45" s="828"/>
      <c r="D45" s="545">
        <f>+'F1-Proj RR'!T50</f>
        <v>0</v>
      </c>
      <c r="E45" s="828"/>
      <c r="F45" s="846"/>
      <c r="G45" s="1798"/>
      <c r="H45" s="1946"/>
      <c r="I45" s="831"/>
      <c r="J45" s="842"/>
      <c r="K45" s="842"/>
      <c r="M45"/>
      <c r="O45" s="842"/>
    </row>
    <row r="46" spans="1:15" s="827" customFormat="1" ht="15.6">
      <c r="A46" s="811" t="s">
        <v>541</v>
      </c>
      <c r="B46" s="845">
        <v>0</v>
      </c>
      <c r="C46" s="828"/>
      <c r="D46" s="545">
        <f>+'F1-Proj RR'!T51</f>
        <v>0</v>
      </c>
      <c r="E46" s="828"/>
      <c r="F46" s="847">
        <v>0</v>
      </c>
      <c r="G46" s="1798"/>
      <c r="H46" s="1946"/>
      <c r="I46" s="831"/>
      <c r="J46" s="842"/>
      <c r="K46" s="842"/>
      <c r="M46"/>
      <c r="O46" s="842"/>
    </row>
    <row r="47" spans="1:15" s="827" customFormat="1" ht="15">
      <c r="A47" s="828"/>
      <c r="B47" s="828"/>
      <c r="C47" s="828"/>
      <c r="D47" s="830"/>
      <c r="E47" s="828"/>
      <c r="F47" s="828"/>
      <c r="G47" s="1798"/>
      <c r="H47" s="1946"/>
      <c r="I47" s="831"/>
      <c r="J47" s="842"/>
      <c r="K47" s="842"/>
      <c r="M47"/>
      <c r="O47" s="842"/>
    </row>
    <row r="48" spans="1:15" s="827" customFormat="1" ht="16.2" thickBot="1">
      <c r="A48" s="811">
        <v>12</v>
      </c>
      <c r="B48" s="828" t="s">
        <v>595</v>
      </c>
      <c r="C48" s="828"/>
      <c r="D48" s="590">
        <f>SUM(D42:D47)</f>
        <v>384824132.56809729</v>
      </c>
      <c r="E48" s="828"/>
      <c r="F48" s="842" t="s">
        <v>1081</v>
      </c>
      <c r="G48" s="1798"/>
      <c r="H48" s="1946"/>
      <c r="I48" s="831"/>
      <c r="J48" s="842"/>
      <c r="M48"/>
    </row>
    <row r="49" spans="1:13" s="827" customFormat="1" ht="15.6" thickTop="1">
      <c r="A49" s="828"/>
      <c r="B49" s="828"/>
      <c r="C49" s="828"/>
      <c r="D49" s="828"/>
      <c r="E49" s="828"/>
      <c r="F49" s="828"/>
      <c r="G49" s="1798"/>
      <c r="H49" s="1946"/>
      <c r="I49" s="828"/>
      <c r="J49" s="828"/>
      <c r="M49"/>
    </row>
    <row r="50" spans="1:13" s="827" customFormat="1" ht="15">
      <c r="A50" s="828"/>
      <c r="B50" s="828"/>
      <c r="C50" s="828"/>
      <c r="D50" s="828"/>
      <c r="E50" s="828"/>
      <c r="F50" s="828"/>
      <c r="G50" s="1798"/>
      <c r="H50" s="1946"/>
      <c r="I50" s="828"/>
      <c r="J50" s="828"/>
      <c r="M50"/>
    </row>
    <row r="51" spans="1:13" s="827" customFormat="1" ht="15" customHeight="1">
      <c r="A51" s="828" t="s">
        <v>767</v>
      </c>
      <c r="B51" s="1983" t="s">
        <v>778</v>
      </c>
      <c r="C51" s="1983"/>
      <c r="D51" s="1983"/>
      <c r="E51" s="1983"/>
      <c r="F51" s="1983"/>
      <c r="G51" s="1801"/>
      <c r="H51" s="1951"/>
      <c r="I51" s="844"/>
      <c r="J51" s="828"/>
      <c r="M51"/>
    </row>
    <row r="52" spans="1:13" s="827" customFormat="1" ht="15">
      <c r="A52" s="828"/>
      <c r="B52" s="1983"/>
      <c r="C52" s="1983"/>
      <c r="D52" s="1983"/>
      <c r="E52" s="1983"/>
      <c r="F52" s="1983"/>
      <c r="G52" s="1801"/>
      <c r="H52" s="1951"/>
      <c r="I52" s="844"/>
      <c r="J52" s="828"/>
      <c r="M52" s="824"/>
    </row>
    <row r="53" spans="1:13" ht="15.6">
      <c r="A53" s="862"/>
      <c r="B53" s="862"/>
      <c r="C53" s="862"/>
      <c r="D53" s="862"/>
      <c r="E53" s="862"/>
      <c r="F53" s="862"/>
      <c r="G53" s="1799"/>
      <c r="H53" s="1947"/>
      <c r="I53" s="862"/>
      <c r="J53" s="862"/>
    </row>
    <row r="54" spans="1:13">
      <c r="D54" s="863"/>
    </row>
    <row r="55" spans="1:13">
      <c r="D55" s="863"/>
    </row>
  </sheetData>
  <customSheetViews>
    <customSheetView guid="{B321D76C-CDE5-48BB-9CDE-80FF97D58FCF}" scale="80" colorId="22" showPageBreaks="1" showGridLines="0" fitToPage="1" printArea="1" view="pageBreakPreview">
      <selection activeCell="A7" sqref="A7:H7"/>
      <pageMargins left="0.5" right="0.5" top="1" bottom="1" header="0.5" footer="0.5"/>
      <printOptions horizontalCentered="1"/>
      <pageSetup scale="58" orientation="landscape" r:id="rId1"/>
      <headerFooter alignWithMargins="0"/>
    </customSheetView>
  </customSheetViews>
  <mergeCells count="5">
    <mergeCell ref="A5:I5"/>
    <mergeCell ref="A6:I6"/>
    <mergeCell ref="A7:I7"/>
    <mergeCell ref="A10:I10"/>
    <mergeCell ref="B51:F52"/>
  </mergeCells>
  <phoneticPr fontId="0" type="noConversion"/>
  <printOptions horizontalCentered="1"/>
  <pageMargins left="0.5" right="0.5" top="1" bottom="1" header="0.5" footer="0.5"/>
  <pageSetup scale="60"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92D050"/>
    <pageSetUpPr fitToPage="1"/>
  </sheetPr>
  <dimension ref="A1:P25"/>
  <sheetViews>
    <sheetView view="pageBreakPreview" zoomScale="80" zoomScaleNormal="100" zoomScaleSheetLayoutView="80" workbookViewId="0">
      <selection activeCell="H15" sqref="H15"/>
    </sheetView>
  </sheetViews>
  <sheetFormatPr defaultColWidth="9" defaultRowHeight="13.2"/>
  <cols>
    <col min="1" max="1" width="6.77734375" style="1181" customWidth="1"/>
    <col min="2" max="2" width="7.44140625" style="1181" bestFit="1" customWidth="1"/>
    <col min="3" max="3" width="5" style="1181" customWidth="1"/>
    <col min="4" max="4" width="35.44140625" style="1181" bestFit="1" customWidth="1"/>
    <col min="5" max="5" width="14.44140625" style="1181" bestFit="1" customWidth="1"/>
    <col min="6" max="6" width="3.44140625" style="1181" customWidth="1"/>
    <col min="7" max="7" width="2.109375" style="1181" customWidth="1"/>
    <col min="8" max="8" width="15.21875" style="1181" bestFit="1" customWidth="1"/>
    <col min="9" max="9" width="8.44140625" style="1181" customWidth="1"/>
    <col min="10" max="10" width="13.33203125" style="1181" bestFit="1" customWidth="1"/>
    <col min="11" max="11" width="29.109375" style="1181" customWidth="1"/>
    <col min="12" max="12" width="41.33203125" style="1181" customWidth="1"/>
    <col min="13" max="13" width="10" style="1181" bestFit="1" customWidth="1"/>
    <col min="14" max="14" width="17.109375" style="1181" bestFit="1" customWidth="1"/>
    <col min="15" max="16384" width="9" style="1181"/>
  </cols>
  <sheetData>
    <row r="1" spans="1:16" s="1184" customFormat="1" ht="15.6">
      <c r="A1" s="13" t="s">
        <v>952</v>
      </c>
      <c r="B1" s="91"/>
      <c r="C1" s="91"/>
      <c r="D1" s="1204"/>
      <c r="E1" s="1204"/>
      <c r="F1" s="1204"/>
      <c r="G1" s="1204"/>
      <c r="H1" s="1204"/>
      <c r="I1" s="91"/>
      <c r="J1" s="91"/>
      <c r="K1" s="91"/>
      <c r="L1" s="128"/>
      <c r="P1" s="129"/>
    </row>
    <row r="3" spans="1:16" ht="17.399999999999999">
      <c r="A3" s="94"/>
      <c r="B3" s="95"/>
      <c r="C3" s="95"/>
      <c r="D3" s="1205"/>
      <c r="E3" s="1205"/>
      <c r="F3" s="1205"/>
      <c r="G3" s="1205"/>
      <c r="H3" s="1205"/>
      <c r="I3" s="95"/>
      <c r="J3" s="95"/>
      <c r="K3" s="95"/>
      <c r="L3" s="95"/>
      <c r="M3" s="95"/>
      <c r="N3" s="95"/>
      <c r="O3" s="95"/>
      <c r="P3" s="820"/>
    </row>
    <row r="4" spans="1:16" ht="17.399999999999999">
      <c r="A4" s="2033" t="s">
        <v>200</v>
      </c>
      <c r="B4" s="2033"/>
      <c r="C4" s="2033"/>
      <c r="D4" s="2033"/>
      <c r="E4" s="2033"/>
      <c r="F4" s="2033"/>
      <c r="G4" s="2033"/>
      <c r="H4" s="2033"/>
      <c r="I4" s="131"/>
      <c r="J4" s="131"/>
      <c r="K4" s="131"/>
      <c r="L4" s="131"/>
      <c r="M4" s="131"/>
      <c r="N4" s="131"/>
      <c r="O4" s="131"/>
      <c r="P4" s="131"/>
    </row>
    <row r="5" spans="1:16" ht="17.399999999999999">
      <c r="A5" s="2033" t="s">
        <v>103</v>
      </c>
      <c r="B5" s="2033"/>
      <c r="C5" s="2033"/>
      <c r="D5" s="2033"/>
      <c r="E5" s="2033"/>
      <c r="F5" s="2033"/>
      <c r="G5" s="2033"/>
      <c r="H5" s="2033"/>
      <c r="I5" s="131"/>
      <c r="J5" s="131"/>
      <c r="K5" s="131"/>
      <c r="L5" s="131"/>
      <c r="M5" s="131"/>
      <c r="N5" s="131"/>
      <c r="O5" s="131"/>
      <c r="P5" s="131"/>
    </row>
    <row r="6" spans="1:16" ht="17.399999999999999">
      <c r="A6" s="2034" t="str">
        <f>SUMMARY!A7</f>
        <v>YEAR ENDING DECEMBER 31, 2021</v>
      </c>
      <c r="B6" s="2034"/>
      <c r="C6" s="2034"/>
      <c r="D6" s="2034"/>
      <c r="E6" s="2034"/>
      <c r="F6" s="2034"/>
      <c r="G6" s="2034"/>
      <c r="H6" s="2034"/>
      <c r="I6" s="131"/>
      <c r="J6" s="131"/>
      <c r="K6" s="131"/>
      <c r="L6" s="131"/>
      <c r="M6" s="131"/>
      <c r="N6" s="131"/>
      <c r="O6" s="131"/>
      <c r="P6" s="131"/>
    </row>
    <row r="7" spans="1:16" ht="12" customHeight="1">
      <c r="A7" s="95"/>
      <c r="B7" s="95"/>
      <c r="C7" s="95"/>
      <c r="D7" s="98"/>
      <c r="E7" s="98"/>
      <c r="F7" s="98"/>
      <c r="G7" s="98"/>
      <c r="H7" s="98"/>
      <c r="I7" s="95"/>
      <c r="J7" s="95"/>
      <c r="K7" s="95"/>
      <c r="L7" s="95"/>
      <c r="M7" s="95"/>
      <c r="N7" s="95"/>
      <c r="O7" s="95"/>
      <c r="P7" s="95"/>
    </row>
    <row r="8" spans="1:16" ht="17.399999999999999">
      <c r="A8" s="2035" t="s">
        <v>953</v>
      </c>
      <c r="B8" s="2035"/>
      <c r="C8" s="2035"/>
      <c r="D8" s="2035"/>
      <c r="E8" s="2035"/>
      <c r="F8" s="2035"/>
      <c r="G8" s="2035"/>
      <c r="H8" s="2035"/>
      <c r="I8" s="132"/>
      <c r="J8" s="132"/>
      <c r="K8" s="132"/>
      <c r="L8" s="132"/>
      <c r="M8" s="132"/>
      <c r="N8" s="132"/>
      <c r="O8" s="132"/>
      <c r="P8" s="132"/>
    </row>
    <row r="9" spans="1:16" ht="17.399999999999999">
      <c r="A9" s="2033" t="s">
        <v>824</v>
      </c>
      <c r="B9" s="2033"/>
      <c r="C9" s="2033"/>
      <c r="D9" s="2033"/>
      <c r="E9" s="2033"/>
      <c r="F9" s="2033"/>
      <c r="G9" s="2033"/>
      <c r="H9" s="2033"/>
      <c r="I9" s="131"/>
      <c r="J9" s="131"/>
      <c r="K9" s="131"/>
      <c r="L9" s="131"/>
      <c r="M9" s="131"/>
      <c r="N9" s="131"/>
      <c r="O9" s="131"/>
      <c r="P9" s="131"/>
    </row>
    <row r="10" spans="1:16" ht="17.399999999999999">
      <c r="A10" s="820"/>
      <c r="B10" s="820"/>
      <c r="C10" s="820"/>
      <c r="D10" s="611" t="s">
        <v>192</v>
      </c>
      <c r="E10" s="66"/>
      <c r="F10" s="612"/>
      <c r="G10" s="66"/>
      <c r="H10" s="1183" t="s">
        <v>193</v>
      </c>
      <c r="I10" s="820"/>
      <c r="J10" s="820"/>
      <c r="K10" s="820"/>
      <c r="L10" s="820"/>
      <c r="M10" s="820"/>
      <c r="N10" s="131"/>
      <c r="O10" s="131"/>
      <c r="P10" s="131"/>
    </row>
    <row r="11" spans="1:16" ht="15.6">
      <c r="B11" s="1185" t="s">
        <v>1</v>
      </c>
      <c r="C11" s="1160"/>
      <c r="D11" s="1185" t="s">
        <v>229</v>
      </c>
      <c r="E11" s="1184"/>
      <c r="F11" s="1184"/>
      <c r="G11" s="1199"/>
      <c r="H11" s="1206" t="s">
        <v>338</v>
      </c>
      <c r="I11" s="856"/>
    </row>
    <row r="12" spans="1:16" ht="15">
      <c r="B12" s="1162"/>
      <c r="C12" s="1162"/>
      <c r="D12" s="1158"/>
      <c r="E12" s="1158"/>
      <c r="F12" s="1158"/>
      <c r="G12" s="1158"/>
      <c r="H12" s="1164"/>
      <c r="I12" s="856"/>
    </row>
    <row r="13" spans="1:16" ht="15.6">
      <c r="B13" s="1165">
        <v>1</v>
      </c>
      <c r="C13" s="1165"/>
      <c r="D13" s="1184" t="s">
        <v>1068</v>
      </c>
      <c r="E13" s="1158"/>
      <c r="F13" s="1158"/>
      <c r="G13" s="1158"/>
      <c r="H13" s="1202">
        <v>-39385278</v>
      </c>
      <c r="I13" s="856"/>
    </row>
    <row r="14" spans="1:16" ht="15.6">
      <c r="B14" s="1165"/>
      <c r="C14" s="1165"/>
      <c r="D14" s="1184"/>
      <c r="E14" s="1158"/>
      <c r="F14" s="1158"/>
      <c r="G14" s="1158"/>
      <c r="H14" s="1207"/>
      <c r="I14" s="856"/>
    </row>
    <row r="15" spans="1:16" ht="15.6">
      <c r="B15" s="1165">
        <v>2</v>
      </c>
      <c r="C15" s="1165"/>
      <c r="D15" s="1184" t="s">
        <v>825</v>
      </c>
      <c r="E15" s="1191"/>
      <c r="F15" s="1191"/>
      <c r="G15" s="1191"/>
      <c r="H15" s="1203">
        <v>-8604369</v>
      </c>
      <c r="I15" s="856"/>
    </row>
    <row r="16" spans="1:16" ht="15.6">
      <c r="B16" s="1165"/>
      <c r="C16" s="1165"/>
      <c r="D16" s="1184"/>
      <c r="E16" s="1191"/>
      <c r="F16" s="1191"/>
      <c r="G16" s="1191"/>
      <c r="H16" s="1200"/>
      <c r="I16" s="856"/>
    </row>
    <row r="17" spans="1:9" ht="15.6">
      <c r="B17" s="1165">
        <v>3</v>
      </c>
      <c r="C17" s="1165"/>
      <c r="D17" s="1184" t="s">
        <v>765</v>
      </c>
      <c r="E17" s="1208" t="s">
        <v>764</v>
      </c>
      <c r="F17" s="1191"/>
      <c r="G17" s="1191"/>
      <c r="H17" s="1200">
        <f>H13-H15</f>
        <v>-30780909</v>
      </c>
      <c r="I17" s="856"/>
    </row>
    <row r="18" spans="1:9" ht="15.6">
      <c r="B18" s="1165"/>
      <c r="C18" s="1165"/>
      <c r="D18" s="1184"/>
      <c r="E18" s="1191"/>
      <c r="F18" s="1191"/>
      <c r="G18" s="1191"/>
      <c r="H18" s="1200"/>
      <c r="I18" s="856"/>
    </row>
    <row r="19" spans="1:9" ht="15.6">
      <c r="B19" s="1165">
        <v>4</v>
      </c>
      <c r="C19" s="1165"/>
      <c r="D19" s="1184" t="s">
        <v>761</v>
      </c>
      <c r="E19" s="1191"/>
      <c r="F19" s="1191"/>
      <c r="G19" s="1191"/>
      <c r="H19" s="1209">
        <v>35797785</v>
      </c>
      <c r="I19" s="856"/>
    </row>
    <row r="20" spans="1:9" ht="15.6">
      <c r="B20" s="1165"/>
      <c r="C20" s="1165"/>
      <c r="D20" s="1184"/>
      <c r="E20" s="1158"/>
      <c r="F20" s="1158"/>
      <c r="G20" s="1158"/>
      <c r="H20" s="1168"/>
      <c r="I20" s="856"/>
    </row>
    <row r="21" spans="1:9" ht="15.6">
      <c r="B21" s="1165">
        <v>5</v>
      </c>
      <c r="C21" s="1165"/>
      <c r="D21" s="1210" t="s">
        <v>746</v>
      </c>
      <c r="E21" s="1211" t="s">
        <v>763</v>
      </c>
      <c r="F21" s="328"/>
      <c r="G21" s="328"/>
      <c r="H21" s="1168">
        <f>H19-H17</f>
        <v>66578694</v>
      </c>
      <c r="I21" s="856"/>
    </row>
    <row r="22" spans="1:9" ht="15.6">
      <c r="B22" s="1139"/>
      <c r="C22" s="1139"/>
      <c r="D22" s="1158"/>
      <c r="E22" s="1158"/>
      <c r="F22" s="1158"/>
      <c r="G22" s="1158"/>
      <c r="H22" s="1168"/>
      <c r="I22" s="19"/>
    </row>
    <row r="23" spans="1:9" ht="15.6">
      <c r="B23" s="1139"/>
      <c r="C23" s="1139"/>
      <c r="D23" s="1158"/>
      <c r="E23" s="1158"/>
      <c r="F23" s="1158"/>
      <c r="G23" s="1158"/>
      <c r="H23" s="1168"/>
      <c r="I23" s="856"/>
    </row>
    <row r="24" spans="1:9" ht="15.6">
      <c r="A24" s="1181" t="s">
        <v>1637</v>
      </c>
      <c r="B24" s="1165"/>
      <c r="C24" s="1165"/>
      <c r="D24" s="1158"/>
      <c r="E24" s="1158"/>
      <c r="F24" s="1158"/>
      <c r="G24" s="1158"/>
      <c r="H24" s="1168"/>
      <c r="I24" s="856"/>
    </row>
    <row r="25" spans="1:9" ht="15.6">
      <c r="B25" s="1165"/>
      <c r="C25" s="1165"/>
      <c r="D25" s="1158"/>
      <c r="E25" s="1158"/>
      <c r="F25" s="1158"/>
      <c r="G25" s="1158"/>
      <c r="H25" s="499"/>
      <c r="I25" s="1158"/>
    </row>
  </sheetData>
  <customSheetViews>
    <customSheetView guid="{B321D76C-CDE5-48BB-9CDE-80FF97D58FCF}" showPageBreaks="1" fitToPage="1" printArea="1" view="pageBreakPreview" topLeftCell="A7">
      <selection activeCell="D33" sqref="D33"/>
      <pageMargins left="0.7" right="0.7" top="0.75" bottom="0.75" header="0.3" footer="0.3"/>
      <printOptions horizontalCentered="1"/>
      <pageSetup scale="93" orientation="portrait" r:id="rId1"/>
    </customSheetView>
  </customSheetViews>
  <mergeCells count="5">
    <mergeCell ref="A4:H4"/>
    <mergeCell ref="A5:H5"/>
    <mergeCell ref="A6:H6"/>
    <mergeCell ref="A8:H8"/>
    <mergeCell ref="A9:H9"/>
  </mergeCells>
  <printOptions horizontalCentered="1"/>
  <pageMargins left="0.7" right="0.7" top="0.75" bottom="0.75" header="0.3" footer="0.3"/>
  <pageSetup scale="94"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R48"/>
  <sheetViews>
    <sheetView view="pageBreakPreview" zoomScale="80" zoomScaleNormal="80" zoomScaleSheetLayoutView="80" workbookViewId="0">
      <selection activeCell="F31" sqref="F31"/>
    </sheetView>
  </sheetViews>
  <sheetFormatPr defaultColWidth="9" defaultRowHeight="12"/>
  <cols>
    <col min="1" max="1" width="1.44140625" style="138" customWidth="1"/>
    <col min="2" max="2" width="7.44140625" style="138" bestFit="1" customWidth="1"/>
    <col min="3" max="3" width="2.109375" style="138" customWidth="1"/>
    <col min="4" max="4" width="49.77734375" style="138" bestFit="1" customWidth="1"/>
    <col min="5" max="5" width="3.77734375" style="138" customWidth="1"/>
    <col min="6" max="6" width="12.44140625" style="138" customWidth="1"/>
    <col min="7" max="7" width="3.21875" style="138" customWidth="1"/>
    <col min="8" max="8" width="10.109375" style="138" bestFit="1" customWidth="1"/>
    <col min="9" max="9" width="2" style="138" customWidth="1"/>
    <col min="10" max="10" width="14.77734375" style="138" bestFit="1" customWidth="1"/>
    <col min="11" max="11" width="9.109375" style="138" customWidth="1"/>
    <col min="12" max="12" width="49.44140625" style="138" bestFit="1" customWidth="1"/>
    <col min="13" max="13" width="2.44140625" style="138" customWidth="1"/>
    <col min="14" max="16384" width="9" style="138"/>
  </cols>
  <sheetData>
    <row r="1" spans="1:18" s="93" customFormat="1" ht="15.6">
      <c r="A1" s="13" t="s">
        <v>954</v>
      </c>
      <c r="B1" s="91"/>
      <c r="C1" s="91"/>
      <c r="D1" s="92"/>
      <c r="E1" s="92"/>
      <c r="F1" s="91"/>
      <c r="G1" s="91"/>
      <c r="H1" s="91"/>
      <c r="I1" s="91"/>
      <c r="J1" s="91"/>
      <c r="K1" s="91"/>
      <c r="L1" s="128"/>
      <c r="R1" s="129"/>
    </row>
    <row r="2" spans="1:18" s="97" customFormat="1"/>
    <row r="3" spans="1:18" s="97" customFormat="1" ht="17.399999999999999">
      <c r="A3" s="94"/>
      <c r="B3" s="95"/>
      <c r="C3" s="95"/>
      <c r="D3" s="96"/>
      <c r="E3" s="96"/>
      <c r="F3" s="95"/>
      <c r="G3" s="95"/>
      <c r="H3" s="95"/>
      <c r="I3" s="95"/>
      <c r="J3" s="95"/>
      <c r="K3" s="95"/>
      <c r="L3" s="95"/>
      <c r="M3" s="95"/>
      <c r="N3" s="95"/>
      <c r="O3" s="95"/>
      <c r="P3" s="95"/>
      <c r="Q3" s="130"/>
      <c r="R3" s="127"/>
    </row>
    <row r="4" spans="1:18" s="97" customFormat="1" ht="17.399999999999999">
      <c r="A4" s="2033" t="s">
        <v>200</v>
      </c>
      <c r="B4" s="2033"/>
      <c r="C4" s="2033"/>
      <c r="D4" s="2033"/>
      <c r="E4" s="2033"/>
      <c r="F4" s="2033"/>
      <c r="G4" s="2033"/>
      <c r="H4" s="2033"/>
      <c r="I4" s="2033"/>
      <c r="J4" s="2033"/>
      <c r="K4" s="2033"/>
      <c r="L4" s="2033"/>
      <c r="M4" s="2033"/>
      <c r="N4" s="131"/>
      <c r="O4" s="131"/>
      <c r="P4" s="131"/>
      <c r="Q4" s="131"/>
      <c r="R4" s="131"/>
    </row>
    <row r="5" spans="1:18" s="97" customFormat="1" ht="17.399999999999999">
      <c r="A5" s="2033" t="s">
        <v>103</v>
      </c>
      <c r="B5" s="2033"/>
      <c r="C5" s="2033"/>
      <c r="D5" s="2033"/>
      <c r="E5" s="2033"/>
      <c r="F5" s="2033"/>
      <c r="G5" s="2033"/>
      <c r="H5" s="2033"/>
      <c r="I5" s="2033"/>
      <c r="J5" s="2033"/>
      <c r="K5" s="2033"/>
      <c r="L5" s="2033"/>
      <c r="M5" s="2033"/>
      <c r="N5" s="131"/>
      <c r="O5" s="131"/>
      <c r="P5" s="131"/>
      <c r="Q5" s="131"/>
      <c r="R5" s="131"/>
    </row>
    <row r="6" spans="1:18" s="97" customFormat="1" ht="17.399999999999999">
      <c r="A6" s="2034" t="str">
        <f>SUMMARY!A7</f>
        <v>YEAR ENDING DECEMBER 31, 2021</v>
      </c>
      <c r="B6" s="2034"/>
      <c r="C6" s="2034"/>
      <c r="D6" s="2034"/>
      <c r="E6" s="2034"/>
      <c r="F6" s="2034"/>
      <c r="G6" s="2034"/>
      <c r="H6" s="2034"/>
      <c r="I6" s="2034"/>
      <c r="J6" s="2034"/>
      <c r="K6" s="2034"/>
      <c r="L6" s="2034"/>
      <c r="M6" s="2034"/>
      <c r="N6" s="131"/>
      <c r="O6" s="131"/>
      <c r="P6" s="131"/>
      <c r="Q6" s="131"/>
      <c r="R6" s="131"/>
    </row>
    <row r="7" spans="1:18" s="97" customFormat="1" ht="12" customHeight="1">
      <c r="A7" s="95"/>
      <c r="B7" s="95"/>
      <c r="C7" s="95"/>
      <c r="D7" s="98"/>
      <c r="E7" s="98"/>
      <c r="F7" s="95"/>
      <c r="G7" s="95"/>
      <c r="H7" s="95"/>
      <c r="I7" s="95"/>
      <c r="J7" s="95"/>
      <c r="K7" s="95"/>
      <c r="L7" s="95"/>
      <c r="M7" s="95"/>
      <c r="N7" s="95"/>
      <c r="O7" s="95"/>
      <c r="P7" s="95"/>
      <c r="Q7" s="95"/>
      <c r="R7" s="95"/>
    </row>
    <row r="8" spans="1:18" s="97" customFormat="1" ht="17.399999999999999">
      <c r="A8" s="2035" t="s">
        <v>955</v>
      </c>
      <c r="B8" s="2035"/>
      <c r="C8" s="2035"/>
      <c r="D8" s="2035"/>
      <c r="E8" s="2035"/>
      <c r="F8" s="2035"/>
      <c r="G8" s="2035"/>
      <c r="H8" s="2035"/>
      <c r="I8" s="2035"/>
      <c r="J8" s="2035"/>
      <c r="K8" s="2035"/>
      <c r="L8" s="2035"/>
      <c r="M8" s="2035"/>
      <c r="N8" s="132"/>
      <c r="O8" s="132"/>
      <c r="P8" s="132"/>
      <c r="Q8" s="132"/>
      <c r="R8" s="132"/>
    </row>
    <row r="9" spans="1:18" s="97" customFormat="1" ht="17.399999999999999">
      <c r="A9" s="2033" t="s">
        <v>335</v>
      </c>
      <c r="B9" s="2033"/>
      <c r="C9" s="2033"/>
      <c r="D9" s="2033"/>
      <c r="E9" s="2033"/>
      <c r="F9" s="2033"/>
      <c r="G9" s="2033"/>
      <c r="H9" s="2033"/>
      <c r="I9" s="2033"/>
      <c r="J9" s="2033"/>
      <c r="K9" s="2033"/>
      <c r="L9" s="2033"/>
      <c r="M9" s="2033"/>
      <c r="N9" s="131"/>
      <c r="O9" s="131"/>
      <c r="P9" s="131"/>
      <c r="Q9" s="131"/>
      <c r="R9" s="131"/>
    </row>
    <row r="10" spans="1:18" s="135" customFormat="1" ht="18">
      <c r="A10" s="133"/>
      <c r="B10" s="133"/>
      <c r="C10" s="133"/>
      <c r="D10" s="133"/>
      <c r="E10" s="133"/>
      <c r="F10" s="133"/>
      <c r="G10" s="133"/>
      <c r="H10" s="133"/>
      <c r="I10" s="133"/>
      <c r="J10" s="133"/>
      <c r="K10" s="133"/>
      <c r="L10" s="133"/>
      <c r="M10" s="133"/>
      <c r="N10" s="134"/>
      <c r="O10" s="134"/>
      <c r="P10" s="134"/>
      <c r="Q10" s="134"/>
      <c r="R10" s="134"/>
    </row>
    <row r="11" spans="1:18" s="299" customFormat="1" ht="15" customHeight="1">
      <c r="J11" s="300" t="s">
        <v>336</v>
      </c>
    </row>
    <row r="12" spans="1:18" s="299" customFormat="1" ht="15" customHeight="1">
      <c r="J12" s="300" t="s">
        <v>282</v>
      </c>
    </row>
    <row r="13" spans="1:18" s="301" customFormat="1" ht="15" customHeight="1">
      <c r="C13" s="300"/>
      <c r="D13" s="302"/>
      <c r="E13" s="302"/>
      <c r="J13" s="300" t="s">
        <v>337</v>
      </c>
    </row>
    <row r="14" spans="1:18" s="301" customFormat="1" ht="15" customHeight="1">
      <c r="B14" s="303" t="s">
        <v>1</v>
      </c>
      <c r="C14" s="304"/>
      <c r="D14" s="305" t="s">
        <v>231</v>
      </c>
      <c r="F14" s="306" t="s">
        <v>338</v>
      </c>
      <c r="G14" s="307"/>
      <c r="H14" s="306" t="s">
        <v>147</v>
      </c>
      <c r="I14" s="307"/>
      <c r="J14" s="304" t="s">
        <v>340</v>
      </c>
      <c r="K14" s="304"/>
      <c r="L14" s="308" t="s">
        <v>341</v>
      </c>
    </row>
    <row r="15" spans="1:18" s="301" customFormat="1" ht="15">
      <c r="B15" s="309"/>
      <c r="C15" s="307"/>
      <c r="F15" s="285" t="s">
        <v>192</v>
      </c>
      <c r="G15" s="82"/>
      <c r="H15" s="285" t="s">
        <v>193</v>
      </c>
      <c r="I15" s="82"/>
      <c r="J15" s="285" t="s">
        <v>194</v>
      </c>
      <c r="K15" s="82"/>
      <c r="L15" s="310" t="s">
        <v>374</v>
      </c>
    </row>
    <row r="16" spans="1:18" s="301" customFormat="1" ht="15">
      <c r="B16" s="309"/>
      <c r="C16" s="307"/>
      <c r="F16" s="285"/>
      <c r="G16" s="82"/>
      <c r="H16" s="285"/>
      <c r="I16" s="82"/>
      <c r="J16" s="285"/>
      <c r="K16" s="82"/>
      <c r="L16" s="310"/>
    </row>
    <row r="17" spans="2:12" s="301" customFormat="1" ht="15">
      <c r="B17" s="247" t="s">
        <v>471</v>
      </c>
      <c r="D17" s="1212" t="s">
        <v>2078</v>
      </c>
      <c r="F17" s="1214">
        <v>645352.36</v>
      </c>
      <c r="J17" s="311"/>
      <c r="L17" s="1212"/>
    </row>
    <row r="18" spans="2:12" s="301" customFormat="1" ht="15">
      <c r="B18" s="247"/>
      <c r="D18" s="1212"/>
      <c r="F18" s="1214"/>
      <c r="G18" s="286"/>
      <c r="H18" s="286"/>
      <c r="I18" s="286"/>
      <c r="J18" s="311"/>
      <c r="K18" s="286"/>
      <c r="L18" s="1212"/>
    </row>
    <row r="19" spans="2:12" s="301" customFormat="1" ht="15">
      <c r="B19" s="247" t="s">
        <v>473</v>
      </c>
      <c r="C19" s="307"/>
      <c r="D19" s="1212" t="s">
        <v>2079</v>
      </c>
      <c r="F19" s="1214">
        <v>1313147.3</v>
      </c>
      <c r="G19" s="286"/>
      <c r="H19" s="286"/>
      <c r="I19" s="286"/>
      <c r="J19" s="239"/>
      <c r="K19" s="286"/>
      <c r="L19" s="1212"/>
    </row>
    <row r="20" spans="2:12" s="301" customFormat="1" ht="15">
      <c r="B20" s="247"/>
      <c r="C20" s="307"/>
      <c r="D20" s="1212"/>
      <c r="F20" s="1214"/>
      <c r="G20" s="286"/>
      <c r="H20" s="286"/>
      <c r="I20" s="286"/>
      <c r="J20" s="239"/>
      <c r="L20" s="1212"/>
    </row>
    <row r="21" spans="2:12" s="301" customFormat="1" ht="15">
      <c r="B21" s="247" t="s">
        <v>494</v>
      </c>
      <c r="C21" s="307"/>
      <c r="D21" s="1212" t="s">
        <v>2080</v>
      </c>
      <c r="F21" s="1214">
        <v>2147467.9500000002</v>
      </c>
      <c r="J21" s="239"/>
      <c r="L21" s="1212"/>
    </row>
    <row r="22" spans="2:12" s="301" customFormat="1" ht="15">
      <c r="B22" s="247"/>
      <c r="C22" s="307"/>
      <c r="D22" s="1212"/>
      <c r="F22" s="1214"/>
      <c r="J22" s="239"/>
      <c r="L22" s="1212"/>
    </row>
    <row r="23" spans="2:12" s="301" customFormat="1" ht="15">
      <c r="B23" s="247" t="s">
        <v>495</v>
      </c>
      <c r="C23" s="307"/>
      <c r="D23" s="1212" t="s">
        <v>2081</v>
      </c>
      <c r="F23" s="1214">
        <v>844546.8</v>
      </c>
      <c r="J23" s="312"/>
      <c r="L23" s="1212"/>
    </row>
    <row r="24" spans="2:12" s="301" customFormat="1" ht="15">
      <c r="B24" s="247"/>
      <c r="C24" s="307"/>
      <c r="D24" s="1212"/>
      <c r="F24" s="1215"/>
      <c r="J24" s="312"/>
      <c r="L24" s="1212"/>
    </row>
    <row r="25" spans="2:12" s="301" customFormat="1" ht="15">
      <c r="B25" s="247" t="s">
        <v>541</v>
      </c>
      <c r="C25" s="307"/>
      <c r="D25" s="1213"/>
      <c r="F25" s="1216"/>
      <c r="J25" s="239"/>
      <c r="L25" s="1212"/>
    </row>
    <row r="26" spans="2:12" s="301" customFormat="1" ht="30.6">
      <c r="B26" s="307">
        <v>2</v>
      </c>
      <c r="C26" s="307"/>
      <c r="D26" s="302" t="s">
        <v>1114</v>
      </c>
      <c r="F26" s="313">
        <f>SUM(F17:F25)</f>
        <v>4950514.41</v>
      </c>
      <c r="H26" s="314">
        <f>'WP-AI'!I24</f>
        <v>0.22896271424916831</v>
      </c>
      <c r="J26" s="313">
        <f>F26*H26</f>
        <v>1133483.21624322</v>
      </c>
      <c r="L26" s="1217" t="s">
        <v>1115</v>
      </c>
    </row>
    <row r="27" spans="2:12" s="301" customFormat="1" ht="15">
      <c r="B27" s="307"/>
      <c r="C27" s="307"/>
      <c r="F27" s="239"/>
      <c r="J27" s="239"/>
      <c r="L27" s="1218"/>
    </row>
    <row r="28" spans="2:12" s="301" customFormat="1" ht="15">
      <c r="B28" s="307"/>
      <c r="C28" s="307"/>
      <c r="F28" s="239"/>
      <c r="J28" s="239"/>
      <c r="L28" s="1212"/>
    </row>
    <row r="29" spans="2:12" s="301" customFormat="1" ht="15">
      <c r="B29" s="307" t="s">
        <v>1276</v>
      </c>
      <c r="C29" s="307"/>
      <c r="D29" s="1212" t="s">
        <v>2082</v>
      </c>
      <c r="F29" s="1214">
        <v>522032.67</v>
      </c>
      <c r="J29" s="239"/>
      <c r="L29" s="1212"/>
    </row>
    <row r="30" spans="2:12" s="301" customFormat="1" ht="15">
      <c r="B30" s="307"/>
      <c r="C30" s="307"/>
      <c r="D30" s="1212"/>
      <c r="F30" s="1214"/>
      <c r="J30" s="239"/>
      <c r="L30" s="1212"/>
    </row>
    <row r="31" spans="2:12" s="301" customFormat="1" ht="15">
      <c r="B31" s="307" t="s">
        <v>1277</v>
      </c>
      <c r="C31" s="307"/>
      <c r="D31" s="1212" t="s">
        <v>2083</v>
      </c>
      <c r="F31" s="1214">
        <v>106146.59</v>
      </c>
      <c r="J31" s="239"/>
      <c r="L31" s="1212"/>
    </row>
    <row r="32" spans="2:12" s="301" customFormat="1" ht="15">
      <c r="B32" s="307"/>
      <c r="C32" s="307"/>
      <c r="D32" s="1212"/>
      <c r="F32" s="1220"/>
      <c r="J32" s="239"/>
      <c r="L32" s="1212"/>
    </row>
    <row r="33" spans="2:12" s="301" customFormat="1" ht="15">
      <c r="B33" s="247" t="s">
        <v>541</v>
      </c>
      <c r="C33" s="307"/>
      <c r="D33" s="1213"/>
      <c r="F33" s="1216"/>
      <c r="J33" s="239"/>
      <c r="L33" s="1212"/>
    </row>
    <row r="34" spans="2:12" s="301" customFormat="1" ht="15">
      <c r="B34" s="247"/>
      <c r="C34" s="307"/>
      <c r="D34" s="1213"/>
      <c r="F34" s="1221"/>
      <c r="J34" s="239"/>
      <c r="L34" s="1212"/>
    </row>
    <row r="35" spans="2:12" s="301" customFormat="1" ht="15.6">
      <c r="B35" s="307">
        <v>4</v>
      </c>
      <c r="C35" s="307"/>
      <c r="D35" s="302" t="s">
        <v>354</v>
      </c>
      <c r="F35" s="313">
        <f>SUM(F29:F34)</f>
        <v>628179.26</v>
      </c>
      <c r="H35" s="314">
        <v>1</v>
      </c>
      <c r="J35" s="315">
        <f>F35*H35</f>
        <v>628179.26</v>
      </c>
      <c r="K35" s="316"/>
      <c r="L35" s="1219"/>
    </row>
    <row r="36" spans="2:12" s="301" customFormat="1" ht="16.2" thickBot="1">
      <c r="B36" s="307"/>
      <c r="C36" s="307"/>
      <c r="J36" s="313"/>
    </row>
    <row r="37" spans="2:12" s="301" customFormat="1" ht="16.2" thickBot="1">
      <c r="B37" s="307">
        <v>5</v>
      </c>
      <c r="C37" s="307"/>
      <c r="D37" s="302" t="s">
        <v>5</v>
      </c>
      <c r="J37" s="318">
        <f>SUM(J26:J35)</f>
        <v>1761662.47624322</v>
      </c>
    </row>
    <row r="38" spans="2:12" s="301" customFormat="1" ht="15">
      <c r="B38" s="307"/>
      <c r="C38" s="307"/>
      <c r="E38" s="317"/>
      <c r="J38" s="239"/>
    </row>
    <row r="39" spans="2:12" s="301" customFormat="1" ht="15">
      <c r="B39" s="307"/>
      <c r="C39" s="307"/>
      <c r="D39" s="317"/>
      <c r="E39" s="317"/>
      <c r="J39" s="239"/>
    </row>
    <row r="40" spans="2:12" s="301" customFormat="1" ht="15">
      <c r="B40" s="307"/>
      <c r="C40" s="307"/>
      <c r="E40" s="317"/>
      <c r="F40" s="299"/>
      <c r="G40" s="299"/>
      <c r="H40" s="299"/>
      <c r="I40" s="299"/>
    </row>
    <row r="41" spans="2:12" s="301" customFormat="1" ht="15.6">
      <c r="F41" s="302"/>
      <c r="G41" s="287"/>
      <c r="H41" s="287"/>
      <c r="I41" s="287"/>
    </row>
    <row r="42" spans="2:12" s="301" customFormat="1" ht="15.6">
      <c r="J42" s="319"/>
    </row>
    <row r="43" spans="2:12" s="136" customFormat="1" ht="15.6">
      <c r="J43" s="137"/>
    </row>
    <row r="44" spans="2:12" s="136" customFormat="1" ht="15.6"/>
    <row r="45" spans="2:12" s="135" customFormat="1" ht="15.6">
      <c r="J45" s="137"/>
    </row>
    <row r="48" spans="2:12" ht="15.6">
      <c r="E48" s="136"/>
    </row>
  </sheetData>
  <customSheetViews>
    <customSheetView guid="{B321D76C-CDE5-48BB-9CDE-80FF97D58FCF}" scale="85" showPageBreaks="1" fitToPage="1" printArea="1" view="pageBreakPreview">
      <selection activeCell="D33" sqref="D33"/>
      <pageMargins left="0.7" right="0.7" top="0.75" bottom="0.75" header="0.3" footer="0.3"/>
      <printOptions horizontalCentered="1"/>
      <pageSetup scale="66" orientation="landscape" r:id="rId1"/>
    </customSheetView>
  </customSheetViews>
  <mergeCells count="5">
    <mergeCell ref="A4:M4"/>
    <mergeCell ref="A5:M5"/>
    <mergeCell ref="A6:M6"/>
    <mergeCell ref="A8:M8"/>
    <mergeCell ref="A9:M9"/>
  </mergeCells>
  <printOptions horizontalCentered="1"/>
  <pageMargins left="0.7" right="0.7" top="0.75" bottom="0.75" header="0.3" footer="0.3"/>
  <pageSetup scale="74"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92D050"/>
    <pageSetUpPr fitToPage="1"/>
  </sheetPr>
  <dimension ref="A1:O42"/>
  <sheetViews>
    <sheetView view="pageBreakPreview" zoomScale="80" zoomScaleNormal="90" zoomScaleSheetLayoutView="80" workbookViewId="0">
      <selection activeCell="F32" sqref="F32"/>
    </sheetView>
  </sheetViews>
  <sheetFormatPr defaultColWidth="9" defaultRowHeight="13.2"/>
  <cols>
    <col min="1" max="1" width="1.44140625" style="299" customWidth="1"/>
    <col min="2" max="2" width="8.77734375" style="299" customWidth="1"/>
    <col min="3" max="3" width="3.77734375" style="299" customWidth="1"/>
    <col min="4" max="4" width="25.109375" style="299" customWidth="1"/>
    <col min="5" max="5" width="2.44140625" style="299" customWidth="1"/>
    <col min="6" max="6" width="12.44140625" style="299" bestFit="1" customWidth="1"/>
    <col min="7" max="7" width="2" style="299" customWidth="1"/>
    <col min="8" max="8" width="12.44140625" style="299" bestFit="1" customWidth="1"/>
    <col min="9" max="9" width="4.77734375" style="299" customWidth="1"/>
    <col min="10" max="10" width="13.33203125" style="299" bestFit="1" customWidth="1"/>
    <col min="11" max="11" width="9" style="299" customWidth="1"/>
    <col min="12" max="12" width="46.44140625" style="299" bestFit="1" customWidth="1"/>
    <col min="13" max="13" width="17.109375" style="299" bestFit="1" customWidth="1"/>
    <col min="14" max="16384" width="9" style="299"/>
  </cols>
  <sheetData>
    <row r="1" spans="1:15" s="301" customFormat="1" ht="15.6">
      <c r="A1" s="13" t="s">
        <v>957</v>
      </c>
      <c r="B1" s="91"/>
      <c r="C1" s="91"/>
      <c r="D1" s="308"/>
      <c r="E1" s="308"/>
      <c r="F1" s="91"/>
      <c r="G1" s="91"/>
      <c r="H1" s="91"/>
      <c r="I1" s="91"/>
      <c r="J1" s="91"/>
      <c r="K1" s="91"/>
      <c r="L1" s="128"/>
      <c r="O1" s="129"/>
    </row>
    <row r="3" spans="1:15" ht="17.399999999999999">
      <c r="A3" s="94"/>
      <c r="B3" s="95"/>
      <c r="C3" s="95"/>
      <c r="D3" s="320"/>
      <c r="E3" s="320"/>
      <c r="F3" s="95"/>
      <c r="G3" s="95"/>
      <c r="H3" s="95"/>
      <c r="I3" s="95"/>
      <c r="J3" s="95"/>
      <c r="K3" s="95"/>
      <c r="L3" s="95"/>
      <c r="M3" s="95"/>
      <c r="N3" s="95"/>
      <c r="O3" s="820"/>
    </row>
    <row r="4" spans="1:15" ht="17.399999999999999">
      <c r="A4" s="2033" t="s">
        <v>200</v>
      </c>
      <c r="B4" s="2033"/>
      <c r="C4" s="2033"/>
      <c r="D4" s="2033"/>
      <c r="E4" s="2033"/>
      <c r="F4" s="2033"/>
      <c r="G4" s="2033"/>
      <c r="H4" s="2033"/>
      <c r="I4" s="2033"/>
      <c r="J4" s="2033"/>
      <c r="K4" s="2033"/>
      <c r="L4" s="2033"/>
      <c r="M4" s="131"/>
      <c r="N4" s="131"/>
      <c r="O4" s="131"/>
    </row>
    <row r="5" spans="1:15" ht="17.399999999999999">
      <c r="A5" s="2033" t="s">
        <v>103</v>
      </c>
      <c r="B5" s="2033"/>
      <c r="C5" s="2033"/>
      <c r="D5" s="2033"/>
      <c r="E5" s="2033"/>
      <c r="F5" s="2033"/>
      <c r="G5" s="2033"/>
      <c r="H5" s="2033"/>
      <c r="I5" s="2033"/>
      <c r="J5" s="2033"/>
      <c r="K5" s="2033"/>
      <c r="L5" s="2033"/>
      <c r="M5" s="131"/>
      <c r="N5" s="131"/>
      <c r="O5" s="131"/>
    </row>
    <row r="6" spans="1:15" ht="17.399999999999999">
      <c r="A6" s="2034" t="str">
        <f>SUMMARY!A7</f>
        <v>YEAR ENDING DECEMBER 31, 2021</v>
      </c>
      <c r="B6" s="2034"/>
      <c r="C6" s="2034"/>
      <c r="D6" s="2034"/>
      <c r="E6" s="2034"/>
      <c r="F6" s="2034"/>
      <c r="G6" s="2034"/>
      <c r="H6" s="2034"/>
      <c r="I6" s="2034"/>
      <c r="J6" s="2034"/>
      <c r="K6" s="2034"/>
      <c r="L6" s="2034"/>
      <c r="M6" s="131"/>
      <c r="N6" s="131"/>
      <c r="O6" s="131"/>
    </row>
    <row r="7" spans="1:15" ht="12" customHeight="1">
      <c r="A7" s="95"/>
      <c r="B7" s="95"/>
      <c r="C7" s="95"/>
      <c r="D7" s="98"/>
      <c r="E7" s="98"/>
      <c r="F7" s="95"/>
      <c r="G7" s="95"/>
      <c r="H7" s="95"/>
      <c r="I7" s="95"/>
      <c r="J7" s="95"/>
      <c r="K7" s="95"/>
      <c r="L7" s="95"/>
      <c r="M7" s="95"/>
      <c r="N7" s="95"/>
      <c r="O7" s="95"/>
    </row>
    <row r="8" spans="1:15" ht="17.399999999999999">
      <c r="A8" s="2035" t="s">
        <v>956</v>
      </c>
      <c r="B8" s="2035"/>
      <c r="C8" s="2035"/>
      <c r="D8" s="2035"/>
      <c r="E8" s="2035"/>
      <c r="F8" s="2035"/>
      <c r="G8" s="2035"/>
      <c r="H8" s="2035"/>
      <c r="I8" s="2035"/>
      <c r="J8" s="2035"/>
      <c r="K8" s="2035"/>
      <c r="L8" s="2035"/>
      <c r="M8" s="132"/>
      <c r="N8" s="132"/>
      <c r="O8" s="132"/>
    </row>
    <row r="9" spans="1:15" ht="17.399999999999999">
      <c r="A9" s="2033" t="s">
        <v>344</v>
      </c>
      <c r="B9" s="2033"/>
      <c r="C9" s="2033"/>
      <c r="D9" s="2033"/>
      <c r="E9" s="2033"/>
      <c r="F9" s="2033"/>
      <c r="G9" s="2033"/>
      <c r="H9" s="2033"/>
      <c r="I9" s="2033"/>
      <c r="J9" s="2033"/>
      <c r="K9" s="2033"/>
      <c r="L9" s="2033"/>
      <c r="M9" s="131"/>
      <c r="N9" s="131"/>
      <c r="O9" s="131"/>
    </row>
    <row r="10" spans="1:15" ht="17.399999999999999">
      <c r="A10" s="820"/>
      <c r="B10" s="820"/>
      <c r="C10" s="820"/>
      <c r="D10" s="820"/>
      <c r="E10" s="820"/>
      <c r="F10" s="820"/>
      <c r="G10" s="820"/>
      <c r="H10" s="820"/>
      <c r="I10" s="820"/>
      <c r="J10" s="820"/>
      <c r="K10" s="820"/>
      <c r="L10" s="820"/>
      <c r="M10" s="131"/>
      <c r="N10" s="131"/>
      <c r="O10" s="131"/>
    </row>
    <row r="11" spans="1:15" ht="17.399999999999999">
      <c r="A11" s="820"/>
      <c r="B11" s="820"/>
      <c r="C11" s="820"/>
      <c r="D11" s="820"/>
      <c r="E11" s="820"/>
      <c r="F11" s="820"/>
      <c r="G11" s="820"/>
      <c r="H11" s="820"/>
      <c r="I11" s="820"/>
      <c r="J11" s="820"/>
      <c r="K11" s="820"/>
      <c r="L11" s="820"/>
      <c r="M11" s="131"/>
      <c r="N11" s="131"/>
      <c r="O11" s="131"/>
    </row>
    <row r="12" spans="1:15" ht="15" customHeight="1">
      <c r="H12" s="300"/>
      <c r="I12" s="820"/>
      <c r="J12" s="300" t="s">
        <v>336</v>
      </c>
    </row>
    <row r="13" spans="1:15" ht="15" customHeight="1">
      <c r="H13" s="300"/>
      <c r="I13" s="820"/>
      <c r="J13" s="300" t="s">
        <v>342</v>
      </c>
    </row>
    <row r="14" spans="1:15" ht="15" customHeight="1">
      <c r="H14" s="300"/>
      <c r="I14" s="820"/>
      <c r="J14" s="300" t="s">
        <v>282</v>
      </c>
    </row>
    <row r="15" spans="1:15" s="301" customFormat="1" ht="15" customHeight="1">
      <c r="C15" s="300"/>
      <c r="D15" s="302"/>
      <c r="E15" s="302"/>
      <c r="H15" s="300"/>
      <c r="I15" s="820"/>
      <c r="J15" s="300" t="s">
        <v>337</v>
      </c>
    </row>
    <row r="16" spans="1:15" s="301" customFormat="1" ht="15" customHeight="1">
      <c r="B16" s="305" t="s">
        <v>1</v>
      </c>
      <c r="C16" s="283"/>
      <c r="D16" s="305" t="s">
        <v>231</v>
      </c>
      <c r="F16" s="306" t="s">
        <v>338</v>
      </c>
      <c r="G16" s="307"/>
      <c r="H16" s="306" t="s">
        <v>339</v>
      </c>
      <c r="I16" s="307"/>
      <c r="J16" s="304" t="s">
        <v>340</v>
      </c>
      <c r="K16" s="304"/>
      <c r="L16" s="305" t="s">
        <v>341</v>
      </c>
    </row>
    <row r="17" spans="2:12" s="301" customFormat="1" ht="15">
      <c r="B17" s="321"/>
      <c r="C17" s="247"/>
      <c r="F17" s="285" t="s">
        <v>192</v>
      </c>
      <c r="G17" s="82"/>
      <c r="H17" s="285" t="s">
        <v>193</v>
      </c>
      <c r="I17" s="82"/>
      <c r="J17" s="285" t="s">
        <v>194</v>
      </c>
      <c r="K17" s="82"/>
      <c r="L17" s="310" t="s">
        <v>374</v>
      </c>
    </row>
    <row r="18" spans="2:12" s="301" customFormat="1" ht="15">
      <c r="B18" s="321"/>
      <c r="C18" s="247"/>
      <c r="F18" s="285"/>
      <c r="G18" s="82"/>
      <c r="H18" s="285"/>
      <c r="I18" s="82"/>
      <c r="J18" s="285"/>
      <c r="K18" s="82"/>
      <c r="L18" s="310"/>
    </row>
    <row r="19" spans="2:12" s="301" customFormat="1" ht="15">
      <c r="B19" s="247" t="s">
        <v>471</v>
      </c>
      <c r="C19" s="82"/>
      <c r="D19" s="1212" t="s">
        <v>2078</v>
      </c>
      <c r="F19" s="1222">
        <v>1013621.71</v>
      </c>
      <c r="J19" s="311"/>
      <c r="L19" s="1212"/>
    </row>
    <row r="20" spans="2:12" s="301" customFormat="1" ht="15">
      <c r="B20" s="247"/>
      <c r="C20" s="82"/>
      <c r="F20" s="311"/>
      <c r="G20" s="286"/>
      <c r="H20" s="286"/>
      <c r="I20" s="286"/>
      <c r="J20" s="311"/>
      <c r="K20" s="286"/>
    </row>
    <row r="21" spans="2:12" s="301" customFormat="1" ht="15">
      <c r="B21" s="247" t="s">
        <v>473</v>
      </c>
      <c r="C21" s="247"/>
      <c r="D21" s="1212" t="s">
        <v>2079</v>
      </c>
      <c r="F21" s="1222">
        <v>1161360.8400000001</v>
      </c>
      <c r="G21" s="286"/>
      <c r="H21" s="286"/>
      <c r="I21" s="286"/>
      <c r="J21" s="311"/>
      <c r="K21" s="286"/>
      <c r="L21" s="1212"/>
    </row>
    <row r="22" spans="2:12" s="301" customFormat="1" ht="15">
      <c r="B22" s="247"/>
      <c r="C22" s="247"/>
      <c r="F22" s="311"/>
      <c r="G22" s="286"/>
      <c r="H22" s="286"/>
      <c r="I22" s="286"/>
      <c r="J22" s="311"/>
    </row>
    <row r="23" spans="2:12" s="301" customFormat="1" ht="15">
      <c r="B23" s="247" t="s">
        <v>494</v>
      </c>
      <c r="C23" s="247"/>
      <c r="D23" s="1212" t="s">
        <v>2080</v>
      </c>
      <c r="F23" s="1222">
        <v>3493003.2</v>
      </c>
      <c r="J23" s="311"/>
      <c r="L23" s="1212"/>
    </row>
    <row r="24" spans="2:12" s="301" customFormat="1" ht="15">
      <c r="B24" s="247"/>
      <c r="C24" s="247"/>
      <c r="F24" s="651"/>
      <c r="J24" s="311"/>
    </row>
    <row r="25" spans="2:12" s="301" customFormat="1" ht="15">
      <c r="B25" s="247" t="s">
        <v>495</v>
      </c>
      <c r="C25" s="82"/>
      <c r="D25" s="1212" t="s">
        <v>2081</v>
      </c>
      <c r="F25" s="1222">
        <v>124888.97</v>
      </c>
      <c r="H25" s="322"/>
      <c r="J25" s="239"/>
      <c r="L25" s="1212"/>
    </row>
    <row r="26" spans="2:12" s="301" customFormat="1" ht="15">
      <c r="B26" s="247"/>
      <c r="C26" s="82"/>
      <c r="F26" s="652"/>
      <c r="H26" s="322"/>
      <c r="J26" s="239"/>
    </row>
    <row r="27" spans="2:12" s="301" customFormat="1" ht="15">
      <c r="B27" s="247" t="s">
        <v>541</v>
      </c>
      <c r="C27" s="247"/>
      <c r="D27" s="1213"/>
      <c r="F27" s="1216"/>
      <c r="J27" s="239"/>
      <c r="L27" s="1212"/>
    </row>
    <row r="28" spans="2:12" s="301" customFormat="1" ht="30.6">
      <c r="B28" s="247">
        <v>2</v>
      </c>
      <c r="C28" s="247"/>
      <c r="D28" s="302" t="s">
        <v>353</v>
      </c>
      <c r="F28" s="313">
        <f>SUM(F19:F27)</f>
        <v>5792874.7199999997</v>
      </c>
      <c r="H28" s="583">
        <f>'E1-Labor Ratio'!H21*100</f>
        <v>35.069999486318828</v>
      </c>
      <c r="J28" s="751">
        <f>F28*(H28/100)</f>
        <v>2031561.134547093</v>
      </c>
      <c r="L28" s="327" t="s">
        <v>1116</v>
      </c>
    </row>
    <row r="29" spans="2:12" s="301" customFormat="1" ht="15">
      <c r="B29" s="247"/>
      <c r="C29" s="247"/>
      <c r="H29" s="728"/>
      <c r="J29" s="239"/>
    </row>
    <row r="30" spans="2:12" s="301" customFormat="1" ht="15.6">
      <c r="B30" s="247" t="s">
        <v>1276</v>
      </c>
      <c r="C30" s="247"/>
      <c r="D30" s="1212" t="s">
        <v>2082</v>
      </c>
      <c r="F30" s="1222">
        <v>916341.84</v>
      </c>
      <c r="G30" s="299"/>
      <c r="H30" s="602"/>
      <c r="J30" s="332"/>
      <c r="L30" s="1212"/>
    </row>
    <row r="31" spans="2:12" s="301" customFormat="1" ht="15.6">
      <c r="B31" s="247"/>
      <c r="C31" s="247"/>
      <c r="D31" s="1446"/>
      <c r="E31" s="1448"/>
      <c r="F31" s="1447"/>
      <c r="G31" s="299"/>
      <c r="H31" s="602"/>
      <c r="J31" s="332"/>
      <c r="L31" s="1446"/>
    </row>
    <row r="32" spans="2:12" s="301" customFormat="1" ht="15.6">
      <c r="B32" s="247" t="s">
        <v>1277</v>
      </c>
      <c r="C32" s="247"/>
      <c r="D32" s="1212" t="s">
        <v>2083</v>
      </c>
      <c r="F32" s="1222" t="s">
        <v>2077</v>
      </c>
      <c r="G32" s="299"/>
      <c r="H32" s="602"/>
      <c r="J32" s="332"/>
      <c r="L32" s="1212"/>
    </row>
    <row r="33" spans="2:12" s="301" customFormat="1" ht="15.6">
      <c r="B33" s="247"/>
      <c r="C33" s="247"/>
      <c r="F33" s="311"/>
      <c r="G33" s="299"/>
      <c r="H33" s="602"/>
      <c r="J33" s="332"/>
    </row>
    <row r="34" spans="2:12" s="301" customFormat="1" ht="15">
      <c r="B34" s="247" t="s">
        <v>541</v>
      </c>
      <c r="C34" s="247"/>
      <c r="D34" s="1213"/>
      <c r="F34" s="1216"/>
      <c r="G34" s="299"/>
      <c r="H34" s="602"/>
      <c r="J34" s="648"/>
      <c r="L34" s="1212"/>
    </row>
    <row r="35" spans="2:12" s="301" customFormat="1" ht="15">
      <c r="B35" s="247"/>
      <c r="C35" s="247"/>
      <c r="D35" s="649"/>
      <c r="F35" s="650"/>
      <c r="G35" s="299"/>
      <c r="H35" s="602"/>
      <c r="J35" s="648"/>
    </row>
    <row r="36" spans="2:12" s="301" customFormat="1" ht="15.6">
      <c r="B36" s="247"/>
      <c r="C36" s="82"/>
      <c r="F36" s="313">
        <f>SUM(F30:F34)</f>
        <v>916341.84</v>
      </c>
      <c r="G36" s="287"/>
      <c r="H36" s="583">
        <v>100</v>
      </c>
      <c r="J36" s="313">
        <f>(F36*H36/100)</f>
        <v>916341.84</v>
      </c>
    </row>
    <row r="37" spans="2:12" s="301" customFormat="1" ht="16.2" thickBot="1">
      <c r="B37" s="247"/>
      <c r="C37" s="82"/>
      <c r="G37" s="287"/>
      <c r="H37" s="729"/>
      <c r="J37" s="239"/>
    </row>
    <row r="38" spans="2:12" ht="16.2" thickBot="1">
      <c r="B38" s="247">
        <v>4</v>
      </c>
      <c r="C38" s="25"/>
      <c r="D38" s="302" t="s">
        <v>5</v>
      </c>
      <c r="F38" s="311"/>
      <c r="J38" s="318">
        <f>SUM(J19:J36)</f>
        <v>2947902.9745470928</v>
      </c>
      <c r="K38" s="301"/>
      <c r="L38" s="317"/>
    </row>
    <row r="39" spans="2:12" ht="15.6">
      <c r="B39" s="307"/>
      <c r="D39" s="301"/>
      <c r="E39" s="301"/>
      <c r="H39" s="322"/>
      <c r="I39" s="301"/>
      <c r="J39" s="313"/>
      <c r="K39" s="301"/>
      <c r="L39" s="301"/>
    </row>
    <row r="40" spans="2:12" ht="15.6">
      <c r="B40" s="307"/>
      <c r="H40" s="301"/>
      <c r="I40" s="301"/>
      <c r="J40" s="262"/>
      <c r="K40" s="316"/>
      <c r="L40" s="316"/>
    </row>
    <row r="41" spans="2:12" ht="15">
      <c r="J41" s="262"/>
      <c r="K41" s="301"/>
      <c r="L41" s="301"/>
    </row>
    <row r="42" spans="2:12" ht="15">
      <c r="J42" s="262"/>
      <c r="K42" s="301"/>
      <c r="L42" s="301"/>
    </row>
  </sheetData>
  <customSheetViews>
    <customSheetView guid="{B321D76C-CDE5-48BB-9CDE-80FF97D58FCF}" scale="85" showPageBreaks="1" fitToPage="1" printArea="1" view="pageBreakPreview" topLeftCell="A13">
      <selection activeCell="D33" sqref="D33"/>
      <pageMargins left="0.7" right="0.7" top="0.75" bottom="0.75" header="0.3" footer="0.3"/>
      <printOptions horizontalCentered="1"/>
      <pageSetup scale="76" orientation="landscape" r:id="rId1"/>
    </customSheetView>
  </customSheetViews>
  <mergeCells count="5">
    <mergeCell ref="A4:L4"/>
    <mergeCell ref="A5:L5"/>
    <mergeCell ref="A6:L6"/>
    <mergeCell ref="A8:L8"/>
    <mergeCell ref="A9:L9"/>
  </mergeCells>
  <printOptions horizontalCentered="1"/>
  <pageMargins left="0.7" right="0.7" top="0.75" bottom="0.75" header="0.3" footer="0.3"/>
  <pageSetup scale="73"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codeName="Sheet35">
    <tabColor rgb="FF92D050"/>
    <pageSetUpPr fitToPage="1"/>
  </sheetPr>
  <dimension ref="A1:K32"/>
  <sheetViews>
    <sheetView showGridLines="0" defaultGridColor="0" view="pageBreakPreview" colorId="22" zoomScale="80" zoomScaleNormal="100" zoomScaleSheetLayoutView="80" workbookViewId="0">
      <selection activeCell="D20" sqref="D20"/>
    </sheetView>
  </sheetViews>
  <sheetFormatPr defaultColWidth="14.44140625" defaultRowHeight="12"/>
  <cols>
    <col min="1" max="1" width="7" customWidth="1"/>
    <col min="2" max="2" width="39.77734375" bestFit="1" customWidth="1"/>
    <col min="3" max="3" width="4.77734375" customWidth="1"/>
    <col min="4" max="4" width="21.77734375" customWidth="1"/>
    <col min="5" max="5" width="22.33203125" customWidth="1"/>
    <col min="6" max="6" width="3.77734375" customWidth="1"/>
    <col min="7" max="7" width="19.21875" customWidth="1"/>
    <col min="8" max="8" width="3" customWidth="1"/>
    <col min="9" max="9" width="14.21875" bestFit="1" customWidth="1"/>
    <col min="10" max="10" width="2.77734375" customWidth="1"/>
    <col min="11" max="11" width="29.109375" customWidth="1"/>
  </cols>
  <sheetData>
    <row r="1" spans="1:10" s="7" customFormat="1" ht="15.6">
      <c r="A1" s="13" t="s">
        <v>959</v>
      </c>
      <c r="C1" s="83"/>
      <c r="D1" s="3"/>
      <c r="E1" s="3"/>
      <c r="F1" s="3"/>
      <c r="G1" s="3"/>
      <c r="H1" s="3"/>
      <c r="J1" s="121"/>
    </row>
    <row r="2" spans="1:10" ht="15.6">
      <c r="A2" s="3"/>
      <c r="C2" s="3"/>
      <c r="D2" s="3"/>
      <c r="E2" s="3"/>
      <c r="F2" s="3"/>
      <c r="G2" s="3"/>
      <c r="H2" s="3"/>
      <c r="I2" s="3"/>
      <c r="J2" s="5"/>
    </row>
    <row r="3" spans="1:10" ht="15">
      <c r="A3" s="3"/>
      <c r="B3" s="3"/>
      <c r="C3" s="3"/>
      <c r="E3" s="3"/>
      <c r="F3" s="3"/>
      <c r="G3" s="3"/>
      <c r="H3" s="3"/>
      <c r="I3" s="3"/>
      <c r="J3" s="3"/>
    </row>
    <row r="4" spans="1:10" ht="15">
      <c r="J4" s="3"/>
    </row>
    <row r="5" spans="1:10" ht="17.399999999999999">
      <c r="A5" s="2037" t="s">
        <v>199</v>
      </c>
      <c r="B5" s="2037"/>
      <c r="C5" s="2037"/>
      <c r="D5" s="2037"/>
      <c r="E5" s="2037"/>
      <c r="F5" s="2037"/>
      <c r="G5" s="2037"/>
      <c r="H5" s="2037"/>
      <c r="I5" s="2037"/>
      <c r="J5" s="2037"/>
    </row>
    <row r="6" spans="1:10" ht="17.399999999999999">
      <c r="A6" s="2038" t="s">
        <v>103</v>
      </c>
      <c r="B6" s="2038"/>
      <c r="C6" s="2038"/>
      <c r="D6" s="2038"/>
      <c r="E6" s="2038"/>
      <c r="F6" s="2038"/>
      <c r="G6" s="2038"/>
      <c r="H6" s="2038"/>
      <c r="I6" s="2038"/>
      <c r="J6" s="2038"/>
    </row>
    <row r="7" spans="1:10" ht="17.399999999999999">
      <c r="A7" s="2036" t="str">
        <f>SUMMARY!A7</f>
        <v>YEAR ENDING DECEMBER 31, 2021</v>
      </c>
      <c r="B7" s="2036"/>
      <c r="C7" s="2036"/>
      <c r="D7" s="2036"/>
      <c r="E7" s="2036"/>
      <c r="F7" s="2036"/>
      <c r="G7" s="2036"/>
      <c r="H7" s="2036"/>
      <c r="I7" s="2036"/>
      <c r="J7" s="2036"/>
    </row>
    <row r="8" spans="1:10" ht="15.6">
      <c r="A8" s="812"/>
      <c r="B8" s="812"/>
      <c r="C8" s="812"/>
      <c r="D8" s="812"/>
      <c r="E8" s="812"/>
      <c r="F8" s="812"/>
      <c r="G8" s="812"/>
      <c r="H8" s="812"/>
      <c r="I8" s="812"/>
      <c r="J8" s="812"/>
    </row>
    <row r="9" spans="1:10" ht="15.6">
      <c r="A9" s="1982" t="s">
        <v>958</v>
      </c>
      <c r="B9" s="1982"/>
      <c r="C9" s="1982"/>
      <c r="D9" s="1982"/>
      <c r="E9" s="1982"/>
      <c r="F9" s="1982"/>
      <c r="G9" s="1982"/>
      <c r="H9" s="1982"/>
      <c r="I9" s="1982"/>
      <c r="J9" s="1982"/>
    </row>
    <row r="10" spans="1:10" ht="15.6">
      <c r="A10" s="1980" t="s">
        <v>781</v>
      </c>
      <c r="B10" s="1980"/>
      <c r="C10" s="1980"/>
      <c r="D10" s="1980"/>
      <c r="E10" s="1980"/>
      <c r="F10" s="1980"/>
      <c r="G10" s="1980"/>
      <c r="H10" s="1980"/>
      <c r="I10" s="1980"/>
      <c r="J10" s="1980"/>
    </row>
    <row r="11" spans="1:10" ht="15.6">
      <c r="A11" s="1980"/>
      <c r="B11" s="1980"/>
      <c r="C11" s="1980"/>
      <c r="D11" s="1980"/>
      <c r="E11" s="1980"/>
      <c r="F11" s="1980"/>
      <c r="G11" s="1980"/>
      <c r="H11" s="1980"/>
      <c r="I11" s="1980"/>
      <c r="J11" s="1980"/>
    </row>
    <row r="12" spans="1:10" ht="15.6">
      <c r="A12" s="141"/>
      <c r="B12" s="141"/>
      <c r="C12" s="141"/>
      <c r="D12" s="141"/>
      <c r="E12" s="141"/>
      <c r="F12" s="141"/>
      <c r="G12" s="141"/>
      <c r="H12" s="141"/>
      <c r="I12" s="141"/>
      <c r="J12" s="141"/>
    </row>
    <row r="14" spans="1:10" ht="13.2">
      <c r="F14" s="9"/>
      <c r="J14" s="119"/>
    </row>
    <row r="15" spans="1:10" s="119" customFormat="1" ht="13.2"/>
    <row r="16" spans="1:10" s="119" customFormat="1" ht="15">
      <c r="A16" s="3"/>
      <c r="B16" s="3"/>
      <c r="C16" s="3"/>
      <c r="D16" s="288"/>
      <c r="E16" s="288"/>
      <c r="F16" s="288"/>
      <c r="G16" s="3"/>
      <c r="H16" s="3"/>
      <c r="I16" s="3"/>
    </row>
    <row r="17" spans="1:11" s="119" customFormat="1" ht="15">
      <c r="F17" s="289"/>
      <c r="J17" s="3"/>
    </row>
    <row r="18" spans="1:11" s="119" customFormat="1" ht="15.6">
      <c r="A18" s="3"/>
      <c r="B18" s="3"/>
      <c r="C18" s="3"/>
      <c r="E18" s="3"/>
      <c r="F18" s="288"/>
      <c r="G18" s="3"/>
      <c r="H18" s="3"/>
      <c r="I18" s="811" t="s">
        <v>736</v>
      </c>
    </row>
    <row r="19" spans="1:11" s="119" customFormat="1" ht="15.6">
      <c r="C19" s="3"/>
      <c r="D19" s="1223" t="s">
        <v>2053</v>
      </c>
      <c r="E19" s="1223" t="s">
        <v>2014</v>
      </c>
      <c r="F19" s="3"/>
      <c r="G19" s="290" t="s">
        <v>66</v>
      </c>
      <c r="H19" s="3"/>
      <c r="I19" s="290" t="s">
        <v>737</v>
      </c>
      <c r="J19" s="811"/>
      <c r="K19" s="283" t="s">
        <v>455</v>
      </c>
    </row>
    <row r="20" spans="1:11" s="119" customFormat="1" ht="15.6">
      <c r="A20" s="3"/>
      <c r="B20" s="3"/>
      <c r="C20" s="3"/>
      <c r="D20" s="291" t="s">
        <v>6</v>
      </c>
      <c r="E20" s="291" t="s">
        <v>7</v>
      </c>
      <c r="F20" s="3"/>
      <c r="G20" s="291" t="s">
        <v>8</v>
      </c>
      <c r="H20" s="3"/>
      <c r="I20" s="291" t="s">
        <v>9</v>
      </c>
      <c r="J20" s="290"/>
      <c r="K20" s="285" t="s">
        <v>196</v>
      </c>
    </row>
    <row r="21" spans="1:11" s="119" customFormat="1" ht="15">
      <c r="J21" s="291"/>
      <c r="K21" s="82"/>
    </row>
    <row r="22" spans="1:11" s="119" customFormat="1" ht="15.6">
      <c r="A22" s="291">
        <v>1</v>
      </c>
      <c r="B22" s="292" t="s">
        <v>53</v>
      </c>
      <c r="C22" s="3"/>
      <c r="D22" s="801">
        <f>'WP-BC'!G165+'WP-BC'!G104+SUM('WP-BC'!G35:G52)-'WP-BC'!G101-'WP-BC'!G161-'WP-BC'!G162</f>
        <v>3948278901.7299995</v>
      </c>
      <c r="E22" s="801">
        <f>'WP-BC'!K165+'WP-BC'!K104+SUM('WP-BC'!K35:K52)-'WP-BC'!K101-'WP-BC'!K161-'WP-BC'!K162</f>
        <v>3820960819.8899994</v>
      </c>
      <c r="F22" s="802"/>
      <c r="G22" s="803">
        <f>(E22+D22)/2</f>
        <v>3884619860.8099995</v>
      </c>
      <c r="H22" s="702"/>
      <c r="I22" s="761">
        <f>G22/G26</f>
        <v>0.77103728575083175</v>
      </c>
      <c r="K22" s="82" t="s">
        <v>1136</v>
      </c>
    </row>
    <row r="23" spans="1:11" s="119" customFormat="1" ht="16.2" thickBot="1">
      <c r="A23" s="294"/>
      <c r="B23" s="294"/>
      <c r="D23" s="804"/>
      <c r="E23" s="804"/>
      <c r="F23" s="805"/>
      <c r="G23" s="806"/>
      <c r="H23" s="704"/>
      <c r="I23" s="703"/>
      <c r="J23" s="296"/>
      <c r="K23" s="82"/>
    </row>
    <row r="24" spans="1:11" s="119" customFormat="1" ht="16.2" thickBot="1">
      <c r="A24" s="291">
        <v>2</v>
      </c>
      <c r="B24" s="292" t="s">
        <v>603</v>
      </c>
      <c r="C24" s="3"/>
      <c r="D24" s="807">
        <f>'WP-BC'!G170+'WP-BC'!G181+'WP-BC'!G185+'WP-BC'!G193+'WP-BC'!G194+'WP-BC'!G200+'WP-BC'!G206</f>
        <v>1229591153.0600002</v>
      </c>
      <c r="E24" s="807">
        <f>'WP-BC'!K170+'WP-BC'!K181+'WP-BC'!K185+'WP-BC'!K193+'WP-BC'!K194+'WP-BC'!K200+'WP-BC'!K206</f>
        <v>1077516748.4500003</v>
      </c>
      <c r="F24" s="802"/>
      <c r="G24" s="808">
        <f>(E24+D24)/2</f>
        <v>1153553950.7550001</v>
      </c>
      <c r="H24" s="702"/>
      <c r="I24" s="762">
        <f>G24/G26</f>
        <v>0.22896271424916831</v>
      </c>
      <c r="J24" s="297"/>
      <c r="K24" s="82" t="s">
        <v>1136</v>
      </c>
    </row>
    <row r="25" spans="1:11" s="119" customFormat="1" ht="15.6">
      <c r="A25" s="294"/>
      <c r="D25" s="585"/>
      <c r="E25" s="585"/>
      <c r="F25" s="585"/>
      <c r="G25" s="584"/>
      <c r="H25" s="704"/>
      <c r="I25" s="704"/>
      <c r="J25" s="296"/>
      <c r="K25" s="82"/>
    </row>
    <row r="26" spans="1:11" s="119" customFormat="1" ht="15.6">
      <c r="A26" s="291">
        <v>3</v>
      </c>
      <c r="B26" s="4" t="s">
        <v>32</v>
      </c>
      <c r="C26" s="3"/>
      <c r="D26" s="803">
        <f>SUM(D22:D25)</f>
        <v>5177870054.79</v>
      </c>
      <c r="E26" s="803">
        <f>SUM(E22:E25)</f>
        <v>4898477568.3400002</v>
      </c>
      <c r="F26" s="802"/>
      <c r="G26" s="803">
        <f>SUM(G22:G25)</f>
        <v>5038173811.5649996</v>
      </c>
      <c r="H26" s="702"/>
      <c r="I26" s="761">
        <f>G26/G26</f>
        <v>1</v>
      </c>
      <c r="J26" s="295"/>
      <c r="K26" s="82"/>
    </row>
    <row r="27" spans="1:11" s="119" customFormat="1" ht="15.6">
      <c r="D27" s="293"/>
      <c r="E27" s="293"/>
      <c r="F27" s="293"/>
      <c r="G27" s="298"/>
      <c r="H27" s="293"/>
      <c r="I27" s="293"/>
      <c r="J27" s="293"/>
      <c r="K27" s="82"/>
    </row>
    <row r="28" spans="1:11" s="103" customFormat="1" ht="13.8">
      <c r="A28"/>
      <c r="B28"/>
      <c r="C28"/>
      <c r="D28"/>
      <c r="E28"/>
      <c r="F28"/>
      <c r="G28"/>
      <c r="H28"/>
      <c r="I28"/>
      <c r="J28" s="119"/>
    </row>
    <row r="29" spans="1:11" ht="13.2">
      <c r="J29" s="119"/>
    </row>
    <row r="30" spans="1:11" ht="13.2">
      <c r="J30" s="119"/>
    </row>
    <row r="31" spans="1:11" ht="13.2">
      <c r="J31" s="119"/>
    </row>
    <row r="32" spans="1:11" ht="13.2">
      <c r="J32" s="119"/>
    </row>
  </sheetData>
  <sheetProtection algorithmName="SHA-512" hashValue="4dzEnxU5UKJkqaJmiri49JEwUo11ViMEdNk/eb7pEy3crVgosdUTkdcv7aeoSGfiwsjEGb3ut8gs7f3v8NFVng==" saltValue="MkaDt+Cx34EOAhlR1qykYQ==" spinCount="100000" sheet="1" objects="1" scenarios="1"/>
  <customSheetViews>
    <customSheetView guid="{B321D76C-CDE5-48BB-9CDE-80FF97D58FCF}" scale="85" colorId="22" showPageBreaks="1" showGridLines="0" fitToPage="1" printArea="1" view="pageBreakPreview" topLeftCell="A4">
      <selection activeCell="D33" sqref="D33"/>
      <colBreaks count="1" manualBreakCount="1">
        <brk id="12" max="1048575" man="1"/>
      </colBreaks>
      <pageMargins left="0.5" right="0.25" top="0.25" bottom="0.25" header="0.5" footer="0.5"/>
      <printOptions horizontalCentered="1"/>
      <pageSetup scale="85" orientation="landscape" r:id="rId1"/>
      <headerFooter alignWithMargins="0"/>
    </customSheetView>
  </customSheetViews>
  <mergeCells count="6">
    <mergeCell ref="A11:J11"/>
    <mergeCell ref="A7:J7"/>
    <mergeCell ref="A9:J9"/>
    <mergeCell ref="A5:J5"/>
    <mergeCell ref="A6:J6"/>
    <mergeCell ref="A10:J10"/>
  </mergeCells>
  <phoneticPr fontId="0" type="noConversion"/>
  <printOptions horizontalCentered="1"/>
  <pageMargins left="0.5" right="0.25" top="0.25" bottom="0.25" header="0.5" footer="0.5"/>
  <pageSetup scale="79" orientation="landscape" r:id="rId2"/>
  <headerFooter alignWithMargins="0"/>
  <colBreaks count="1" manualBreakCount="1">
    <brk id="12" max="1048575"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70C0"/>
  </sheetPr>
  <dimension ref="A1:Y234"/>
  <sheetViews>
    <sheetView showGridLines="0" defaultGridColor="0" view="pageBreakPreview" topLeftCell="B1" colorId="22" zoomScale="80" zoomScaleNormal="85" zoomScaleSheetLayoutView="80" workbookViewId="0">
      <selection activeCell="A146" sqref="A1:A1048576"/>
    </sheetView>
  </sheetViews>
  <sheetFormatPr defaultColWidth="13.44140625" defaultRowHeight="12"/>
  <cols>
    <col min="1" max="1" width="12.109375" style="1234" hidden="1" customWidth="1"/>
    <col min="2" max="2" width="11.109375" style="1291" customWidth="1"/>
    <col min="3" max="3" width="25.77734375" style="1140" customWidth="1"/>
    <col min="4" max="4" width="21.77734375" style="1292" customWidth="1"/>
    <col min="5" max="5" width="2.33203125" style="1140" customWidth="1"/>
    <col min="6" max="6" width="0.77734375" style="1140" customWidth="1"/>
    <col min="7" max="7" width="18.44140625" style="1140" customWidth="1"/>
    <col min="8" max="8" width="2.77734375" style="1140" customWidth="1"/>
    <col min="9" max="9" width="25.44140625" style="1140" customWidth="1"/>
    <col min="10" max="10" width="2.44140625" style="1140" customWidth="1"/>
    <col min="11" max="11" width="29.109375" style="1293" customWidth="1"/>
    <col min="12" max="12" width="1.109375" style="1140" customWidth="1"/>
    <col min="13" max="13" width="5.44140625" style="1140" hidden="1" customWidth="1"/>
    <col min="14" max="14" width="5.44140625" style="1140" customWidth="1"/>
    <col min="15" max="17" width="13.44140625" style="1594"/>
    <col min="18" max="18" width="28.77734375" style="1594" customWidth="1"/>
    <col min="19" max="19" width="18.77734375" style="1594" bestFit="1" customWidth="1"/>
    <col min="20" max="20" width="18.21875" style="1594" bestFit="1" customWidth="1"/>
    <col min="21" max="21" width="16.44140625" style="1594" bestFit="1" customWidth="1"/>
    <col min="22" max="22" width="18.21875" style="1594" bestFit="1" customWidth="1"/>
    <col min="23" max="23" width="13.44140625" style="1594"/>
    <col min="24" max="24" width="18.109375" style="1594" bestFit="1" customWidth="1"/>
    <col min="25" max="25" width="13.44140625" style="1594"/>
    <col min="26" max="16384" width="13.44140625" style="1140"/>
  </cols>
  <sheetData>
    <row r="1" spans="1:25" s="1156" customFormat="1" ht="15.6">
      <c r="A1" s="1232"/>
      <c r="B1" s="625" t="s">
        <v>960</v>
      </c>
      <c r="C1" s="71"/>
      <c r="D1" s="142"/>
      <c r="E1" s="71"/>
      <c r="F1" s="71"/>
      <c r="G1" s="71"/>
      <c r="H1" s="71"/>
      <c r="I1" s="71"/>
      <c r="J1" s="71"/>
      <c r="K1" s="1233"/>
      <c r="L1" s="71"/>
      <c r="M1" s="71"/>
      <c r="N1" s="122"/>
      <c r="O1" s="1593"/>
      <c r="P1" s="1593"/>
      <c r="Q1" s="1593"/>
      <c r="R1" s="1593"/>
      <c r="S1" s="1593"/>
      <c r="T1" s="1593"/>
      <c r="U1" s="1593"/>
      <c r="V1" s="1593"/>
      <c r="W1" s="1593"/>
      <c r="X1" s="1593"/>
      <c r="Y1" s="1593"/>
    </row>
    <row r="2" spans="1:25" ht="17.399999999999999">
      <c r="B2" s="1140"/>
      <c r="D2" s="1235"/>
      <c r="E2" s="10"/>
      <c r="G2" s="10"/>
      <c r="H2" s="10"/>
      <c r="I2" s="10"/>
      <c r="J2" s="10"/>
      <c r="K2" s="150"/>
      <c r="L2" s="10"/>
      <c r="M2" s="10"/>
      <c r="N2" s="10"/>
    </row>
    <row r="3" spans="1:25" ht="17.399999999999999">
      <c r="B3" s="1986" t="s">
        <v>199</v>
      </c>
      <c r="C3" s="1986"/>
      <c r="D3" s="1986"/>
      <c r="E3" s="1986"/>
      <c r="F3" s="1986"/>
      <c r="G3" s="1986"/>
      <c r="H3" s="1986"/>
      <c r="I3" s="1986"/>
      <c r="J3" s="1986"/>
      <c r="K3" s="1986"/>
      <c r="L3" s="1986"/>
      <c r="M3" s="1986"/>
      <c r="N3" s="1986"/>
    </row>
    <row r="4" spans="1:25" ht="17.399999999999999">
      <c r="B4" s="1986" t="s">
        <v>103</v>
      </c>
      <c r="C4" s="1986"/>
      <c r="D4" s="1986"/>
      <c r="E4" s="1986"/>
      <c r="F4" s="1986"/>
      <c r="G4" s="1986"/>
      <c r="H4" s="1986"/>
      <c r="I4" s="1986"/>
      <c r="J4" s="1986"/>
      <c r="K4" s="1986"/>
      <c r="L4" s="1986"/>
      <c r="M4" s="1986"/>
      <c r="N4" s="1986"/>
    </row>
    <row r="5" spans="1:25" ht="17.399999999999999">
      <c r="B5" s="2036" t="str">
        <f>SUMMARY!A7</f>
        <v>YEAR ENDING DECEMBER 31, 2021</v>
      </c>
      <c r="C5" s="2036"/>
      <c r="D5" s="2036"/>
      <c r="E5" s="2036"/>
      <c r="F5" s="2036"/>
      <c r="G5" s="2036"/>
      <c r="H5" s="2036"/>
      <c r="I5" s="2036"/>
      <c r="J5" s="2036"/>
      <c r="K5" s="2036"/>
      <c r="L5" s="2036"/>
      <c r="M5" s="2036"/>
      <c r="N5" s="2036"/>
    </row>
    <row r="6" spans="1:25" ht="17.399999999999999">
      <c r="B6" s="1236"/>
      <c r="D6" s="143"/>
      <c r="E6" s="10"/>
      <c r="F6" s="10"/>
      <c r="G6" s="10"/>
      <c r="H6" s="10"/>
      <c r="I6" s="10"/>
      <c r="J6" s="10"/>
      <c r="K6" s="150"/>
      <c r="L6" s="10"/>
      <c r="M6" s="10"/>
      <c r="N6" s="10"/>
    </row>
    <row r="7" spans="1:25" ht="17.399999999999999">
      <c r="B7" s="1986" t="s">
        <v>961</v>
      </c>
      <c r="C7" s="1986"/>
      <c r="D7" s="1986"/>
      <c r="E7" s="1986"/>
      <c r="F7" s="1986"/>
      <c r="G7" s="1986"/>
      <c r="H7" s="1986"/>
      <c r="I7" s="1986"/>
      <c r="J7" s="1986"/>
      <c r="K7" s="1986"/>
      <c r="L7" s="1986"/>
      <c r="M7" s="1986"/>
      <c r="N7" s="1986"/>
      <c r="S7" s="1595"/>
      <c r="T7" s="1595"/>
      <c r="U7" s="1595"/>
      <c r="V7" s="1595"/>
    </row>
    <row r="8" spans="1:25" ht="17.399999999999999">
      <c r="B8" s="1986" t="s">
        <v>257</v>
      </c>
      <c r="C8" s="1986"/>
      <c r="D8" s="1986"/>
      <c r="E8" s="1986"/>
      <c r="F8" s="1986"/>
      <c r="G8" s="1986"/>
      <c r="H8" s="1986"/>
      <c r="I8" s="1986"/>
      <c r="J8" s="1986"/>
      <c r="K8" s="1986"/>
      <c r="L8" s="1986"/>
      <c r="M8" s="1986"/>
      <c r="N8" s="1986"/>
      <c r="R8" s="1225"/>
      <c r="S8" s="1151"/>
      <c r="T8" s="1151"/>
      <c r="U8" s="1151"/>
      <c r="V8" s="1151"/>
    </row>
    <row r="9" spans="1:25" ht="17.399999999999999">
      <c r="B9" s="823"/>
      <c r="C9" s="814"/>
      <c r="D9" s="144"/>
      <c r="E9" s="814"/>
      <c r="F9" s="814"/>
      <c r="G9" s="814"/>
      <c r="H9" s="814"/>
      <c r="I9" s="814"/>
      <c r="J9" s="814"/>
      <c r="K9" s="151"/>
      <c r="L9" s="814"/>
      <c r="M9" s="814"/>
      <c r="N9" s="814"/>
      <c r="R9" s="1225"/>
      <c r="S9" s="1151"/>
      <c r="T9" s="1151"/>
      <c r="U9" s="1151"/>
      <c r="V9" s="1151"/>
    </row>
    <row r="10" spans="1:25" s="1238" customFormat="1" ht="15.6">
      <c r="A10" s="1237"/>
      <c r="B10" s="2040" t="s">
        <v>2018</v>
      </c>
      <c r="C10" s="2040"/>
      <c r="D10" s="2040"/>
      <c r="E10" s="2040"/>
      <c r="F10" s="2040"/>
      <c r="G10" s="2040"/>
      <c r="H10" s="2040"/>
      <c r="I10" s="2040"/>
      <c r="J10" s="2040"/>
      <c r="K10" s="2040"/>
      <c r="L10" s="2040"/>
      <c r="M10" s="2040"/>
      <c r="N10" s="2040"/>
      <c r="O10" s="1596"/>
      <c r="P10" s="1596"/>
      <c r="Q10" s="1596"/>
      <c r="R10" s="1225"/>
      <c r="S10" s="1151"/>
      <c r="T10" s="1151"/>
      <c r="U10" s="1151"/>
      <c r="V10" s="1151"/>
      <c r="W10" s="1596"/>
      <c r="X10" s="1596"/>
      <c r="Y10" s="1596"/>
    </row>
    <row r="11" spans="1:25" s="1240" customFormat="1" ht="15.6">
      <c r="A11" s="1239"/>
      <c r="D11" s="1241" t="s">
        <v>192</v>
      </c>
      <c r="E11" s="1241"/>
      <c r="F11" s="1241"/>
      <c r="G11" s="1241" t="s">
        <v>193</v>
      </c>
      <c r="H11" s="1242"/>
      <c r="I11" s="1241" t="s">
        <v>194</v>
      </c>
      <c r="J11" s="1242"/>
      <c r="K11" s="1241" t="s">
        <v>195</v>
      </c>
      <c r="L11" s="1242"/>
      <c r="O11" s="1248"/>
      <c r="P11" s="1248"/>
      <c r="Q11" s="1248"/>
      <c r="R11" s="1225"/>
      <c r="S11" s="1151"/>
      <c r="T11" s="1151"/>
      <c r="U11" s="1151"/>
      <c r="V11" s="1151"/>
      <c r="W11" s="1248"/>
      <c r="X11" s="1248"/>
      <c r="Y11" s="1248"/>
    </row>
    <row r="12" spans="1:25" s="1240" customFormat="1" ht="15.6">
      <c r="A12" s="1239"/>
      <c r="D12" s="1243"/>
      <c r="F12" s="1242"/>
      <c r="G12" s="1244" t="s">
        <v>230</v>
      </c>
      <c r="H12" s="1242"/>
      <c r="I12" s="1242"/>
      <c r="J12" s="1242"/>
      <c r="K12" s="1245"/>
      <c r="L12" s="1242"/>
      <c r="M12" s="1246"/>
      <c r="O12" s="1248"/>
      <c r="P12" s="1248"/>
      <c r="Q12" s="1248"/>
      <c r="R12" s="1225"/>
      <c r="S12" s="1151"/>
      <c r="T12" s="1151"/>
      <c r="U12" s="1151"/>
      <c r="V12" s="1151"/>
      <c r="W12" s="1248"/>
      <c r="X12" s="1248"/>
      <c r="Y12" s="1248"/>
    </row>
    <row r="13" spans="1:25" s="1240" customFormat="1" ht="15.6">
      <c r="A13" s="1239"/>
      <c r="D13" s="1247" t="s">
        <v>231</v>
      </c>
      <c r="E13" s="1248"/>
      <c r="F13" s="1242"/>
      <c r="G13" s="1249" t="s">
        <v>228</v>
      </c>
      <c r="H13" s="1250"/>
      <c r="I13" s="1251" t="s">
        <v>229</v>
      </c>
      <c r="J13" s="1242"/>
      <c r="K13" s="1252" t="s">
        <v>280</v>
      </c>
      <c r="L13" s="1242"/>
      <c r="M13" s="1253"/>
      <c r="O13" s="1248"/>
      <c r="P13" s="1248"/>
      <c r="Q13" s="1248"/>
      <c r="R13" s="1225"/>
      <c r="S13" s="1151"/>
      <c r="T13" s="1151"/>
      <c r="U13" s="1151"/>
      <c r="V13" s="1151"/>
      <c r="W13" s="1248"/>
      <c r="X13" s="1248"/>
      <c r="Y13" s="1248"/>
    </row>
    <row r="14" spans="1:25" s="1238" customFormat="1" ht="13.8">
      <c r="A14" s="1237"/>
      <c r="D14" s="1254"/>
      <c r="G14" s="1255"/>
      <c r="K14" s="1256"/>
      <c r="O14" s="1596"/>
      <c r="P14" s="1596"/>
      <c r="Q14" s="1596"/>
      <c r="R14" s="1225"/>
      <c r="S14" s="1151"/>
      <c r="T14" s="1151"/>
      <c r="U14" s="1151"/>
      <c r="V14" s="1151"/>
      <c r="W14" s="1596"/>
      <c r="X14" s="1596"/>
      <c r="Y14" s="1596"/>
    </row>
    <row r="15" spans="1:25" s="1259" customFormat="1" ht="15.6">
      <c r="A15" s="1257"/>
      <c r="B15" s="1258" t="s">
        <v>1</v>
      </c>
      <c r="C15" s="1258" t="s">
        <v>35</v>
      </c>
      <c r="D15" s="1258" t="s">
        <v>258</v>
      </c>
      <c r="G15" s="1260"/>
      <c r="K15" s="1261"/>
      <c r="O15" s="1597"/>
      <c r="P15" s="1597"/>
      <c r="Q15" s="1597"/>
      <c r="R15" s="1597"/>
      <c r="S15" s="1598"/>
      <c r="T15" s="1598"/>
      <c r="U15" s="1598"/>
      <c r="V15" s="1598"/>
      <c r="W15" s="1597"/>
      <c r="X15" s="1597"/>
      <c r="Y15" s="1597"/>
    </row>
    <row r="16" spans="1:25" s="1259" customFormat="1" ht="13.2">
      <c r="A16" s="1262" t="str">
        <f t="shared" ref="A16:A87" si="0">CONCATENATE(D16,G16,I16)</f>
        <v>BLENHEIM - GILBOA390Structures &amp; Improvements</v>
      </c>
      <c r="B16" s="1263" t="s">
        <v>471</v>
      </c>
      <c r="C16" s="1224" t="str">
        <f>CONCATENATE("WP-BC, column 8, line ",VLOOKUP(A16,'WP-BC'!A18:N358, 2, FALSE))</f>
        <v>WP-BC, column 8, line 12a</v>
      </c>
      <c r="D16" s="1225" t="s">
        <v>1889</v>
      </c>
      <c r="E16" s="1225"/>
      <c r="F16" s="1225"/>
      <c r="G16" s="1264">
        <v>390</v>
      </c>
      <c r="H16" s="1226"/>
      <c r="I16" s="1227" t="s">
        <v>69</v>
      </c>
      <c r="J16" s="1265"/>
      <c r="K16" s="1266">
        <f>IFERROR(VLOOKUP(A16,'WP-BC'!A$18:AG$351,10,FALSE),0)</f>
        <v>653442.56000000006</v>
      </c>
      <c r="L16" s="1267"/>
      <c r="M16" s="1259" t="s">
        <v>227</v>
      </c>
      <c r="O16" s="1597"/>
      <c r="P16" s="1597"/>
      <c r="Q16" s="1597"/>
      <c r="R16" s="1597"/>
      <c r="S16" s="1597"/>
      <c r="T16" s="9"/>
      <c r="U16" s="1597"/>
      <c r="V16" s="1597"/>
      <c r="W16" s="1597"/>
      <c r="X16" s="1597"/>
      <c r="Y16" s="1597"/>
    </row>
    <row r="17" spans="1:25" s="1259" customFormat="1" ht="13.2">
      <c r="A17" s="1262" t="str">
        <f t="shared" si="0"/>
        <v>HEADQUARTERS390Structures &amp; Improvements</v>
      </c>
      <c r="B17" s="1263" t="s">
        <v>473</v>
      </c>
      <c r="C17" s="1224" t="str">
        <f>CONCATENATE("WP-BC, column 8, line ",VLOOKUP(A17,'WP-BC'!A19:N359, 2, FALSE))</f>
        <v>WP-BC, column 8, line 12k</v>
      </c>
      <c r="D17" s="1225" t="s">
        <v>1896</v>
      </c>
      <c r="E17" s="1225"/>
      <c r="F17" s="1225"/>
      <c r="G17" s="1264">
        <v>390</v>
      </c>
      <c r="H17" s="1226"/>
      <c r="I17" s="1227" t="s">
        <v>69</v>
      </c>
      <c r="J17" s="1265"/>
      <c r="K17" s="1266">
        <f>IFERROR(VLOOKUP(A17,'WP-BC'!A$18:AG$351,10,FALSE),0)</f>
        <v>1163423.0500000003</v>
      </c>
      <c r="L17" s="1267"/>
      <c r="M17" s="1259" t="s">
        <v>227</v>
      </c>
      <c r="O17" s="1597"/>
      <c r="P17" s="1597"/>
      <c r="Q17" s="1597"/>
      <c r="R17" s="1597"/>
      <c r="S17" s="1599"/>
      <c r="T17" s="9"/>
      <c r="U17" s="9"/>
      <c r="V17" s="9"/>
      <c r="W17" s="1597"/>
      <c r="X17" s="1597"/>
      <c r="Y17" s="1597"/>
    </row>
    <row r="18" spans="1:25" s="1259" customFormat="1" ht="13.2">
      <c r="A18" s="1262" t="str">
        <f t="shared" si="0"/>
        <v>MARCY-SOUTH390Structures &amp; Improvements</v>
      </c>
      <c r="B18" s="1263" t="s">
        <v>494</v>
      </c>
      <c r="C18" s="1224"/>
      <c r="D18" s="1225" t="s">
        <v>1893</v>
      </c>
      <c r="E18" s="1225"/>
      <c r="F18" s="1225"/>
      <c r="G18" s="1264">
        <v>390</v>
      </c>
      <c r="H18" s="1226"/>
      <c r="I18" s="1227" t="s">
        <v>69</v>
      </c>
      <c r="J18" s="1265"/>
      <c r="K18" s="1266">
        <f>IFERROR(VLOOKUP(A18,'WP-BC'!A$18:AG$351,10,FALSE),0)</f>
        <v>0</v>
      </c>
      <c r="L18" s="1267"/>
      <c r="M18" s="1259" t="s">
        <v>227</v>
      </c>
      <c r="O18" s="1597"/>
      <c r="P18" s="1597"/>
      <c r="Q18" s="1597"/>
      <c r="R18" s="1597"/>
      <c r="S18" s="1599"/>
      <c r="T18" s="9"/>
      <c r="U18" s="9"/>
      <c r="V18" s="9"/>
      <c r="W18" s="1597"/>
      <c r="X18" s="1597"/>
      <c r="Y18" s="1597"/>
    </row>
    <row r="19" spans="1:25" s="1259" customFormat="1" ht="13.2">
      <c r="A19" s="1262" t="str">
        <f t="shared" si="0"/>
        <v>MASSENA - MARCY  (Clark)390Structures &amp; Improvements</v>
      </c>
      <c r="B19" s="1268" t="s">
        <v>495</v>
      </c>
      <c r="C19" s="1224" t="str">
        <f>CONCATENATE("WP-BC, column 8, line ",VLOOKUP(A19,'WP-BC'!A21:N361, 2, FALSE))</f>
        <v>WP-BC, column 8, line 12w</v>
      </c>
      <c r="D19" s="1225" t="s">
        <v>1894</v>
      </c>
      <c r="E19" s="1225"/>
      <c r="F19" s="1225"/>
      <c r="G19" s="1264">
        <v>390</v>
      </c>
      <c r="H19" s="1226"/>
      <c r="I19" s="1227" t="s">
        <v>69</v>
      </c>
      <c r="J19" s="1265"/>
      <c r="K19" s="1266">
        <f>IFERROR(VLOOKUP(A19,'WP-BC'!A$18:AG$351,10,FALSE),0)</f>
        <v>736960.40000000014</v>
      </c>
      <c r="L19" s="1267"/>
      <c r="M19" s="1259" t="s">
        <v>227</v>
      </c>
      <c r="O19" s="1597"/>
      <c r="P19" s="1597"/>
      <c r="Q19" s="1597"/>
      <c r="R19" s="1597"/>
      <c r="S19" s="1599"/>
      <c r="T19" s="9"/>
      <c r="U19" s="9"/>
      <c r="V19" s="9"/>
      <c r="W19" s="1597"/>
      <c r="X19" s="1597"/>
      <c r="Y19" s="1597"/>
    </row>
    <row r="20" spans="1:25" s="1259" customFormat="1" ht="13.2">
      <c r="A20" s="1262" t="str">
        <f t="shared" si="0"/>
        <v>NIAGARA390Structures &amp; Improvements</v>
      </c>
      <c r="B20" s="1268" t="s">
        <v>496</v>
      </c>
      <c r="C20" s="1224" t="str">
        <f>CONCATENATE("WP-BC, column 8, line ",VLOOKUP(A20,'WP-BC'!A22:N362, 2, FALSE))</f>
        <v>WP-BC, column 8, line 12ah</v>
      </c>
      <c r="D20" s="1225" t="s">
        <v>30</v>
      </c>
      <c r="E20" s="1225"/>
      <c r="F20" s="1225"/>
      <c r="G20" s="1264">
        <v>390</v>
      </c>
      <c r="H20" s="1226"/>
      <c r="I20" s="1227" t="s">
        <v>69</v>
      </c>
      <c r="J20" s="1265"/>
      <c r="K20" s="1266">
        <f>IFERROR(VLOOKUP(A20,'WP-BC'!A$18:AG$351,10,FALSE),0)</f>
        <v>769672.44000000006</v>
      </c>
      <c r="L20" s="1267"/>
      <c r="M20" s="1259" t="s">
        <v>227</v>
      </c>
      <c r="O20" s="1597"/>
      <c r="P20" s="1597"/>
      <c r="Q20" s="1597"/>
      <c r="R20" s="1597"/>
      <c r="S20" s="1595"/>
      <c r="T20" s="1595"/>
      <c r="U20" s="1595"/>
      <c r="V20" s="1595"/>
      <c r="W20" s="1597"/>
      <c r="X20" s="1597"/>
      <c r="Y20" s="1597"/>
    </row>
    <row r="21" spans="1:25" s="1259" customFormat="1" ht="13.2">
      <c r="A21" s="1262" t="str">
        <f t="shared" si="0"/>
        <v>St.  LAWRENCE / FDR390Structures &amp; Improvements</v>
      </c>
      <c r="B21" s="1268" t="s">
        <v>497</v>
      </c>
      <c r="C21" s="1224" t="str">
        <f>CONCATENATE("WP-BC, column 8, line ",VLOOKUP(A21,'WP-BC'!A23:N363, 2, FALSE))</f>
        <v>WP-BC, column 8, line 12at</v>
      </c>
      <c r="D21" s="1225" t="s">
        <v>1895</v>
      </c>
      <c r="E21" s="1225"/>
      <c r="F21" s="1225"/>
      <c r="G21" s="1264">
        <v>390</v>
      </c>
      <c r="H21" s="1226"/>
      <c r="I21" s="1227" t="s">
        <v>69</v>
      </c>
      <c r="J21" s="1265"/>
      <c r="K21" s="1266">
        <f>IFERROR(VLOOKUP(A21,'WP-BC'!A$18:AG$351,10,FALSE),0)</f>
        <v>685696.09</v>
      </c>
      <c r="L21" s="1267"/>
      <c r="M21" s="1259" t="s">
        <v>227</v>
      </c>
      <c r="O21" s="1597"/>
      <c r="P21" s="1597"/>
      <c r="Q21" s="1597"/>
      <c r="R21" s="1225"/>
      <c r="S21" s="1600"/>
      <c r="T21" s="1600"/>
      <c r="U21" s="1600"/>
      <c r="V21" s="1600"/>
      <c r="W21" s="1597"/>
      <c r="X21" s="1601"/>
      <c r="Y21" s="1597"/>
    </row>
    <row r="22" spans="1:25" s="1259" customFormat="1" ht="15">
      <c r="A22" s="1262" t="str">
        <f t="shared" si="0"/>
        <v>390</v>
      </c>
      <c r="B22" s="1268" t="s">
        <v>541</v>
      </c>
      <c r="C22" s="1228"/>
      <c r="D22" s="1229"/>
      <c r="E22" s="1225"/>
      <c r="F22" s="1225"/>
      <c r="G22" s="1264">
        <v>390</v>
      </c>
      <c r="H22" s="1226"/>
      <c r="I22" s="1230"/>
      <c r="J22" s="1265"/>
      <c r="K22" s="1269">
        <f>IFERROR(VLOOKUP(A22,'WP-BC'!A$18:AG$358,10,FALSE),0)</f>
        <v>0</v>
      </c>
      <c r="L22" s="1267"/>
      <c r="O22" s="1597"/>
      <c r="P22" s="1597"/>
      <c r="Q22" s="1597"/>
      <c r="R22" s="1225"/>
      <c r="S22" s="1600"/>
      <c r="T22" s="1600"/>
      <c r="U22" s="1600"/>
      <c r="V22" s="1600"/>
      <c r="W22" s="1597"/>
      <c r="X22" s="1602"/>
      <c r="Y22" s="1597"/>
    </row>
    <row r="23" spans="1:25" s="1259" customFormat="1" ht="13.2">
      <c r="A23" s="1262" t="str">
        <f t="shared" si="0"/>
        <v>390</v>
      </c>
      <c r="B23" s="1268">
        <v>2</v>
      </c>
      <c r="C23" s="1270"/>
      <c r="D23" s="1271"/>
      <c r="E23" s="1272"/>
      <c r="F23" s="1273"/>
      <c r="G23" s="1264">
        <v>390</v>
      </c>
      <c r="H23" s="1274" t="s">
        <v>261</v>
      </c>
      <c r="I23" s="1265"/>
      <c r="J23" s="1265"/>
      <c r="K23" s="1275">
        <f>SUM(K16:K22)</f>
        <v>4009194.5400000005</v>
      </c>
      <c r="L23" s="1267"/>
      <c r="O23" s="1597"/>
      <c r="P23" s="1597"/>
      <c r="Q23" s="1597"/>
      <c r="R23" s="1225"/>
      <c r="S23" s="1600"/>
      <c r="T23" s="1600"/>
      <c r="U23" s="1600"/>
      <c r="V23" s="1600"/>
      <c r="W23" s="1597"/>
      <c r="X23" s="1603"/>
      <c r="Y23" s="1597"/>
    </row>
    <row r="24" spans="1:25" s="1259" customFormat="1" ht="13.2">
      <c r="A24" s="1262" t="str">
        <f t="shared" si="0"/>
        <v/>
      </c>
      <c r="B24" s="1268" t="s">
        <v>1224</v>
      </c>
      <c r="C24" s="1270"/>
      <c r="D24" s="1271"/>
      <c r="E24" s="1272"/>
      <c r="F24" s="1273"/>
      <c r="G24" s="1264"/>
      <c r="H24" s="1265"/>
      <c r="I24" s="1265"/>
      <c r="J24" s="1265"/>
      <c r="K24" s="1276"/>
      <c r="L24" s="1267"/>
      <c r="O24" s="1597"/>
      <c r="P24" s="1597"/>
      <c r="Q24" s="1597"/>
      <c r="R24" s="1225"/>
      <c r="S24" s="1600"/>
      <c r="T24" s="1600"/>
      <c r="U24" s="1600"/>
      <c r="V24" s="1600"/>
      <c r="W24" s="1597"/>
      <c r="X24" s="1603"/>
      <c r="Y24" s="1597"/>
    </row>
    <row r="25" spans="1:25" s="1259" customFormat="1" ht="13.2">
      <c r="A25" s="1262" t="str">
        <f t="shared" si="0"/>
        <v>BLENHEIM - GILBOA391Office Furniture &amp; Equipment</v>
      </c>
      <c r="B25" s="1268" t="s">
        <v>1276</v>
      </c>
      <c r="C25" s="1224" t="str">
        <f>CONCATENATE("WP-BC, column 8, line ",VLOOKUP(A25,'WP-BC'!A28:N368, 2, FALSE))</f>
        <v>WP-BC, column 8, line 12b</v>
      </c>
      <c r="D25" s="1225" t="s">
        <v>1889</v>
      </c>
      <c r="E25" s="1225"/>
      <c r="F25" s="1225"/>
      <c r="G25" s="1264">
        <v>391</v>
      </c>
      <c r="H25" s="1226"/>
      <c r="I25" s="1227" t="s">
        <v>76</v>
      </c>
      <c r="J25" s="1265"/>
      <c r="K25" s="1277">
        <f>IFERROR(VLOOKUP(A25,'WP-BC'!A$18:AG$351,10,FALSE),0)</f>
        <v>2407</v>
      </c>
      <c r="L25" s="1267"/>
      <c r="M25" s="1259" t="s">
        <v>227</v>
      </c>
      <c r="O25" s="1597"/>
      <c r="P25" s="1597"/>
      <c r="Q25" s="1597"/>
      <c r="R25" s="1225"/>
      <c r="S25" s="1600"/>
      <c r="T25" s="1600"/>
      <c r="U25" s="1600"/>
      <c r="V25" s="1600"/>
      <c r="W25" s="1597"/>
      <c r="X25" s="1602"/>
      <c r="Y25" s="1597"/>
    </row>
    <row r="26" spans="1:25" s="1259" customFormat="1" ht="13.2">
      <c r="A26" s="1262" t="str">
        <f t="shared" si="0"/>
        <v>HEADQUARTERS391Office Furniture &amp; Equipment</v>
      </c>
      <c r="B26" s="1268" t="s">
        <v>1277</v>
      </c>
      <c r="C26" s="1224" t="str">
        <f>CONCATENATE("WP-BC, column 8, line ",VLOOKUP(A26,'WP-BC'!A29:N369, 2, FALSE))</f>
        <v>WP-BC, column 8, line 12l</v>
      </c>
      <c r="D26" s="1225" t="s">
        <v>1896</v>
      </c>
      <c r="E26" s="1225"/>
      <c r="F26" s="1225"/>
      <c r="G26" s="1264">
        <v>391</v>
      </c>
      <c r="H26" s="1226"/>
      <c r="I26" s="1227" t="s">
        <v>76</v>
      </c>
      <c r="J26" s="1265"/>
      <c r="K26" s="1277">
        <f>IFERROR(VLOOKUP(A26,'WP-BC'!A$18:AG$351,10,FALSE),0)</f>
        <v>662411</v>
      </c>
      <c r="L26" s="1267"/>
      <c r="M26" s="1259" t="s">
        <v>227</v>
      </c>
      <c r="O26" s="1597"/>
      <c r="P26" s="1597"/>
      <c r="Q26" s="1597"/>
      <c r="R26" s="1225"/>
      <c r="S26" s="1600"/>
      <c r="T26" s="1600"/>
      <c r="U26" s="1600"/>
      <c r="V26" s="1600"/>
      <c r="W26" s="1597"/>
      <c r="X26" s="1602"/>
      <c r="Y26" s="1597"/>
    </row>
    <row r="27" spans="1:25" s="1259" customFormat="1" ht="13.2">
      <c r="A27" s="1262" t="str">
        <f t="shared" si="0"/>
        <v>MASSENA - MARCY  (Clark)391Office Furniture &amp; Equipment</v>
      </c>
      <c r="B27" s="1268" t="s">
        <v>1278</v>
      </c>
      <c r="C27" s="1224" t="str">
        <f>CONCATENATE("WP-BC, column 8, line ",VLOOKUP(A27,'WP-BC'!A30:N370, 2, FALSE))</f>
        <v>WP-BC, column 8, line 12x</v>
      </c>
      <c r="D27" s="1225" t="s">
        <v>1894</v>
      </c>
      <c r="E27" s="1225"/>
      <c r="F27" s="1225"/>
      <c r="G27" s="1264">
        <v>391</v>
      </c>
      <c r="H27" s="1226"/>
      <c r="I27" s="1227" t="s">
        <v>76</v>
      </c>
      <c r="J27" s="1265"/>
      <c r="K27" s="1277">
        <f>IFERROR(VLOOKUP(A27,'WP-BC'!A$18:AG$351,10,FALSE),0)</f>
        <v>6863.33</v>
      </c>
      <c r="L27" s="1267"/>
      <c r="M27" s="1259" t="s">
        <v>227</v>
      </c>
      <c r="O27" s="1597"/>
      <c r="P27" s="1597"/>
      <c r="Q27" s="1597"/>
      <c r="R27" s="1225"/>
      <c r="S27" s="1600"/>
      <c r="T27" s="1600"/>
      <c r="U27" s="1600"/>
      <c r="V27" s="1600"/>
      <c r="W27" s="1597"/>
      <c r="X27" s="1603"/>
      <c r="Y27" s="1597"/>
    </row>
    <row r="28" spans="1:25" s="1259" customFormat="1" ht="13.2">
      <c r="A28" s="1262" t="str">
        <f t="shared" si="0"/>
        <v>NIAGARA391Office Furniture &amp; Equipment</v>
      </c>
      <c r="B28" s="1268" t="s">
        <v>1279</v>
      </c>
      <c r="C28" s="1224" t="str">
        <f>CONCATENATE("WP-BC, column 8, line ",VLOOKUP(A28,'WP-BC'!A31:N371, 2, FALSE))</f>
        <v>WP-BC, column 8, line 12ai</v>
      </c>
      <c r="D28" s="1225" t="s">
        <v>30</v>
      </c>
      <c r="E28" s="1225"/>
      <c r="F28" s="1225"/>
      <c r="G28" s="1264">
        <v>391</v>
      </c>
      <c r="H28" s="1226"/>
      <c r="I28" s="1227" t="s">
        <v>76</v>
      </c>
      <c r="J28" s="1265"/>
      <c r="K28" s="1277">
        <f>IFERROR(VLOOKUP(A28,'WP-BC'!A$18:AG$351,10,FALSE),0)</f>
        <v>2003</v>
      </c>
      <c r="L28" s="1267"/>
      <c r="M28" s="1259" t="s">
        <v>227</v>
      </c>
      <c r="O28" s="1597"/>
      <c r="P28" s="1597"/>
      <c r="Q28" s="1597"/>
      <c r="R28" s="1597"/>
      <c r="S28" s="1600"/>
      <c r="T28" s="1600"/>
      <c r="U28" s="1600"/>
      <c r="V28" s="1600"/>
      <c r="W28" s="1597"/>
      <c r="X28" s="1597"/>
      <c r="Y28" s="1597"/>
    </row>
    <row r="29" spans="1:25" s="1259" customFormat="1" ht="13.2">
      <c r="A29" s="1262" t="str">
        <f t="shared" si="0"/>
        <v>St.  LAWRENCE / FDR391Office Furniture &amp; Equipment</v>
      </c>
      <c r="B29" s="1268" t="s">
        <v>1280</v>
      </c>
      <c r="C29" s="1224" t="str">
        <f>CONCATENATE("WP-BC, column 8, line ",VLOOKUP(A29,'WP-BC'!A32:N372, 2, FALSE))</f>
        <v>WP-BC, column 8, line 12au</v>
      </c>
      <c r="D29" s="1225" t="s">
        <v>1895</v>
      </c>
      <c r="E29" s="1225"/>
      <c r="F29" s="1225"/>
      <c r="G29" s="1264">
        <v>391</v>
      </c>
      <c r="H29" s="1226"/>
      <c r="I29" s="1227" t="s">
        <v>76</v>
      </c>
      <c r="J29" s="1265"/>
      <c r="K29" s="1277">
        <f>IFERROR(VLOOKUP(A29,'WP-BC'!A$18:AG$351,10,FALSE),0)</f>
        <v>6684</v>
      </c>
      <c r="L29" s="1267"/>
      <c r="M29" s="1259" t="s">
        <v>227</v>
      </c>
      <c r="O29" s="1597"/>
      <c r="P29" s="1597"/>
      <c r="Q29" s="1597"/>
      <c r="R29" s="1597"/>
      <c r="S29" s="1597"/>
      <c r="T29" s="1597"/>
      <c r="U29" s="1597"/>
      <c r="V29" s="1597"/>
      <c r="W29" s="1597"/>
      <c r="X29" s="1597"/>
      <c r="Y29" s="1597"/>
    </row>
    <row r="30" spans="1:25" s="1259" customFormat="1" ht="13.2">
      <c r="A30" s="1262" t="str">
        <f t="shared" si="0"/>
        <v>BLENHEIM - GILBOA391.2Computer Equipment 5 yr</v>
      </c>
      <c r="B30" s="1268" t="s">
        <v>1314</v>
      </c>
      <c r="C30" s="1224" t="str">
        <f>CONCATENATE("WP-BC, column 8, line ",VLOOKUP(A30,'WP-BC'!A33:N373, 2, FALSE))</f>
        <v>WP-BC, column 8, line 12c</v>
      </c>
      <c r="D30" s="1225" t="s">
        <v>1889</v>
      </c>
      <c r="E30" s="1225"/>
      <c r="F30" s="1225"/>
      <c r="G30" s="1264">
        <v>391.2</v>
      </c>
      <c r="H30" s="1226"/>
      <c r="I30" s="1227" t="s">
        <v>1815</v>
      </c>
      <c r="J30" s="1265"/>
      <c r="K30" s="1277">
        <f>IFERROR(VLOOKUP(A30,'WP-BC'!A$18:AG$351,10,FALSE),0)</f>
        <v>10394</v>
      </c>
      <c r="L30" s="1267"/>
      <c r="O30" s="1597"/>
      <c r="P30" s="1597"/>
      <c r="Q30" s="1597"/>
      <c r="R30" s="2039"/>
      <c r="S30" s="2039"/>
      <c r="T30" s="1604"/>
      <c r="U30" s="2039"/>
      <c r="V30" s="2039"/>
      <c r="W30" s="1597"/>
      <c r="X30" s="1597"/>
      <c r="Y30" s="1597"/>
    </row>
    <row r="31" spans="1:25" s="1259" customFormat="1" ht="13.2">
      <c r="A31" s="1262" t="str">
        <f t="shared" si="0"/>
        <v>HEADQUARTERS391.2Computer Equipment 5 yr</v>
      </c>
      <c r="B31" s="1268" t="s">
        <v>1315</v>
      </c>
      <c r="C31" s="1224" t="str">
        <f>CONCATENATE("WP-BC, column 8, line ",VLOOKUP(A31,'WP-BC'!A34:N374, 2, FALSE))</f>
        <v>WP-BC, column 8, line 12m</v>
      </c>
      <c r="D31" s="1225" t="s">
        <v>1896</v>
      </c>
      <c r="E31" s="1225"/>
      <c r="F31" s="1225"/>
      <c r="G31" s="1264">
        <v>391.2</v>
      </c>
      <c r="H31" s="1226"/>
      <c r="I31" s="1227" t="s">
        <v>1815</v>
      </c>
      <c r="J31" s="1265"/>
      <c r="K31" s="1277">
        <f>IFERROR(VLOOKUP(A31,'WP-BC'!A$18:AG$351,10,FALSE),0)</f>
        <v>2476022.88</v>
      </c>
      <c r="L31" s="1267"/>
      <c r="O31" s="1597"/>
      <c r="P31" s="1597"/>
      <c r="Q31" s="1597"/>
      <c r="R31" s="1597"/>
      <c r="S31" s="1602"/>
      <c r="T31" s="9"/>
      <c r="U31" s="1597"/>
      <c r="V31" s="1602"/>
      <c r="W31" s="1597"/>
      <c r="X31" s="1597"/>
      <c r="Y31" s="1597"/>
    </row>
    <row r="32" spans="1:25" s="1259" customFormat="1" ht="13.2">
      <c r="A32" s="1262" t="str">
        <f t="shared" si="0"/>
        <v>MASSENA - MARCY  (Clark)391.2Computer Equipment 5 yr</v>
      </c>
      <c r="B32" s="1268" t="s">
        <v>1599</v>
      </c>
      <c r="C32" s="1224" t="str">
        <f>CONCATENATE("WP-BC, column 8, line ",VLOOKUP(A32,'WP-BC'!A35:N375, 2, FALSE))</f>
        <v>WP-BC, column 8, line 12y</v>
      </c>
      <c r="D32" s="1225" t="s">
        <v>1894</v>
      </c>
      <c r="E32" s="1225"/>
      <c r="F32" s="1225"/>
      <c r="G32" s="1264">
        <v>391.2</v>
      </c>
      <c r="H32" s="1226"/>
      <c r="I32" s="1227" t="s">
        <v>1815</v>
      </c>
      <c r="J32" s="1265"/>
      <c r="K32" s="1277">
        <f>IFERROR(VLOOKUP(A32,'WP-BC'!A$18:AG$351,10,FALSE),0)</f>
        <v>32302</v>
      </c>
      <c r="L32" s="1267"/>
      <c r="O32" s="1597"/>
      <c r="P32" s="1597"/>
      <c r="Q32" s="1597"/>
      <c r="R32" s="1597"/>
      <c r="S32" s="1600"/>
      <c r="T32" s="9"/>
      <c r="U32" s="1597"/>
      <c r="V32" s="1597"/>
      <c r="W32" s="1597"/>
      <c r="X32" s="1597"/>
      <c r="Y32" s="1597"/>
    </row>
    <row r="33" spans="1:25" s="1259" customFormat="1" ht="13.2">
      <c r="A33" s="1262" t="str">
        <f t="shared" si="0"/>
        <v>NIAGARA391.2Computer Equipment 5 yr</v>
      </c>
      <c r="B33" s="1268" t="s">
        <v>1600</v>
      </c>
      <c r="C33" s="1224" t="str">
        <f>CONCATENATE("WP-BC, column 8, line ",VLOOKUP(A33,'WP-BC'!A36:N376, 2, FALSE))</f>
        <v>WP-BC, column 8, line 12aj</v>
      </c>
      <c r="D33" s="1225" t="s">
        <v>30</v>
      </c>
      <c r="E33" s="1225"/>
      <c r="F33" s="1225"/>
      <c r="G33" s="1264">
        <v>391.2</v>
      </c>
      <c r="H33" s="1226"/>
      <c r="I33" s="1227" t="s">
        <v>1815</v>
      </c>
      <c r="J33" s="1265"/>
      <c r="K33" s="1277">
        <f>IFERROR(VLOOKUP(A33,'WP-BC'!A$18:AG$351,10,FALSE),0)</f>
        <v>25560</v>
      </c>
      <c r="L33" s="1267"/>
      <c r="O33" s="1597"/>
      <c r="P33" s="1597"/>
      <c r="Q33" s="1597"/>
      <c r="R33" s="1597"/>
      <c r="S33" s="1600"/>
      <c r="T33" s="1597"/>
      <c r="U33" s="1597"/>
      <c r="V33" s="1597"/>
      <c r="W33" s="1597"/>
      <c r="X33" s="1597"/>
      <c r="Y33" s="1597"/>
    </row>
    <row r="34" spans="1:25" s="1259" customFormat="1" ht="13.2">
      <c r="A34" s="1262" t="str">
        <f t="shared" si="0"/>
        <v>St.  LAWRENCE / FDR391.2Computer Equipment 5 yr</v>
      </c>
      <c r="B34" s="1268" t="s">
        <v>1602</v>
      </c>
      <c r="C34" s="1224" t="str">
        <f>CONCATENATE("WP-BC, column 8, line ",VLOOKUP(A34,'WP-BC'!A37:N377, 2, FALSE))</f>
        <v>WP-BC, column 8, line 12av</v>
      </c>
      <c r="D34" s="1225" t="s">
        <v>1895</v>
      </c>
      <c r="E34" s="1225"/>
      <c r="F34" s="1225"/>
      <c r="G34" s="1264">
        <v>391.2</v>
      </c>
      <c r="H34" s="1226"/>
      <c r="I34" s="1227" t="s">
        <v>1815</v>
      </c>
      <c r="J34" s="1265"/>
      <c r="K34" s="1277">
        <f>IFERROR(VLOOKUP(A34,'WP-BC'!A$18:AG$351,10,FALSE),0)</f>
        <v>36394</v>
      </c>
      <c r="L34" s="1267"/>
      <c r="O34" s="1597"/>
      <c r="P34" s="1597"/>
      <c r="Q34" s="1597"/>
      <c r="R34" s="1597"/>
      <c r="S34" s="1602"/>
      <c r="T34" s="1597"/>
      <c r="U34" s="1597"/>
      <c r="V34" s="1597"/>
      <c r="W34" s="1597"/>
      <c r="X34" s="1597"/>
      <c r="Y34" s="1597"/>
    </row>
    <row r="35" spans="1:25" s="1259" customFormat="1" ht="13.2">
      <c r="A35" s="1262" t="str">
        <f t="shared" si="0"/>
        <v>BLENHEIM - GILBOA391.3Computer Equipment 10 yr</v>
      </c>
      <c r="B35" s="1268" t="s">
        <v>1601</v>
      </c>
      <c r="C35" s="1224"/>
      <c r="D35" s="1225" t="s">
        <v>1889</v>
      </c>
      <c r="E35" s="1225"/>
      <c r="F35" s="1225"/>
      <c r="G35" s="1264">
        <v>391.3</v>
      </c>
      <c r="H35" s="1226"/>
      <c r="I35" s="1227" t="s">
        <v>1816</v>
      </c>
      <c r="J35" s="1265"/>
      <c r="K35" s="1277">
        <f>IFERROR(VLOOKUP(A35,'WP-BC'!A$18:AG$351,10,FALSE),0)</f>
        <v>0</v>
      </c>
      <c r="L35" s="1267"/>
      <c r="O35" s="1597"/>
      <c r="P35" s="1597"/>
      <c r="Q35" s="1597"/>
      <c r="R35" s="1597"/>
      <c r="S35" s="1600"/>
      <c r="T35" s="9"/>
      <c r="U35" s="1597"/>
      <c r="V35" s="1597"/>
      <c r="W35" s="1597"/>
      <c r="X35" s="1597"/>
      <c r="Y35" s="1597"/>
    </row>
    <row r="36" spans="1:25" s="1259" customFormat="1" ht="13.2">
      <c r="A36" s="1262" t="str">
        <f t="shared" ref="A36:A39" si="1">CONCATENATE(D36,G36,I36)</f>
        <v>HEADQUARTERS391.3Computer Equipment 10 yr</v>
      </c>
      <c r="B36" s="1268" t="s">
        <v>1603</v>
      </c>
      <c r="C36" s="1224" t="str">
        <f>CONCATENATE("WP-BC, column 8, line ",VLOOKUP(A36,'WP-BC'!A39:N379, 2, FALSE))</f>
        <v>WP-BC, column 8, line 12n</v>
      </c>
      <c r="D36" s="1225" t="s">
        <v>1896</v>
      </c>
      <c r="E36" s="1225"/>
      <c r="F36" s="1225"/>
      <c r="G36" s="1264">
        <v>391.3</v>
      </c>
      <c r="H36" s="1226"/>
      <c r="I36" s="1227" t="s">
        <v>1816</v>
      </c>
      <c r="J36" s="1265"/>
      <c r="K36" s="1277">
        <f>IFERROR(VLOOKUP(A36,'WP-BC'!A$18:AG$351,10,FALSE),0)</f>
        <v>24595852.920000002</v>
      </c>
      <c r="L36" s="1267"/>
      <c r="O36" s="1597"/>
      <c r="P36" s="1597"/>
      <c r="Q36" s="1597"/>
      <c r="R36" s="1597"/>
      <c r="S36" s="1605"/>
      <c r="T36" s="9"/>
      <c r="U36" s="1597"/>
      <c r="V36" s="1597"/>
      <c r="W36" s="1597"/>
      <c r="X36" s="1597"/>
      <c r="Y36" s="1597"/>
    </row>
    <row r="37" spans="1:25" s="1259" customFormat="1" ht="13.2">
      <c r="A37" s="1262" t="str">
        <f t="shared" si="1"/>
        <v>MASSENA - MARCY  (Clark)391.3Computer Equipment 10 yr</v>
      </c>
      <c r="B37" s="1268" t="s">
        <v>1604</v>
      </c>
      <c r="C37" s="1224" t="str">
        <f>CONCATENATE("WP-BC, column 8, line ",VLOOKUP(A37,'WP-BC'!A40:N380, 2, FALSE))</f>
        <v>WP-BC, column 8, line 12z</v>
      </c>
      <c r="D37" s="1225" t="s">
        <v>1894</v>
      </c>
      <c r="E37" s="1225"/>
      <c r="F37" s="1225"/>
      <c r="G37" s="1264">
        <v>391.3</v>
      </c>
      <c r="H37" s="1226"/>
      <c r="I37" s="1227" t="s">
        <v>1816</v>
      </c>
      <c r="J37" s="1265"/>
      <c r="K37" s="1277">
        <f>IFERROR(VLOOKUP(A37,'WP-BC'!A$18:AG$351,10,FALSE),0)</f>
        <v>1025790</v>
      </c>
      <c r="L37" s="1267"/>
      <c r="O37" s="1597"/>
      <c r="P37" s="1597"/>
      <c r="Q37" s="1597"/>
      <c r="R37" s="1597"/>
      <c r="S37" s="1597"/>
      <c r="T37" s="9"/>
      <c r="U37" s="1597"/>
      <c r="V37" s="1597"/>
      <c r="W37" s="1597"/>
      <c r="X37" s="1597"/>
      <c r="Y37" s="1597"/>
    </row>
    <row r="38" spans="1:25" s="1259" customFormat="1" ht="13.2">
      <c r="A38" s="1262" t="str">
        <f t="shared" si="1"/>
        <v>NIAGARA391.3Computer Equipment 10 yr</v>
      </c>
      <c r="B38" s="1268" t="s">
        <v>1984</v>
      </c>
      <c r="C38" s="1224" t="str">
        <f>CONCATENATE("WP-BC, column 8, line ",VLOOKUP(A38,'WP-BC'!A41:N381, 2, FALSE))</f>
        <v>WP-BC, column 8, line 12ak</v>
      </c>
      <c r="D38" s="1225" t="s">
        <v>30</v>
      </c>
      <c r="E38" s="1225"/>
      <c r="F38" s="1225"/>
      <c r="G38" s="1264">
        <v>391.3</v>
      </c>
      <c r="H38" s="1226"/>
      <c r="I38" s="1227" t="s">
        <v>1816</v>
      </c>
      <c r="J38" s="1265"/>
      <c r="K38" s="1277">
        <f>IFERROR(VLOOKUP(A38,'WP-BC'!A$18:AG$351,10,FALSE),0)</f>
        <v>202438</v>
      </c>
      <c r="L38" s="1267"/>
      <c r="O38" s="1597"/>
      <c r="P38" s="1597"/>
      <c r="Q38" s="1597"/>
      <c r="R38" s="1597"/>
      <c r="S38" s="1597"/>
      <c r="T38" s="9"/>
      <c r="U38" s="1597"/>
      <c r="V38" s="1597"/>
      <c r="W38" s="1597"/>
      <c r="X38" s="1597"/>
      <c r="Y38" s="1597"/>
    </row>
    <row r="39" spans="1:25" s="1259" customFormat="1" ht="13.2">
      <c r="A39" s="1262" t="str">
        <f t="shared" si="1"/>
        <v>St.  LAWRENCE / FDR391.3Computer Equipment 10 yr</v>
      </c>
      <c r="B39" s="1268" t="s">
        <v>1985</v>
      </c>
      <c r="C39" s="1224" t="str">
        <f>CONCATENATE("WP-BC, column 8, line ",VLOOKUP(A39,'WP-BC'!A42:N382, 2, FALSE))</f>
        <v>WP-BC, column 8, line 12aw</v>
      </c>
      <c r="D39" s="1225" t="s">
        <v>1895</v>
      </c>
      <c r="E39" s="1225"/>
      <c r="F39" s="1225"/>
      <c r="G39" s="1264">
        <v>391.3</v>
      </c>
      <c r="H39" s="1226"/>
      <c r="I39" s="1227" t="s">
        <v>1816</v>
      </c>
      <c r="J39" s="1265"/>
      <c r="K39" s="1277">
        <f>IFERROR(VLOOKUP(A39,'WP-BC'!A$18:AG$351,10,FALSE),0)</f>
        <v>844090</v>
      </c>
      <c r="L39" s="1267"/>
      <c r="O39" s="1597"/>
      <c r="P39" s="1597"/>
      <c r="Q39" s="1597"/>
      <c r="R39" s="1597"/>
      <c r="S39" s="1597"/>
      <c r="T39" s="9"/>
      <c r="U39" s="1597"/>
      <c r="V39" s="1597"/>
      <c r="W39" s="1597"/>
      <c r="X39" s="1597"/>
      <c r="Y39" s="1597"/>
    </row>
    <row r="40" spans="1:25" s="1259" customFormat="1" ht="15">
      <c r="A40" s="1262" t="str">
        <f t="shared" si="0"/>
        <v/>
      </c>
      <c r="B40" s="1268" t="s">
        <v>541</v>
      </c>
      <c r="C40" s="1228"/>
      <c r="D40" s="1228"/>
      <c r="E40" s="1225"/>
      <c r="F40" s="1225"/>
      <c r="G40" s="1264"/>
      <c r="H40" s="1226"/>
      <c r="I40" s="1228"/>
      <c r="J40" s="1265"/>
      <c r="K40" s="1269">
        <f>IFERROR(VLOOKUP(A40,'WP-BC'!A$18:AG$358,10,FALSE),0)</f>
        <v>0</v>
      </c>
      <c r="L40" s="1267"/>
      <c r="O40" s="1597"/>
      <c r="P40" s="1597"/>
      <c r="Q40" s="1597"/>
      <c r="R40" s="1597"/>
      <c r="S40" s="1597"/>
      <c r="T40" s="9"/>
      <c r="U40" s="1597"/>
      <c r="V40" s="1597"/>
      <c r="W40" s="1597"/>
      <c r="X40" s="1597"/>
      <c r="Y40" s="1597"/>
    </row>
    <row r="41" spans="1:25" s="1259" customFormat="1" ht="13.2">
      <c r="A41" s="1262" t="str">
        <f t="shared" si="0"/>
        <v>391</v>
      </c>
      <c r="B41" s="1268">
        <v>4</v>
      </c>
      <c r="C41" s="1270"/>
      <c r="D41" s="1271"/>
      <c r="E41" s="1278"/>
      <c r="F41" s="1279"/>
      <c r="G41" s="1264">
        <v>391</v>
      </c>
      <c r="H41" s="1274" t="s">
        <v>262</v>
      </c>
      <c r="I41" s="1265"/>
      <c r="J41" s="1265"/>
      <c r="K41" s="1280">
        <f>SUM(K25:K40)</f>
        <v>29929212.130000003</v>
      </c>
      <c r="L41" s="1267"/>
      <c r="O41" s="1597"/>
      <c r="P41" s="1597"/>
      <c r="Q41" s="1597"/>
      <c r="R41" s="1597"/>
      <c r="S41" s="1597"/>
      <c r="T41" s="9"/>
      <c r="U41" s="1597"/>
      <c r="V41" s="1597"/>
      <c r="W41" s="1597"/>
      <c r="X41" s="1597"/>
      <c r="Y41" s="1597"/>
    </row>
    <row r="42" spans="1:25" s="1259" customFormat="1" ht="13.2">
      <c r="A42" s="1262" t="str">
        <f t="shared" si="0"/>
        <v/>
      </c>
      <c r="B42" s="1268" t="s">
        <v>1224</v>
      </c>
      <c r="C42" s="1270"/>
      <c r="D42" s="1271"/>
      <c r="E42" s="1278"/>
      <c r="F42" s="1279"/>
      <c r="G42" s="1264"/>
      <c r="H42" s="1265"/>
      <c r="I42" s="1265"/>
      <c r="J42" s="1265"/>
      <c r="K42" s="1266"/>
      <c r="L42" s="1267"/>
      <c r="O42" s="1597"/>
      <c r="P42" s="1597"/>
      <c r="Q42" s="1597"/>
      <c r="R42" s="1597"/>
      <c r="S42" s="1597"/>
      <c r="T42" s="9"/>
      <c r="U42" s="1597"/>
      <c r="V42" s="1597"/>
      <c r="W42" s="1597"/>
      <c r="X42" s="1597"/>
      <c r="Y42" s="1597"/>
    </row>
    <row r="43" spans="1:25" s="1259" customFormat="1" ht="13.2">
      <c r="A43" s="1262" t="str">
        <f t="shared" si="0"/>
        <v>BLENHEIM - GILBOA392Transportation Equipment</v>
      </c>
      <c r="B43" s="1268" t="s">
        <v>1273</v>
      </c>
      <c r="C43" s="1224" t="str">
        <f>CONCATENATE("WP-BC, column 8, line ",VLOOKUP(A43,'WP-BC'!A46:N386, 2, FALSE))</f>
        <v>WP-BC, column 8, line 12d</v>
      </c>
      <c r="D43" s="1225" t="s">
        <v>1889</v>
      </c>
      <c r="E43" s="1225"/>
      <c r="F43" s="1225"/>
      <c r="G43" s="1264">
        <v>392</v>
      </c>
      <c r="H43" s="1226"/>
      <c r="I43" s="1227" t="s">
        <v>77</v>
      </c>
      <c r="J43" s="1265"/>
      <c r="K43" s="1266">
        <f>IFERROR(VLOOKUP(A43,'WP-BC'!A$18:AG$351,10,FALSE),0)</f>
        <v>526894.31000000006</v>
      </c>
      <c r="L43" s="1267"/>
      <c r="M43" s="1259" t="s">
        <v>227</v>
      </c>
      <c r="O43" s="1597"/>
      <c r="P43" s="1597"/>
      <c r="Q43" s="1597"/>
      <c r="R43" s="1597"/>
      <c r="S43" s="1597"/>
      <c r="T43" s="9"/>
      <c r="U43" s="1597"/>
      <c r="V43" s="1597"/>
      <c r="W43" s="1597"/>
      <c r="X43" s="1597"/>
      <c r="Y43" s="1597"/>
    </row>
    <row r="44" spans="1:25" s="1259" customFormat="1" ht="13.2">
      <c r="A44" s="1262" t="str">
        <f t="shared" si="0"/>
        <v>HEADQUARTERS392Transportation Equipment</v>
      </c>
      <c r="B44" s="1268" t="s">
        <v>1274</v>
      </c>
      <c r="C44" s="1224" t="str">
        <f>CONCATENATE("WP-BC, column 8, line ",VLOOKUP(A44,'WP-BC'!A47:N387, 2, FALSE))</f>
        <v>WP-BC, column 8, line 12o</v>
      </c>
      <c r="D44" s="1225" t="s">
        <v>1896</v>
      </c>
      <c r="E44" s="1225"/>
      <c r="F44" s="1225"/>
      <c r="G44" s="1264">
        <v>392</v>
      </c>
      <c r="H44" s="1226"/>
      <c r="I44" s="1227" t="s">
        <v>77</v>
      </c>
      <c r="J44" s="1265"/>
      <c r="K44" s="1266">
        <f>IFERROR(VLOOKUP(A44,'WP-BC'!A$18:AG$351,10,FALSE),0)</f>
        <v>116474.51000000001</v>
      </c>
      <c r="L44" s="1267"/>
      <c r="M44" s="1259" t="s">
        <v>227</v>
      </c>
      <c r="O44" s="1597"/>
      <c r="P44" s="1597"/>
      <c r="Q44" s="1597"/>
      <c r="R44" s="1597"/>
      <c r="S44" s="1597"/>
      <c r="T44" s="9"/>
      <c r="U44" s="1597"/>
      <c r="V44" s="1597"/>
      <c r="W44" s="1597"/>
      <c r="X44" s="1597"/>
      <c r="Y44" s="1597"/>
    </row>
    <row r="45" spans="1:25" s="1259" customFormat="1" ht="13.2">
      <c r="A45" s="1262" t="str">
        <f t="shared" si="0"/>
        <v>MASSENA - MARCY  (Clark)392Transportation Equipment</v>
      </c>
      <c r="B45" s="1268" t="s">
        <v>1275</v>
      </c>
      <c r="C45" s="1224" t="str">
        <f>CONCATENATE("WP-BC, column 8, line ",VLOOKUP(A45,'WP-BC'!A48:N388, 2, FALSE))</f>
        <v>WP-BC, column 8, line 12aa</v>
      </c>
      <c r="D45" s="1225" t="s">
        <v>1894</v>
      </c>
      <c r="E45" s="1225"/>
      <c r="F45" s="1225"/>
      <c r="G45" s="1264">
        <v>392</v>
      </c>
      <c r="H45" s="1226"/>
      <c r="I45" s="1227" t="s">
        <v>77</v>
      </c>
      <c r="J45" s="1265"/>
      <c r="K45" s="1266">
        <f>IFERROR(VLOOKUP(A45,'WP-BC'!A$18:AG$351,10,FALSE),0)</f>
        <v>565896.49</v>
      </c>
      <c r="L45" s="1267"/>
      <c r="M45" s="1259" t="s">
        <v>227</v>
      </c>
      <c r="O45" s="1597"/>
      <c r="P45" s="1597"/>
      <c r="Q45" s="1597"/>
      <c r="R45" s="1597"/>
      <c r="S45" s="1597"/>
      <c r="T45" s="9"/>
      <c r="U45" s="1597"/>
      <c r="V45" s="1597"/>
      <c r="W45" s="1597"/>
      <c r="X45" s="1597"/>
      <c r="Y45" s="1597"/>
    </row>
    <row r="46" spans="1:25" s="1259" customFormat="1" ht="13.2">
      <c r="A46" s="1262" t="str">
        <f t="shared" si="0"/>
        <v>NIAGARA392Transportation Equipment</v>
      </c>
      <c r="B46" s="1268" t="s">
        <v>1281</v>
      </c>
      <c r="C46" s="1224" t="str">
        <f>CONCATENATE("WP-BC, column 8, line ",VLOOKUP(A46,'WP-BC'!A49:N389, 2, FALSE))</f>
        <v>WP-BC, column 8, line 12al</v>
      </c>
      <c r="D46" s="1225" t="s">
        <v>30</v>
      </c>
      <c r="E46" s="1225"/>
      <c r="F46" s="1225"/>
      <c r="G46" s="1264">
        <v>392</v>
      </c>
      <c r="H46" s="1226"/>
      <c r="I46" s="1227" t="s">
        <v>77</v>
      </c>
      <c r="J46" s="1265"/>
      <c r="K46" s="1266">
        <f>IFERROR(VLOOKUP(A46,'WP-BC'!A$18:AG$351,10,FALSE),0)</f>
        <v>257614.89</v>
      </c>
      <c r="L46" s="1267"/>
      <c r="M46" s="1259" t="s">
        <v>227</v>
      </c>
      <c r="O46" s="1597"/>
      <c r="P46" s="1597"/>
      <c r="Q46" s="1597"/>
      <c r="R46" s="1597"/>
      <c r="S46" s="1597"/>
      <c r="T46" s="9"/>
      <c r="U46" s="1597"/>
      <c r="V46" s="1597"/>
      <c r="W46" s="1597"/>
      <c r="X46" s="1597"/>
      <c r="Y46" s="1597"/>
    </row>
    <row r="47" spans="1:25" s="1259" customFormat="1" ht="13.2">
      <c r="A47" s="1262" t="str">
        <f t="shared" si="0"/>
        <v>St.  LAWRENCE / FDR392Transportation Equipment</v>
      </c>
      <c r="B47" s="1268" t="s">
        <v>1282</v>
      </c>
      <c r="C47" s="1224" t="str">
        <f>CONCATENATE("WP-BC, column 8, line ",VLOOKUP(A47,'WP-BC'!A50:N390, 2, FALSE))</f>
        <v>WP-BC, column 8, line 12ax</v>
      </c>
      <c r="D47" s="1225" t="s">
        <v>1895</v>
      </c>
      <c r="E47" s="1225"/>
      <c r="F47" s="1225"/>
      <c r="G47" s="1264">
        <v>392</v>
      </c>
      <c r="H47" s="1226"/>
      <c r="I47" s="1227" t="s">
        <v>77</v>
      </c>
      <c r="J47" s="1265"/>
      <c r="K47" s="1266">
        <f>IFERROR(VLOOKUP(A47,'WP-BC'!A$18:AG$351,10,FALSE),0)</f>
        <v>698299.23000000021</v>
      </c>
      <c r="L47" s="1267"/>
      <c r="M47" s="1259" t="s">
        <v>227</v>
      </c>
      <c r="O47" s="1597"/>
      <c r="P47" s="1597"/>
      <c r="Q47" s="1597"/>
      <c r="R47" s="1597"/>
      <c r="S47" s="1597"/>
      <c r="T47" s="9"/>
      <c r="U47" s="1597"/>
      <c r="V47" s="1597"/>
      <c r="W47" s="1597"/>
      <c r="X47" s="1597"/>
      <c r="Y47" s="1597"/>
    </row>
    <row r="48" spans="1:25" s="1259" customFormat="1" ht="13.2">
      <c r="A48" s="1262" t="str">
        <f t="shared" si="0"/>
        <v>392</v>
      </c>
      <c r="B48" s="1268" t="s">
        <v>541</v>
      </c>
      <c r="C48" s="1228"/>
      <c r="D48" s="1228"/>
      <c r="E48" s="1225"/>
      <c r="F48" s="1225"/>
      <c r="G48" s="1264">
        <v>392</v>
      </c>
      <c r="H48" s="1226"/>
      <c r="I48" s="1228"/>
      <c r="J48" s="1265"/>
      <c r="K48" s="1266">
        <f>IFERROR(VLOOKUP(A48,'WP-BC'!A$18:AG$351,10,FALSE),0)</f>
        <v>0</v>
      </c>
      <c r="L48" s="1267"/>
      <c r="O48" s="1597"/>
      <c r="P48" s="1597"/>
      <c r="Q48" s="1597"/>
      <c r="R48" s="1597"/>
      <c r="S48" s="1597"/>
      <c r="T48" s="9"/>
      <c r="U48" s="1597"/>
      <c r="V48" s="1597"/>
      <c r="W48" s="1597"/>
      <c r="X48" s="1597"/>
      <c r="Y48" s="1597"/>
    </row>
    <row r="49" spans="1:25" s="1259" customFormat="1" ht="15">
      <c r="A49" s="1262" t="str">
        <f t="shared" si="0"/>
        <v>392</v>
      </c>
      <c r="B49" s="1268" t="s">
        <v>541</v>
      </c>
      <c r="C49" s="1228"/>
      <c r="D49" s="1228"/>
      <c r="E49" s="1225"/>
      <c r="F49" s="1225"/>
      <c r="G49" s="1264">
        <v>392</v>
      </c>
      <c r="H49" s="1226"/>
      <c r="I49" s="1228"/>
      <c r="J49" s="1265"/>
      <c r="K49" s="1269">
        <f>IFERROR(VLOOKUP(A49,'WP-BC'!A$18:AG$358,10,FALSE),0)</f>
        <v>0</v>
      </c>
      <c r="L49" s="1267"/>
      <c r="O49" s="1597"/>
      <c r="P49" s="1597"/>
      <c r="Q49" s="1597"/>
      <c r="R49" s="1597"/>
      <c r="S49" s="1597"/>
      <c r="T49" s="9"/>
      <c r="U49" s="1597"/>
      <c r="V49" s="1597"/>
      <c r="W49" s="1597"/>
      <c r="X49" s="1597"/>
      <c r="Y49" s="1597"/>
    </row>
    <row r="50" spans="1:25" s="1259" customFormat="1" ht="13.2">
      <c r="A50" s="1262" t="str">
        <f t="shared" si="0"/>
        <v>392</v>
      </c>
      <c r="B50" s="1268">
        <v>6</v>
      </c>
      <c r="D50" s="1271"/>
      <c r="E50" s="1278"/>
      <c r="F50" s="1279"/>
      <c r="G50" s="1264">
        <v>392</v>
      </c>
      <c r="H50" s="1274" t="s">
        <v>263</v>
      </c>
      <c r="I50" s="1265"/>
      <c r="J50" s="1265"/>
      <c r="K50" s="1281">
        <f>SUM(K43:K49)</f>
        <v>2165179.4300000006</v>
      </c>
      <c r="L50" s="1267"/>
      <c r="O50" s="1597"/>
      <c r="P50" s="1597"/>
      <c r="Q50" s="1597"/>
      <c r="R50" s="1597"/>
      <c r="S50" s="1597"/>
      <c r="T50" s="9"/>
      <c r="U50" s="1597"/>
      <c r="V50" s="1597"/>
      <c r="W50" s="1597"/>
      <c r="X50" s="1597"/>
      <c r="Y50" s="1597"/>
    </row>
    <row r="51" spans="1:25" s="1259" customFormat="1" ht="13.2">
      <c r="A51" s="1262" t="str">
        <f t="shared" si="0"/>
        <v/>
      </c>
      <c r="B51" s="1268" t="s">
        <v>1224</v>
      </c>
      <c r="D51" s="1271"/>
      <c r="E51" s="1278"/>
      <c r="F51" s="1279"/>
      <c r="G51" s="1264"/>
      <c r="H51" s="1265"/>
      <c r="I51" s="1265"/>
      <c r="J51" s="1265"/>
      <c r="K51" s="1266"/>
      <c r="L51" s="1267"/>
      <c r="O51" s="1597"/>
      <c r="P51" s="1597"/>
      <c r="Q51" s="1597"/>
      <c r="R51" s="1597"/>
      <c r="S51" s="1597"/>
      <c r="T51" s="9"/>
      <c r="U51" s="1597"/>
      <c r="V51" s="1597"/>
      <c r="W51" s="1597"/>
      <c r="X51" s="1597"/>
      <c r="Y51" s="1597"/>
    </row>
    <row r="52" spans="1:25" s="1259" customFormat="1" ht="13.2">
      <c r="A52" s="1262" t="str">
        <f t="shared" si="0"/>
        <v>BLENHEIM - GILBOA393Stores Equipment</v>
      </c>
      <c r="B52" s="1282" t="s">
        <v>1283</v>
      </c>
      <c r="C52" s="1224" t="str">
        <f>CONCATENATE("WP-BC, column 8, line ",VLOOKUP(A52,'WP-BC'!A55:N395, 2, FALSE))</f>
        <v>WP-BC, column 8, line 12e</v>
      </c>
      <c r="D52" s="1225" t="s">
        <v>1889</v>
      </c>
      <c r="E52" s="1225"/>
      <c r="F52" s="1225"/>
      <c r="G52" s="1264">
        <v>393</v>
      </c>
      <c r="H52" s="1226"/>
      <c r="I52" s="1227" t="s">
        <v>78</v>
      </c>
      <c r="J52" s="1265"/>
      <c r="K52" s="1266">
        <f>IFERROR(VLOOKUP(A52,'WP-BC'!A$18:AG$351,10,FALSE),0)</f>
        <v>16348</v>
      </c>
      <c r="L52" s="1267"/>
      <c r="M52" s="1259" t="s">
        <v>227</v>
      </c>
      <c r="O52" s="1597"/>
      <c r="P52" s="1597"/>
      <c r="Q52" s="1597"/>
      <c r="R52" s="1597"/>
      <c r="S52" s="1597"/>
      <c r="T52" s="9"/>
      <c r="U52" s="1597"/>
      <c r="V52" s="1597"/>
      <c r="W52" s="1597"/>
      <c r="X52" s="1597"/>
      <c r="Y52" s="1597"/>
    </row>
    <row r="53" spans="1:25" s="1259" customFormat="1" ht="13.2">
      <c r="A53" s="1262" t="str">
        <f t="shared" si="0"/>
        <v>MASSENA - MARCY  (Clark)393Stores Equipment</v>
      </c>
      <c r="B53" s="1282" t="s">
        <v>1284</v>
      </c>
      <c r="C53" s="1224" t="str">
        <f>CONCATENATE("WP-BC, column 8, line ",VLOOKUP(A53,'WP-BC'!A56:N396, 2, FALSE))</f>
        <v>WP-BC, column 8, line 12ab</v>
      </c>
      <c r="D53" s="1225" t="s">
        <v>1894</v>
      </c>
      <c r="E53" s="1225"/>
      <c r="F53" s="1225"/>
      <c r="G53" s="1264">
        <v>393</v>
      </c>
      <c r="H53" s="1226"/>
      <c r="I53" s="1227" t="s">
        <v>78</v>
      </c>
      <c r="J53" s="1265"/>
      <c r="K53" s="1266">
        <f>IFERROR(VLOOKUP(A53,'WP-BC'!A$18:AG$351,10,FALSE),0)</f>
        <v>9904</v>
      </c>
      <c r="L53" s="1267"/>
      <c r="M53" s="1259" t="s">
        <v>227</v>
      </c>
      <c r="O53" s="1597"/>
      <c r="P53" s="1597"/>
      <c r="Q53" s="1597"/>
      <c r="R53" s="1597"/>
      <c r="S53" s="1597"/>
      <c r="T53" s="9"/>
      <c r="U53" s="1597"/>
      <c r="V53" s="1597"/>
      <c r="W53" s="1597"/>
      <c r="X53" s="1597"/>
      <c r="Y53" s="1597"/>
    </row>
    <row r="54" spans="1:25" s="1259" customFormat="1" ht="13.2">
      <c r="A54" s="1262" t="str">
        <f t="shared" si="0"/>
        <v>NIAGARA393Stores Equipment</v>
      </c>
      <c r="B54" s="1282" t="s">
        <v>1285</v>
      </c>
      <c r="C54" s="1224" t="str">
        <f>CONCATENATE("WP-BC, column 8, line ",VLOOKUP(A54,'WP-BC'!A57:N397, 2, FALSE))</f>
        <v>WP-BC, column 8, line 12am</v>
      </c>
      <c r="D54" s="1225" t="s">
        <v>30</v>
      </c>
      <c r="E54" s="1225"/>
      <c r="F54" s="1225"/>
      <c r="G54" s="1264">
        <v>393</v>
      </c>
      <c r="H54" s="1226"/>
      <c r="I54" s="1227" t="s">
        <v>78</v>
      </c>
      <c r="J54" s="1265"/>
      <c r="K54" s="1266">
        <f>IFERROR(VLOOKUP(A54,'WP-BC'!A$18:AG$351,10,FALSE),0)</f>
        <v>0</v>
      </c>
      <c r="L54" s="1267"/>
      <c r="M54" s="1259" t="s">
        <v>227</v>
      </c>
      <c r="O54" s="1597"/>
      <c r="P54" s="1597"/>
      <c r="Q54" s="1597"/>
      <c r="R54" s="1597"/>
      <c r="S54" s="1597"/>
      <c r="T54" s="9"/>
      <c r="U54" s="1597"/>
      <c r="V54" s="1597"/>
      <c r="W54" s="1597"/>
      <c r="X54" s="1597"/>
      <c r="Y54" s="1597"/>
    </row>
    <row r="55" spans="1:25" s="1259" customFormat="1" ht="13.2">
      <c r="A55" s="1262" t="str">
        <f t="shared" si="0"/>
        <v>St.  LAWRENCE / FDR393Stores Equipment</v>
      </c>
      <c r="B55" s="1282" t="s">
        <v>1286</v>
      </c>
      <c r="C55" s="1224" t="str">
        <f>CONCATENATE("WP-BC, column 8, line ",VLOOKUP(A55,'WP-BC'!A58:N398, 2, FALSE))</f>
        <v>WP-BC, column 8, line 12ay</v>
      </c>
      <c r="D55" s="1225" t="s">
        <v>1895</v>
      </c>
      <c r="E55" s="1225"/>
      <c r="F55" s="1225"/>
      <c r="G55" s="1264">
        <v>393</v>
      </c>
      <c r="H55" s="1226"/>
      <c r="I55" s="1227" t="s">
        <v>78</v>
      </c>
      <c r="J55" s="1265"/>
      <c r="K55" s="1266">
        <f>IFERROR(VLOOKUP(A55,'WP-BC'!A$18:AG$351,10,FALSE),0)</f>
        <v>9245</v>
      </c>
      <c r="L55" s="1267"/>
      <c r="M55" s="1259" t="s">
        <v>227</v>
      </c>
      <c r="O55" s="1597"/>
      <c r="P55" s="1597"/>
      <c r="Q55" s="1597"/>
      <c r="R55" s="1597"/>
      <c r="S55" s="1597"/>
      <c r="T55" s="9"/>
      <c r="U55" s="1597"/>
      <c r="V55" s="1597"/>
      <c r="W55" s="1597"/>
      <c r="X55" s="1597"/>
      <c r="Y55" s="1597"/>
    </row>
    <row r="56" spans="1:25" s="1259" customFormat="1" ht="13.2">
      <c r="A56" s="1262" t="str">
        <f t="shared" si="0"/>
        <v>393</v>
      </c>
      <c r="B56" s="1268" t="s">
        <v>541</v>
      </c>
      <c r="C56" s="1228"/>
      <c r="D56" s="1228"/>
      <c r="E56" s="1225"/>
      <c r="F56" s="1225"/>
      <c r="G56" s="1264">
        <v>393</v>
      </c>
      <c r="H56" s="1226"/>
      <c r="I56" s="1228"/>
      <c r="J56" s="1265"/>
      <c r="K56" s="1266">
        <f>IFERROR(VLOOKUP(A56,'WP-BC'!A$18:AG$351,10,FALSE),0)</f>
        <v>0</v>
      </c>
      <c r="L56" s="1267"/>
      <c r="O56" s="1597"/>
      <c r="P56" s="1597"/>
      <c r="Q56" s="1597"/>
      <c r="R56" s="1597"/>
      <c r="S56" s="1597"/>
      <c r="T56" s="9"/>
      <c r="U56" s="1597"/>
      <c r="V56" s="1597"/>
      <c r="W56" s="1597"/>
      <c r="X56" s="1597"/>
      <c r="Y56" s="1597"/>
    </row>
    <row r="57" spans="1:25" s="1259" customFormat="1" ht="15">
      <c r="A57" s="1262" t="str">
        <f t="shared" si="0"/>
        <v>393</v>
      </c>
      <c r="B57" s="1268" t="s">
        <v>541</v>
      </c>
      <c r="C57" s="1228"/>
      <c r="D57" s="1228"/>
      <c r="E57" s="1225"/>
      <c r="F57" s="1225"/>
      <c r="G57" s="1264">
        <v>393</v>
      </c>
      <c r="H57" s="1226"/>
      <c r="I57" s="1228"/>
      <c r="J57" s="1265"/>
      <c r="K57" s="1269">
        <f>IFERROR(VLOOKUP(A57,'WP-BC'!A$18:AG$358,10,FALSE),0)</f>
        <v>0</v>
      </c>
      <c r="L57" s="1267"/>
      <c r="O57" s="1597"/>
      <c r="P57" s="1597"/>
      <c r="Q57" s="1597"/>
      <c r="R57" s="1597"/>
      <c r="S57" s="1597"/>
      <c r="T57" s="9"/>
      <c r="U57" s="1597"/>
      <c r="V57" s="1597"/>
      <c r="W57" s="1597"/>
      <c r="X57" s="1597"/>
      <c r="Y57" s="1597"/>
    </row>
    <row r="58" spans="1:25" s="1259" customFormat="1" ht="13.2">
      <c r="A58" s="1262" t="str">
        <f t="shared" si="0"/>
        <v>393</v>
      </c>
      <c r="B58" s="1268">
        <v>8</v>
      </c>
      <c r="D58" s="1271"/>
      <c r="E58" s="1278"/>
      <c r="F58" s="1279"/>
      <c r="G58" s="1264">
        <v>393</v>
      </c>
      <c r="H58" s="1274" t="s">
        <v>264</v>
      </c>
      <c r="I58" s="1265"/>
      <c r="J58" s="1265"/>
      <c r="K58" s="1281">
        <f>SUM(K52:K57)</f>
        <v>35497</v>
      </c>
      <c r="L58" s="1267"/>
      <c r="O58" s="1597"/>
      <c r="P58" s="1597"/>
      <c r="Q58" s="1597"/>
      <c r="R58" s="1597"/>
      <c r="S58" s="1597"/>
      <c r="T58" s="9"/>
      <c r="U58" s="1597"/>
      <c r="V58" s="1597"/>
      <c r="W58" s="1597"/>
      <c r="X58" s="1597"/>
      <c r="Y58" s="1597"/>
    </row>
    <row r="59" spans="1:25" s="1259" customFormat="1" ht="13.2">
      <c r="A59" s="1262" t="str">
        <f t="shared" si="0"/>
        <v/>
      </c>
      <c r="B59" s="1268" t="s">
        <v>1224</v>
      </c>
      <c r="D59" s="1271"/>
      <c r="E59" s="1278"/>
      <c r="F59" s="1279"/>
      <c r="G59" s="1264"/>
      <c r="H59" s="1265"/>
      <c r="I59" s="1265"/>
      <c r="J59" s="1265"/>
      <c r="K59" s="1266"/>
      <c r="L59" s="1267"/>
      <c r="O59" s="1597"/>
      <c r="P59" s="1597"/>
      <c r="Q59" s="1597"/>
      <c r="R59" s="1597"/>
      <c r="S59" s="1597"/>
      <c r="T59" s="9"/>
      <c r="U59" s="1597"/>
      <c r="V59" s="1597"/>
      <c r="W59" s="1597"/>
      <c r="X59" s="1597"/>
      <c r="Y59" s="1597"/>
    </row>
    <row r="60" spans="1:25" s="1259" customFormat="1" ht="13.2">
      <c r="A60" s="1262" t="str">
        <f t="shared" si="0"/>
        <v>BLENHEIM - GILBOA394Tools, Shop &amp; Garage Equipment</v>
      </c>
      <c r="B60" s="1268" t="s">
        <v>1287</v>
      </c>
      <c r="C60" s="1224" t="str">
        <f>CONCATENATE("WP-BC, column 8, line ",VLOOKUP(A60,'WP-BC'!A63:N403, 2, FALSE))</f>
        <v>WP-BC, column 8, line 12f</v>
      </c>
      <c r="D60" s="1225" t="s">
        <v>1889</v>
      </c>
      <c r="E60" s="1225"/>
      <c r="F60" s="1225"/>
      <c r="G60" s="1264">
        <v>394</v>
      </c>
      <c r="H60" s="1226"/>
      <c r="I60" s="1227" t="s">
        <v>79</v>
      </c>
      <c r="J60" s="1265"/>
      <c r="K60" s="1266">
        <f>IFERROR(VLOOKUP(A60,'WP-BC'!A$18:AG$351,10,FALSE),0)</f>
        <v>89290.69</v>
      </c>
      <c r="L60" s="1267"/>
      <c r="M60" s="1259" t="s">
        <v>227</v>
      </c>
      <c r="O60" s="1597"/>
      <c r="P60" s="1597"/>
      <c r="Q60" s="1597"/>
      <c r="R60" s="1597"/>
      <c r="S60" s="1597"/>
      <c r="T60" s="9"/>
      <c r="U60" s="1597"/>
      <c r="V60" s="1597"/>
      <c r="W60" s="1597"/>
      <c r="X60" s="1597"/>
      <c r="Y60" s="1597"/>
    </row>
    <row r="61" spans="1:25" s="1259" customFormat="1" ht="13.2">
      <c r="A61" s="1262" t="str">
        <f t="shared" si="0"/>
        <v>HEADQUARTERS394Tools, Shop &amp; Garage Equipment</v>
      </c>
      <c r="B61" s="1268" t="s">
        <v>1288</v>
      </c>
      <c r="C61" s="1224" t="str">
        <f>CONCATENATE("WP-BC, column 8, line ",VLOOKUP(A61,'WP-BC'!A64:N404, 2, FALSE))</f>
        <v>WP-BC, column 8, line 12p</v>
      </c>
      <c r="D61" s="1225" t="s">
        <v>1896</v>
      </c>
      <c r="E61" s="1225"/>
      <c r="F61" s="1225"/>
      <c r="G61" s="1264">
        <v>394</v>
      </c>
      <c r="H61" s="1226"/>
      <c r="I61" s="1227" t="s">
        <v>79</v>
      </c>
      <c r="J61" s="1265"/>
      <c r="K61" s="1266">
        <f>IFERROR(VLOOKUP(A61,'WP-BC'!A$18:AG$351,10,FALSE),0)</f>
        <v>59046.36</v>
      </c>
      <c r="L61" s="1267"/>
      <c r="M61" s="1259" t="s">
        <v>227</v>
      </c>
      <c r="O61" s="1597"/>
      <c r="P61" s="1597"/>
      <c r="Q61" s="1597"/>
      <c r="R61" s="1597"/>
      <c r="S61" s="1597"/>
      <c r="T61" s="9"/>
      <c r="U61" s="1597"/>
      <c r="V61" s="1597"/>
      <c r="W61" s="1597"/>
      <c r="X61" s="1597"/>
      <c r="Y61" s="1597"/>
    </row>
    <row r="62" spans="1:25" s="1259" customFormat="1" ht="13.2">
      <c r="A62" s="1262" t="str">
        <f t="shared" si="0"/>
        <v>MASSENA - MARCY  (Clark)394Tools, Shop &amp; Garage Equipment</v>
      </c>
      <c r="B62" s="1268" t="s">
        <v>1289</v>
      </c>
      <c r="C62" s="1224" t="str">
        <f>CONCATENATE("WP-BC, column 8, line ",VLOOKUP(A62,'WP-BC'!A65:N405, 2, FALSE))</f>
        <v>WP-BC, column 8, line 12ac</v>
      </c>
      <c r="D62" s="1225" t="s">
        <v>1894</v>
      </c>
      <c r="E62" s="1225"/>
      <c r="F62" s="1225"/>
      <c r="G62" s="1264">
        <v>394</v>
      </c>
      <c r="H62" s="1226"/>
      <c r="I62" s="1227" t="s">
        <v>79</v>
      </c>
      <c r="J62" s="1265"/>
      <c r="K62" s="1266">
        <f>IFERROR(VLOOKUP(A62,'WP-BC'!A$18:AG$351,10,FALSE),0)</f>
        <v>30893</v>
      </c>
      <c r="L62" s="1267"/>
      <c r="M62" s="1259" t="s">
        <v>227</v>
      </c>
      <c r="O62" s="1597"/>
      <c r="P62" s="1597"/>
      <c r="Q62" s="1597"/>
      <c r="R62" s="1597"/>
      <c r="S62" s="1597"/>
      <c r="T62" s="9"/>
      <c r="U62" s="1597"/>
      <c r="V62" s="1597"/>
      <c r="W62" s="1597"/>
      <c r="X62" s="1597"/>
      <c r="Y62" s="1597"/>
    </row>
    <row r="63" spans="1:25" s="1259" customFormat="1" ht="13.2">
      <c r="A63" s="1262" t="str">
        <f t="shared" si="0"/>
        <v>NIAGARA394Tools, Shop &amp; Garage Equipment</v>
      </c>
      <c r="B63" s="1268" t="s">
        <v>1290</v>
      </c>
      <c r="C63" s="1224" t="str">
        <f>CONCATENATE("WP-BC, column 8, line ",VLOOKUP(A63,'WP-BC'!A66:N406, 2, FALSE))</f>
        <v>WP-BC, column 8, line 12an</v>
      </c>
      <c r="D63" s="1225" t="s">
        <v>30</v>
      </c>
      <c r="E63" s="1225"/>
      <c r="F63" s="1225"/>
      <c r="G63" s="1264">
        <v>394</v>
      </c>
      <c r="H63" s="1226"/>
      <c r="I63" s="1227" t="s">
        <v>79</v>
      </c>
      <c r="J63" s="1265"/>
      <c r="K63" s="1266">
        <f>IFERROR(VLOOKUP(A63,'WP-BC'!A$18:AG$351,10,FALSE),0)</f>
        <v>46067</v>
      </c>
      <c r="L63" s="1267"/>
      <c r="M63" s="1259" t="s">
        <v>227</v>
      </c>
      <c r="O63" s="1597"/>
      <c r="P63" s="1597"/>
      <c r="Q63" s="1597"/>
      <c r="R63" s="1597"/>
      <c r="S63" s="1597"/>
      <c r="T63" s="9"/>
      <c r="U63" s="1597"/>
      <c r="V63" s="1597"/>
      <c r="W63" s="1597"/>
      <c r="X63" s="1597"/>
      <c r="Y63" s="1597"/>
    </row>
    <row r="64" spans="1:25" s="1259" customFormat="1" ht="13.2">
      <c r="A64" s="1262" t="str">
        <f t="shared" si="0"/>
        <v>St.  LAWRENCE / FDR394Tools, Shop &amp; Garage Equipment</v>
      </c>
      <c r="B64" s="1268" t="s">
        <v>1291</v>
      </c>
      <c r="C64" s="1224" t="str">
        <f>CONCATENATE("WP-BC, column 8, line ",VLOOKUP(A64,'WP-BC'!A67:N407, 2, FALSE))</f>
        <v>WP-BC, column 8, line 12az</v>
      </c>
      <c r="D64" s="1225" t="s">
        <v>1895</v>
      </c>
      <c r="E64" s="1225"/>
      <c r="F64" s="1225"/>
      <c r="G64" s="1264">
        <v>394</v>
      </c>
      <c r="H64" s="1226"/>
      <c r="I64" s="1227" t="s">
        <v>79</v>
      </c>
      <c r="J64" s="1265"/>
      <c r="K64" s="1266">
        <f>IFERROR(VLOOKUP(A64,'WP-BC'!A$18:AG$351,10,FALSE),0)</f>
        <v>469353.31</v>
      </c>
      <c r="L64" s="1267"/>
      <c r="M64" s="1259" t="s">
        <v>227</v>
      </c>
      <c r="O64" s="1597"/>
      <c r="P64" s="1597"/>
      <c r="Q64" s="1597"/>
      <c r="R64" s="1597"/>
      <c r="S64" s="1597"/>
      <c r="T64" s="9"/>
      <c r="U64" s="1597"/>
      <c r="V64" s="1597"/>
      <c r="W64" s="1597"/>
      <c r="X64" s="1597"/>
      <c r="Y64" s="1597"/>
    </row>
    <row r="65" spans="1:25" s="1259" customFormat="1" ht="13.2">
      <c r="A65" s="1262" t="str">
        <f t="shared" si="0"/>
        <v>394</v>
      </c>
      <c r="B65" s="1268" t="s">
        <v>541</v>
      </c>
      <c r="C65" s="1228"/>
      <c r="D65" s="1228"/>
      <c r="E65" s="1225"/>
      <c r="F65" s="1225"/>
      <c r="G65" s="1264">
        <v>394</v>
      </c>
      <c r="H65" s="1226"/>
      <c r="I65" s="1228"/>
      <c r="J65" s="1265"/>
      <c r="K65" s="1266">
        <f>IFERROR(VLOOKUP(A65,'WP-BC'!A$18:AG$351,10,FALSE),0)</f>
        <v>0</v>
      </c>
      <c r="L65" s="1267"/>
      <c r="O65" s="1597"/>
      <c r="P65" s="1597"/>
      <c r="Q65" s="1597"/>
      <c r="R65" s="1597"/>
      <c r="S65" s="1597"/>
      <c r="T65" s="9"/>
      <c r="U65" s="1597"/>
      <c r="V65" s="1597"/>
      <c r="W65" s="1597"/>
      <c r="X65" s="1597"/>
      <c r="Y65" s="1597"/>
    </row>
    <row r="66" spans="1:25" s="1259" customFormat="1" ht="15">
      <c r="A66" s="1262" t="str">
        <f t="shared" si="0"/>
        <v>394</v>
      </c>
      <c r="B66" s="1268" t="s">
        <v>541</v>
      </c>
      <c r="C66" s="1228"/>
      <c r="D66" s="1228"/>
      <c r="E66" s="1225"/>
      <c r="F66" s="1225"/>
      <c r="G66" s="1264">
        <v>394</v>
      </c>
      <c r="H66" s="1226"/>
      <c r="I66" s="1228"/>
      <c r="J66" s="1265"/>
      <c r="K66" s="1269">
        <f>IFERROR(VLOOKUP(A66,'WP-BC'!A$18:AG$358,10,FALSE),0)</f>
        <v>0</v>
      </c>
      <c r="L66" s="1267"/>
      <c r="O66" s="1597"/>
      <c r="P66" s="1597"/>
      <c r="Q66" s="1597"/>
      <c r="R66" s="1597"/>
      <c r="S66" s="1597"/>
      <c r="T66" s="9"/>
      <c r="U66" s="1597"/>
      <c r="V66" s="1597"/>
      <c r="W66" s="1597"/>
      <c r="X66" s="1597"/>
      <c r="Y66" s="1597"/>
    </row>
    <row r="67" spans="1:25" s="1259" customFormat="1" ht="13.2">
      <c r="A67" s="1262" t="str">
        <f t="shared" si="0"/>
        <v>394</v>
      </c>
      <c r="B67" s="1268">
        <v>10</v>
      </c>
      <c r="D67" s="1271"/>
      <c r="E67" s="1278"/>
      <c r="F67" s="1279"/>
      <c r="G67" s="1264">
        <v>394</v>
      </c>
      <c r="H67" s="1274" t="s">
        <v>265</v>
      </c>
      <c r="I67" s="1265"/>
      <c r="J67" s="1265"/>
      <c r="K67" s="1281">
        <f>SUM(K60:K66)</f>
        <v>694650.36</v>
      </c>
      <c r="L67" s="1267"/>
      <c r="O67" s="1597"/>
      <c r="P67" s="1597"/>
      <c r="Q67" s="1597"/>
      <c r="R67" s="1597"/>
      <c r="S67" s="1597"/>
      <c r="T67" s="9"/>
      <c r="U67" s="1597"/>
      <c r="V67" s="1597"/>
      <c r="W67" s="1597"/>
      <c r="X67" s="1597"/>
      <c r="Y67" s="1597"/>
    </row>
    <row r="68" spans="1:25" s="1259" customFormat="1" ht="13.2">
      <c r="A68" s="1262" t="str">
        <f t="shared" si="0"/>
        <v/>
      </c>
      <c r="B68" s="1268" t="s">
        <v>1224</v>
      </c>
      <c r="D68" s="1271"/>
      <c r="E68" s="1278"/>
      <c r="F68" s="1279"/>
      <c r="G68" s="1264"/>
      <c r="H68" s="1265"/>
      <c r="I68" s="1265"/>
      <c r="J68" s="1265"/>
      <c r="K68" s="1266"/>
      <c r="L68" s="1267"/>
      <c r="O68" s="1597"/>
      <c r="P68" s="1597"/>
      <c r="Q68" s="1597"/>
      <c r="R68" s="1597"/>
      <c r="S68" s="1597"/>
      <c r="T68" s="9"/>
      <c r="U68" s="1597"/>
      <c r="V68" s="1597"/>
      <c r="W68" s="1597"/>
      <c r="X68" s="1597"/>
      <c r="Y68" s="1597"/>
    </row>
    <row r="69" spans="1:25" s="1259" customFormat="1" ht="13.2">
      <c r="A69" s="1262" t="str">
        <f t="shared" si="0"/>
        <v>BLENHEIM - GILBOA395Laboratory Equipment</v>
      </c>
      <c r="B69" s="1268" t="s">
        <v>1078</v>
      </c>
      <c r="C69" s="1224" t="str">
        <f>CONCATENATE("WP-BC, column 8, line ",VLOOKUP(A69,'WP-BC'!A72:N412, 2, FALSE))</f>
        <v>WP-BC, column 8, line 12g</v>
      </c>
      <c r="D69" s="1225" t="s">
        <v>1889</v>
      </c>
      <c r="E69" s="1225"/>
      <c r="F69" s="1225"/>
      <c r="G69" s="1264">
        <v>395</v>
      </c>
      <c r="H69" s="1226"/>
      <c r="I69" s="1227" t="s">
        <v>80</v>
      </c>
      <c r="J69" s="1265"/>
      <c r="K69" s="1266">
        <f>IFERROR(VLOOKUP(A69,'WP-BC'!A$18:AG$351,10,FALSE),0)</f>
        <v>35527</v>
      </c>
      <c r="L69" s="1267"/>
      <c r="M69" s="1259" t="s">
        <v>227</v>
      </c>
      <c r="O69" s="1597"/>
      <c r="P69" s="1597"/>
      <c r="Q69" s="1597"/>
      <c r="R69" s="1597"/>
      <c r="S69" s="1597"/>
      <c r="T69" s="9"/>
      <c r="U69" s="1597"/>
      <c r="V69" s="1597"/>
      <c r="W69" s="1597"/>
      <c r="X69" s="1597"/>
      <c r="Y69" s="1597"/>
    </row>
    <row r="70" spans="1:25" s="1259" customFormat="1" ht="13.2">
      <c r="A70" s="1262" t="str">
        <f t="shared" si="0"/>
        <v>HEADQUARTERS395Laboratory Equipment</v>
      </c>
      <c r="B70" s="1268" t="s">
        <v>1079</v>
      </c>
      <c r="C70" s="1224" t="str">
        <f>CONCATENATE("WP-BC, column 8, line ",VLOOKUP(A70,'WP-BC'!A73:N413, 2, FALSE))</f>
        <v>WP-BC, column 8, line 12q</v>
      </c>
      <c r="D70" s="1225" t="s">
        <v>1896</v>
      </c>
      <c r="E70" s="1225"/>
      <c r="F70" s="1225"/>
      <c r="G70" s="1264">
        <v>395</v>
      </c>
      <c r="H70" s="1226"/>
      <c r="I70" s="1227" t="s">
        <v>80</v>
      </c>
      <c r="J70" s="1265"/>
      <c r="K70" s="1266">
        <f>IFERROR(VLOOKUP(A70,'WP-BC'!A$18:AG$351,10,FALSE),0)</f>
        <v>4586.01</v>
      </c>
      <c r="L70" s="1267"/>
      <c r="M70" s="1259" t="s">
        <v>227</v>
      </c>
      <c r="O70" s="1597"/>
      <c r="P70" s="1597"/>
      <c r="Q70" s="1597"/>
      <c r="R70" s="1597"/>
      <c r="S70" s="1597"/>
      <c r="T70" s="9"/>
      <c r="U70" s="1597"/>
      <c r="V70" s="1597"/>
      <c r="W70" s="1597"/>
      <c r="X70" s="1597"/>
      <c r="Y70" s="1597"/>
    </row>
    <row r="71" spans="1:25" s="1259" customFormat="1" ht="13.2">
      <c r="A71" s="1262" t="str">
        <f t="shared" si="0"/>
        <v>MASSENA - MARCY  (Clark)395Laboratory Equipment</v>
      </c>
      <c r="B71" s="1268" t="s">
        <v>1080</v>
      </c>
      <c r="C71" s="1224" t="str">
        <f>CONCATENATE("WP-BC, column 8, line ",VLOOKUP(A71,'WP-BC'!A74:N414, 2, FALSE))</f>
        <v>WP-BC, column 8, line 12ad</v>
      </c>
      <c r="D71" s="1225" t="s">
        <v>1894</v>
      </c>
      <c r="E71" s="1225"/>
      <c r="F71" s="1225"/>
      <c r="G71" s="1264">
        <v>395</v>
      </c>
      <c r="H71" s="1226"/>
      <c r="I71" s="1227" t="s">
        <v>80</v>
      </c>
      <c r="J71" s="1265"/>
      <c r="K71" s="1266">
        <f>IFERROR(VLOOKUP(A71,'WP-BC'!A$18:AG$351,10,FALSE),0)</f>
        <v>27417</v>
      </c>
      <c r="L71" s="1267"/>
      <c r="M71" s="1259" t="s">
        <v>227</v>
      </c>
      <c r="O71" s="1597"/>
      <c r="P71" s="1597"/>
      <c r="Q71" s="1597"/>
      <c r="R71" s="1597"/>
      <c r="S71" s="1597"/>
      <c r="T71" s="9"/>
      <c r="U71" s="1597"/>
      <c r="V71" s="1597"/>
      <c r="W71" s="1597"/>
      <c r="X71" s="1597"/>
      <c r="Y71" s="1597"/>
    </row>
    <row r="72" spans="1:25" s="1259" customFormat="1" ht="13.2">
      <c r="A72" s="1262" t="str">
        <f t="shared" si="0"/>
        <v>NIAGARA395Laboratory Equipment</v>
      </c>
      <c r="B72" s="1268" t="s">
        <v>1292</v>
      </c>
      <c r="C72" s="1224" t="str">
        <f>CONCATENATE("WP-BC, column 8, line ",VLOOKUP(A72,'WP-BC'!A75:N415, 2, FALSE))</f>
        <v>WP-BC, column 8, line 12ao</v>
      </c>
      <c r="D72" s="1225" t="s">
        <v>30</v>
      </c>
      <c r="E72" s="1225"/>
      <c r="F72" s="1225"/>
      <c r="G72" s="1264">
        <v>395</v>
      </c>
      <c r="H72" s="1226"/>
      <c r="I72" s="1227" t="s">
        <v>80</v>
      </c>
      <c r="J72" s="1265"/>
      <c r="K72" s="1266">
        <f>IFERROR(VLOOKUP(A72,'WP-BC'!A$18:AG$351,10,FALSE),0)</f>
        <v>27456.809999999998</v>
      </c>
      <c r="L72" s="1267"/>
      <c r="M72" s="1259" t="s">
        <v>227</v>
      </c>
      <c r="O72" s="1597"/>
      <c r="P72" s="1597"/>
      <c r="Q72" s="1597"/>
      <c r="R72" s="1597"/>
      <c r="S72" s="1597"/>
      <c r="T72" s="9"/>
      <c r="U72" s="1597"/>
      <c r="V72" s="1597"/>
      <c r="W72" s="1597"/>
      <c r="X72" s="1597"/>
      <c r="Y72" s="1597"/>
    </row>
    <row r="73" spans="1:25" s="1259" customFormat="1" ht="13.2">
      <c r="A73" s="1262" t="str">
        <f t="shared" si="0"/>
        <v>St.  LAWRENCE / FDR395Laboratory Equipment</v>
      </c>
      <c r="B73" s="1268" t="s">
        <v>1293</v>
      </c>
      <c r="C73" s="1224" t="str">
        <f>CONCATENATE("WP-BC, column 8, line ",VLOOKUP(A73,'WP-BC'!A76:N416, 2, FALSE))</f>
        <v>WP-BC, column 8, line 12ba</v>
      </c>
      <c r="D73" s="1225" t="s">
        <v>1895</v>
      </c>
      <c r="E73" s="1225"/>
      <c r="F73" s="1225"/>
      <c r="G73" s="1264">
        <v>395</v>
      </c>
      <c r="H73" s="1226"/>
      <c r="I73" s="1227" t="s">
        <v>80</v>
      </c>
      <c r="J73" s="1265"/>
      <c r="K73" s="1266">
        <f>IFERROR(VLOOKUP(A73,'WP-BC'!A$18:AG$351,10,FALSE),0)</f>
        <v>154681</v>
      </c>
      <c r="L73" s="1267"/>
      <c r="M73" s="1259" t="s">
        <v>227</v>
      </c>
      <c r="O73" s="1597"/>
      <c r="P73" s="1597"/>
      <c r="Q73" s="1597"/>
      <c r="R73" s="1597"/>
      <c r="S73" s="1597"/>
      <c r="T73" s="9"/>
      <c r="U73" s="1597"/>
      <c r="V73" s="1597"/>
      <c r="W73" s="1597"/>
      <c r="X73" s="1597"/>
      <c r="Y73" s="1597"/>
    </row>
    <row r="74" spans="1:25" s="1259" customFormat="1" ht="13.2">
      <c r="A74" s="1262" t="str">
        <f t="shared" si="0"/>
        <v>395</v>
      </c>
      <c r="B74" s="1268" t="s">
        <v>541</v>
      </c>
      <c r="C74" s="1228"/>
      <c r="D74" s="1228"/>
      <c r="E74" s="1225"/>
      <c r="F74" s="1225"/>
      <c r="G74" s="1264">
        <v>395</v>
      </c>
      <c r="H74" s="1226"/>
      <c r="I74" s="1228"/>
      <c r="J74" s="1265"/>
      <c r="K74" s="1266">
        <f>IFERROR(VLOOKUP(A74,'WP-BC'!A$18:AG$351,10,FALSE),0)</f>
        <v>0</v>
      </c>
      <c r="L74" s="1267"/>
      <c r="O74" s="1597"/>
      <c r="P74" s="1597"/>
      <c r="Q74" s="1597"/>
      <c r="R74" s="1597"/>
      <c r="S74" s="1597"/>
      <c r="T74" s="9"/>
      <c r="U74" s="1597"/>
      <c r="V74" s="1597"/>
      <c r="W74" s="1597"/>
      <c r="X74" s="1597"/>
      <c r="Y74" s="1597"/>
    </row>
    <row r="75" spans="1:25" s="1259" customFormat="1" ht="15">
      <c r="A75" s="1262" t="str">
        <f t="shared" si="0"/>
        <v>395</v>
      </c>
      <c r="B75" s="1268" t="s">
        <v>541</v>
      </c>
      <c r="C75" s="1228"/>
      <c r="D75" s="1228"/>
      <c r="E75" s="1225"/>
      <c r="F75" s="1225"/>
      <c r="G75" s="1264">
        <v>395</v>
      </c>
      <c r="H75" s="1226"/>
      <c r="I75" s="1228"/>
      <c r="J75" s="1265"/>
      <c r="K75" s="1269">
        <f>IFERROR(VLOOKUP(A75,'WP-BC'!A$18:AG$358,10,FALSE),0)</f>
        <v>0</v>
      </c>
      <c r="L75" s="1267"/>
      <c r="O75" s="1597"/>
      <c r="P75" s="1597"/>
      <c r="Q75" s="1597"/>
      <c r="R75" s="1597"/>
      <c r="S75" s="1597"/>
      <c r="T75" s="9"/>
      <c r="U75" s="1597"/>
      <c r="V75" s="1597"/>
      <c r="W75" s="1597"/>
      <c r="X75" s="1597"/>
      <c r="Y75" s="1597"/>
    </row>
    <row r="76" spans="1:25" s="1259" customFormat="1" ht="13.2">
      <c r="A76" s="1262" t="str">
        <f t="shared" si="0"/>
        <v>395</v>
      </c>
      <c r="B76" s="1268">
        <v>12</v>
      </c>
      <c r="D76" s="1271"/>
      <c r="E76" s="1278"/>
      <c r="F76" s="1279"/>
      <c r="G76" s="1264">
        <v>395</v>
      </c>
      <c r="H76" s="1274" t="s">
        <v>266</v>
      </c>
      <c r="I76" s="1265"/>
      <c r="J76" s="1265"/>
      <c r="K76" s="1281">
        <f>SUM(K69:K75)</f>
        <v>249667.82</v>
      </c>
      <c r="L76" s="1267"/>
      <c r="O76" s="1597"/>
      <c r="P76" s="1597"/>
      <c r="Q76" s="1597"/>
      <c r="R76" s="1597"/>
      <c r="S76" s="1597"/>
      <c r="T76" s="9"/>
      <c r="U76" s="1597"/>
      <c r="V76" s="1597"/>
      <c r="W76" s="1597"/>
      <c r="X76" s="1597"/>
      <c r="Y76" s="1597"/>
    </row>
    <row r="77" spans="1:25" s="1259" customFormat="1" ht="13.2">
      <c r="A77" s="1262" t="str">
        <f t="shared" si="0"/>
        <v/>
      </c>
      <c r="B77" s="1268" t="s">
        <v>1224</v>
      </c>
      <c r="D77" s="1271"/>
      <c r="E77" s="1278"/>
      <c r="F77" s="1279"/>
      <c r="G77" s="1264"/>
      <c r="H77" s="1265"/>
      <c r="I77" s="1265"/>
      <c r="J77" s="1265"/>
      <c r="K77" s="1266"/>
      <c r="L77" s="1267"/>
      <c r="O77" s="1597"/>
      <c r="P77" s="1597"/>
      <c r="Q77" s="1597"/>
      <c r="R77" s="1597"/>
      <c r="S77" s="1597"/>
      <c r="T77" s="9"/>
      <c r="U77" s="1597"/>
      <c r="V77" s="1597"/>
      <c r="W77" s="1597"/>
      <c r="X77" s="1597"/>
      <c r="Y77" s="1597"/>
    </row>
    <row r="78" spans="1:25" s="1259" customFormat="1" ht="13.2">
      <c r="A78" s="1262" t="str">
        <f t="shared" si="0"/>
        <v>BLENHEIM - GILBOA396Power Operated Equipment</v>
      </c>
      <c r="B78" s="1268" t="s">
        <v>1294</v>
      </c>
      <c r="C78" s="1224" t="str">
        <f>CONCATENATE("WP-BC, column 8, line ",VLOOKUP(A78,'WP-BC'!A81:N421, 2, FALSE))</f>
        <v>WP-BC, column 8, line 12h</v>
      </c>
      <c r="D78" s="1225" t="s">
        <v>1889</v>
      </c>
      <c r="E78" s="1225"/>
      <c r="F78" s="1225"/>
      <c r="G78" s="1264">
        <v>396</v>
      </c>
      <c r="H78" s="1226"/>
      <c r="I78" s="1227" t="s">
        <v>81</v>
      </c>
      <c r="J78" s="1265"/>
      <c r="K78" s="1266">
        <f>IFERROR(VLOOKUP(A78,'WP-BC'!A$18:AG$351,10,FALSE),0)</f>
        <v>69352</v>
      </c>
      <c r="L78" s="1267"/>
      <c r="M78" s="1259" t="s">
        <v>227</v>
      </c>
      <c r="O78" s="1597"/>
      <c r="P78" s="1597"/>
      <c r="Q78" s="1597"/>
      <c r="R78" s="1597"/>
      <c r="S78" s="1597"/>
      <c r="T78" s="9"/>
      <c r="U78" s="1597"/>
      <c r="V78" s="1597"/>
      <c r="W78" s="1597"/>
      <c r="X78" s="1597"/>
      <c r="Y78" s="1597"/>
    </row>
    <row r="79" spans="1:25" s="1259" customFormat="1" ht="13.2">
      <c r="A79" s="1262" t="str">
        <f t="shared" si="0"/>
        <v>MARCY-SOUTH396Power Operated Equipment</v>
      </c>
      <c r="B79" s="1268" t="s">
        <v>1295</v>
      </c>
      <c r="C79" s="1224" t="str">
        <f>CONCATENATE("WP-BC, column 8, line ",VLOOKUP(A79,'WP-BC'!A82:N422, 2, FALSE))</f>
        <v>WP-BC, column 8, line 12u</v>
      </c>
      <c r="D79" s="1225" t="s">
        <v>1893</v>
      </c>
      <c r="E79" s="1225"/>
      <c r="F79" s="1225"/>
      <c r="G79" s="1264">
        <v>396</v>
      </c>
      <c r="H79" s="1226"/>
      <c r="I79" s="1227" t="s">
        <v>81</v>
      </c>
      <c r="J79" s="1265"/>
      <c r="K79" s="1266">
        <f>IFERROR(VLOOKUP(A79,'WP-BC'!A$18:AG$351,10,FALSE),0)</f>
        <v>0</v>
      </c>
      <c r="L79" s="1267"/>
      <c r="M79" s="1259" t="s">
        <v>227</v>
      </c>
      <c r="O79" s="1597"/>
      <c r="P79" s="1597"/>
      <c r="Q79" s="1597"/>
      <c r="R79" s="1597"/>
      <c r="S79" s="1597"/>
      <c r="T79" s="9"/>
      <c r="U79" s="1597"/>
      <c r="V79" s="1597"/>
      <c r="W79" s="1597"/>
      <c r="X79" s="1597"/>
      <c r="Y79" s="1597"/>
    </row>
    <row r="80" spans="1:25" s="1259" customFormat="1" ht="13.2">
      <c r="A80" s="1262" t="str">
        <f t="shared" si="0"/>
        <v>MASSENA - MARCY  (Clark)396Power Operated Equipment</v>
      </c>
      <c r="B80" s="1268" t="s">
        <v>1296</v>
      </c>
      <c r="C80" s="1224" t="str">
        <f>CONCATENATE("WP-BC, column 8, line ",VLOOKUP(A80,'WP-BC'!A83:N423, 2, FALSE))</f>
        <v>WP-BC, column 8, line 12ae</v>
      </c>
      <c r="D80" s="1225" t="s">
        <v>1894</v>
      </c>
      <c r="E80" s="1225"/>
      <c r="F80" s="1225"/>
      <c r="G80" s="1264">
        <v>396</v>
      </c>
      <c r="H80" s="1226"/>
      <c r="I80" s="1227" t="s">
        <v>81</v>
      </c>
      <c r="J80" s="1265"/>
      <c r="K80" s="1266">
        <f>IFERROR(VLOOKUP(A80,'WP-BC'!A$18:AG$351,10,FALSE),0)</f>
        <v>178788.27</v>
      </c>
      <c r="L80" s="1267"/>
      <c r="M80" s="1259" t="s">
        <v>227</v>
      </c>
      <c r="O80" s="1597"/>
      <c r="P80" s="1597"/>
      <c r="Q80" s="1597"/>
      <c r="R80" s="1597"/>
      <c r="S80" s="1597"/>
      <c r="T80" s="9"/>
      <c r="U80" s="1597"/>
      <c r="V80" s="1597"/>
      <c r="W80" s="1597"/>
      <c r="X80" s="1597"/>
      <c r="Y80" s="1597"/>
    </row>
    <row r="81" spans="1:25" s="1259" customFormat="1" ht="13.2">
      <c r="A81" s="1262" t="str">
        <f t="shared" si="0"/>
        <v>NIAGARA396Power Operated Equipment</v>
      </c>
      <c r="B81" s="1268" t="s">
        <v>1297</v>
      </c>
      <c r="C81" s="1224" t="str">
        <f>CONCATENATE("WP-BC, column 8, line ",VLOOKUP(A81,'WP-BC'!A84:N424, 2, FALSE))</f>
        <v>WP-BC, column 8, line 12ap</v>
      </c>
      <c r="D81" s="1225" t="s">
        <v>30</v>
      </c>
      <c r="E81" s="1225"/>
      <c r="F81" s="1225"/>
      <c r="G81" s="1264">
        <v>396</v>
      </c>
      <c r="H81" s="1226"/>
      <c r="I81" s="1227" t="s">
        <v>81</v>
      </c>
      <c r="J81" s="1265"/>
      <c r="K81" s="1266">
        <f>IFERROR(VLOOKUP(A81,'WP-BC'!A$18:AG$351,10,FALSE),0)</f>
        <v>177164</v>
      </c>
      <c r="L81" s="1267"/>
      <c r="M81" s="1259" t="s">
        <v>227</v>
      </c>
      <c r="O81" s="1597"/>
      <c r="P81" s="1597"/>
      <c r="Q81" s="1597"/>
      <c r="R81" s="1597"/>
      <c r="S81" s="1597"/>
      <c r="T81" s="9"/>
      <c r="U81" s="1597"/>
      <c r="V81" s="1597"/>
      <c r="W81" s="1597"/>
      <c r="X81" s="1597"/>
      <c r="Y81" s="1597"/>
    </row>
    <row r="82" spans="1:25" s="1259" customFormat="1" ht="13.2">
      <c r="A82" s="1262" t="str">
        <f t="shared" si="0"/>
        <v>St.  LAWRENCE / FDR396Power Operated Equipment</v>
      </c>
      <c r="B82" s="1268" t="s">
        <v>1298</v>
      </c>
      <c r="C82" s="1224" t="str">
        <f>CONCATENATE("WP-BC, column 8, line ",VLOOKUP(A82,'WP-BC'!A85:N425, 2, FALSE))</f>
        <v>WP-BC, column 8, line 12bb</v>
      </c>
      <c r="D82" s="1225" t="s">
        <v>1895</v>
      </c>
      <c r="E82" s="1225"/>
      <c r="F82" s="1225"/>
      <c r="G82" s="1264">
        <v>396</v>
      </c>
      <c r="H82" s="1226"/>
      <c r="I82" s="1227" t="s">
        <v>81</v>
      </c>
      <c r="J82" s="1265"/>
      <c r="K82" s="1266">
        <f>IFERROR(VLOOKUP(A82,'WP-BC'!A$18:AG$351,10,FALSE),0)</f>
        <v>598462</v>
      </c>
      <c r="L82" s="1267"/>
      <c r="M82" s="1259" t="s">
        <v>227</v>
      </c>
      <c r="O82" s="1597"/>
      <c r="P82" s="1597"/>
      <c r="Q82" s="1597"/>
      <c r="R82" s="1597"/>
      <c r="S82" s="1597"/>
      <c r="T82" s="9"/>
      <c r="U82" s="1597"/>
      <c r="V82" s="1597"/>
      <c r="W82" s="1597"/>
      <c r="X82" s="1597"/>
      <c r="Y82" s="1597"/>
    </row>
    <row r="83" spans="1:25" s="1259" customFormat="1" ht="13.2">
      <c r="A83" s="1262" t="str">
        <f t="shared" si="0"/>
        <v>396</v>
      </c>
      <c r="B83" s="1268" t="s">
        <v>541</v>
      </c>
      <c r="C83" s="1228"/>
      <c r="D83" s="1228"/>
      <c r="E83" s="1225"/>
      <c r="F83" s="1225"/>
      <c r="G83" s="1264">
        <v>396</v>
      </c>
      <c r="H83" s="1226"/>
      <c r="I83" s="1228"/>
      <c r="J83" s="1265"/>
      <c r="K83" s="1266">
        <f>IFERROR(VLOOKUP(A83,'WP-BC'!A$18:AG$351,10,FALSE),0)</f>
        <v>0</v>
      </c>
      <c r="L83" s="1267"/>
      <c r="O83" s="1597"/>
      <c r="P83" s="1597"/>
      <c r="Q83" s="1597"/>
      <c r="R83" s="1597"/>
      <c r="S83" s="1597"/>
      <c r="T83" s="9"/>
      <c r="U83" s="1597"/>
      <c r="V83" s="1597"/>
      <c r="W83" s="1597"/>
      <c r="X83" s="1597"/>
      <c r="Y83" s="1597"/>
    </row>
    <row r="84" spans="1:25" s="1259" customFormat="1" ht="15">
      <c r="A84" s="1262" t="str">
        <f t="shared" si="0"/>
        <v>396</v>
      </c>
      <c r="B84" s="1268" t="s">
        <v>541</v>
      </c>
      <c r="C84" s="1228"/>
      <c r="D84" s="1228"/>
      <c r="E84" s="1225"/>
      <c r="F84" s="1225"/>
      <c r="G84" s="1264">
        <v>396</v>
      </c>
      <c r="H84" s="1226"/>
      <c r="I84" s="1228"/>
      <c r="J84" s="1265"/>
      <c r="K84" s="1269">
        <f>IFERROR(VLOOKUP(A84,'WP-BC'!A$18:AG$358,10,FALSE),0)</f>
        <v>0</v>
      </c>
      <c r="L84" s="1267"/>
      <c r="O84" s="1597"/>
      <c r="P84" s="1597"/>
      <c r="Q84" s="1597"/>
      <c r="R84" s="1597"/>
      <c r="S84" s="1597"/>
      <c r="T84" s="9"/>
      <c r="U84" s="1597"/>
      <c r="V84" s="1597"/>
      <c r="W84" s="1597"/>
      <c r="X84" s="1597"/>
      <c r="Y84" s="1597"/>
    </row>
    <row r="85" spans="1:25" s="1259" customFormat="1" ht="13.2">
      <c r="A85" s="1262" t="str">
        <f t="shared" si="0"/>
        <v>396</v>
      </c>
      <c r="B85" s="1268">
        <v>14</v>
      </c>
      <c r="D85" s="1271"/>
      <c r="E85" s="1278"/>
      <c r="F85" s="1279"/>
      <c r="G85" s="1264">
        <v>396</v>
      </c>
      <c r="H85" s="1274" t="s">
        <v>267</v>
      </c>
      <c r="I85" s="1265"/>
      <c r="J85" s="1265"/>
      <c r="K85" s="1281">
        <f>SUM(K78:K84)</f>
        <v>1023766.27</v>
      </c>
      <c r="L85" s="1267"/>
      <c r="O85" s="1597"/>
      <c r="P85" s="1597"/>
      <c r="Q85" s="1597"/>
      <c r="R85" s="1597"/>
      <c r="S85" s="1597"/>
      <c r="T85" s="9"/>
      <c r="U85" s="1597"/>
      <c r="V85" s="1597"/>
      <c r="W85" s="1597"/>
      <c r="X85" s="1597"/>
      <c r="Y85" s="1597"/>
    </row>
    <row r="86" spans="1:25" s="1259" customFormat="1" ht="13.2">
      <c r="A86" s="1262" t="str">
        <f t="shared" si="0"/>
        <v/>
      </c>
      <c r="B86" s="1268" t="s">
        <v>1224</v>
      </c>
      <c r="D86" s="1271"/>
      <c r="E86" s="1278"/>
      <c r="F86" s="1279"/>
      <c r="G86" s="1264"/>
      <c r="H86" s="1265"/>
      <c r="I86" s="1265"/>
      <c r="J86" s="1265"/>
      <c r="K86" s="1266"/>
      <c r="L86" s="1267"/>
      <c r="O86" s="1597"/>
      <c r="P86" s="1597"/>
      <c r="Q86" s="1597"/>
      <c r="R86" s="1597"/>
      <c r="S86" s="1597"/>
      <c r="T86" s="9"/>
      <c r="U86" s="1597"/>
      <c r="V86" s="1597"/>
      <c r="W86" s="1597"/>
      <c r="X86" s="1597"/>
      <c r="Y86" s="1597"/>
    </row>
    <row r="87" spans="1:25" s="1259" customFormat="1" ht="13.2">
      <c r="A87" s="1262" t="str">
        <f t="shared" si="0"/>
        <v>BLENHEIM - GILBOA397Communication Equipment</v>
      </c>
      <c r="B87" s="1268" t="s">
        <v>1299</v>
      </c>
      <c r="C87" s="1224" t="str">
        <f>CONCATENATE("WP-BC, column 8, line ",VLOOKUP(A87,'WP-BC'!A90:N430, 2, FALSE))</f>
        <v>WP-BC, column 8, line 12i</v>
      </c>
      <c r="D87" s="1225" t="s">
        <v>1889</v>
      </c>
      <c r="E87" s="1225"/>
      <c r="F87" s="1225"/>
      <c r="G87" s="1264">
        <v>397</v>
      </c>
      <c r="H87" s="1226"/>
      <c r="I87" s="1227" t="s">
        <v>82</v>
      </c>
      <c r="J87" s="1265"/>
      <c r="K87" s="1266">
        <f>IFERROR(VLOOKUP(A87,'WP-BC'!A$18:AG$351,10,FALSE),0)</f>
        <v>53563</v>
      </c>
      <c r="L87" s="1267"/>
      <c r="M87" s="1259" t="s">
        <v>227</v>
      </c>
      <c r="O87" s="1597"/>
      <c r="P87" s="1597"/>
      <c r="Q87" s="1597"/>
      <c r="R87" s="1597"/>
      <c r="S87" s="1597"/>
      <c r="T87" s="9"/>
      <c r="U87" s="1597"/>
      <c r="V87" s="1597"/>
      <c r="W87" s="1597"/>
      <c r="X87" s="1597"/>
      <c r="Y87" s="1597"/>
    </row>
    <row r="88" spans="1:25" s="1259" customFormat="1" ht="13.2">
      <c r="A88" s="1262" t="str">
        <f t="shared" ref="A88:A151" si="2">CONCATENATE(D88,G88,I88)</f>
        <v>HEADQUARTERS397Communication Equipment</v>
      </c>
      <c r="B88" s="1268" t="s">
        <v>1300</v>
      </c>
      <c r="C88" s="1224" t="str">
        <f>CONCATENATE("WP-BC, column 8, line ",VLOOKUP(A88,'WP-BC'!A91:N431, 2, FALSE))</f>
        <v>WP-BC, column 8, line 12r</v>
      </c>
      <c r="D88" s="1225" t="s">
        <v>1896</v>
      </c>
      <c r="E88" s="1225"/>
      <c r="F88" s="1225"/>
      <c r="G88" s="1264">
        <v>397</v>
      </c>
      <c r="H88" s="1226"/>
      <c r="I88" s="1227" t="s">
        <v>82</v>
      </c>
      <c r="J88" s="1265"/>
      <c r="K88" s="1266">
        <f>IFERROR(VLOOKUP(A88,'WP-BC'!A$18:AG$351,10,FALSE),0)</f>
        <v>797780.51</v>
      </c>
      <c r="L88" s="1267"/>
      <c r="M88" s="1259" t="s">
        <v>227</v>
      </c>
      <c r="O88" s="1597"/>
      <c r="P88" s="1597"/>
      <c r="Q88" s="1597"/>
      <c r="R88" s="1597"/>
      <c r="S88" s="1597"/>
      <c r="T88" s="9"/>
      <c r="U88" s="1597"/>
      <c r="V88" s="1597"/>
      <c r="W88" s="1597"/>
      <c r="X88" s="1597"/>
      <c r="Y88" s="1597"/>
    </row>
    <row r="89" spans="1:25" s="1259" customFormat="1" ht="13.2">
      <c r="A89" s="1262" t="str">
        <f t="shared" si="2"/>
        <v>LONG ISLAND SOUND CABLE397Communication Equipment</v>
      </c>
      <c r="B89" s="1268" t="s">
        <v>1301</v>
      </c>
      <c r="C89" s="1224" t="str">
        <f>CONCATENATE("WP-BC, column 8, line ",VLOOKUP(A89,'WP-BC'!A92:N432, 2, FALSE))</f>
        <v>WP-BC, column 8, line 12t</v>
      </c>
      <c r="D89" s="1225" t="s">
        <v>1892</v>
      </c>
      <c r="E89" s="1225"/>
      <c r="F89" s="1225"/>
      <c r="G89" s="1264">
        <v>397</v>
      </c>
      <c r="H89" s="1226"/>
      <c r="I89" s="1227" t="s">
        <v>82</v>
      </c>
      <c r="J89" s="1265"/>
      <c r="K89" s="1266">
        <f>IFERROR(VLOOKUP(A89,'WP-BC'!A$18:AG$351,10,FALSE),0)</f>
        <v>0</v>
      </c>
      <c r="L89" s="1267"/>
      <c r="M89" s="1259" t="s">
        <v>227</v>
      </c>
      <c r="O89" s="1597"/>
      <c r="P89" s="1597"/>
      <c r="Q89" s="1597"/>
      <c r="R89" s="1597"/>
      <c r="S89" s="1597"/>
      <c r="T89" s="9"/>
      <c r="U89" s="1597"/>
      <c r="V89" s="1597"/>
      <c r="W89" s="1597"/>
      <c r="X89" s="1597"/>
      <c r="Y89" s="1597"/>
    </row>
    <row r="90" spans="1:25" s="1259" customFormat="1" ht="13.2">
      <c r="A90" s="1262" t="str">
        <f t="shared" si="2"/>
        <v>MARCY-SOUTH397Communication Equipment</v>
      </c>
      <c r="B90" s="1268" t="s">
        <v>1302</v>
      </c>
      <c r="C90" s="1224" t="str">
        <f>CONCATENATE("WP-BC, column 8, line ",VLOOKUP(A90,'WP-BC'!A93:N433, 2, FALSE))</f>
        <v>WP-BC, column 8, line 12v</v>
      </c>
      <c r="D90" s="1225" t="s">
        <v>1893</v>
      </c>
      <c r="E90" s="1225"/>
      <c r="F90" s="1225"/>
      <c r="G90" s="1264">
        <v>397</v>
      </c>
      <c r="H90" s="1226"/>
      <c r="I90" s="1227" t="s">
        <v>82</v>
      </c>
      <c r="J90" s="1265"/>
      <c r="K90" s="1266">
        <f>IFERROR(VLOOKUP(A90,'WP-BC'!A$18:AG$351,10,FALSE),0)</f>
        <v>0</v>
      </c>
      <c r="L90" s="1267"/>
      <c r="M90" s="1259" t="s">
        <v>227</v>
      </c>
      <c r="O90" s="1597"/>
      <c r="P90" s="1597"/>
      <c r="Q90" s="1597"/>
      <c r="R90" s="1597"/>
      <c r="S90" s="1597"/>
      <c r="T90" s="9"/>
      <c r="U90" s="1597"/>
      <c r="V90" s="1597"/>
      <c r="W90" s="1597"/>
      <c r="X90" s="1597"/>
      <c r="Y90" s="1597"/>
    </row>
    <row r="91" spans="1:25" s="1259" customFormat="1" ht="13.2">
      <c r="A91" s="1262" t="str">
        <f t="shared" si="2"/>
        <v>MASSENA - MARCY  (Clark)397Communication Equipment</v>
      </c>
      <c r="B91" s="1268" t="s">
        <v>1303</v>
      </c>
      <c r="C91" s="1224" t="str">
        <f>CONCATENATE("WP-BC, column 8, line ",VLOOKUP(A91,'WP-BC'!A94:N434, 2, FALSE))</f>
        <v>WP-BC, column 8, line 12af</v>
      </c>
      <c r="D91" s="1225" t="s">
        <v>1894</v>
      </c>
      <c r="E91" s="1225"/>
      <c r="F91" s="1225"/>
      <c r="G91" s="1264">
        <v>397</v>
      </c>
      <c r="H91" s="1226"/>
      <c r="I91" s="1227" t="s">
        <v>82</v>
      </c>
      <c r="J91" s="1265"/>
      <c r="K91" s="1266">
        <f>IFERROR(VLOOKUP(A91,'WP-BC'!A$18:AG$351,10,FALSE),0)</f>
        <v>514318.4</v>
      </c>
      <c r="L91" s="1267"/>
      <c r="M91" s="1259" t="s">
        <v>227</v>
      </c>
      <c r="O91" s="1597"/>
      <c r="P91" s="1597"/>
      <c r="Q91" s="1597"/>
      <c r="R91" s="1597"/>
      <c r="S91" s="1597"/>
      <c r="T91" s="9"/>
      <c r="U91" s="1597"/>
      <c r="V91" s="1597"/>
      <c r="W91" s="1597"/>
      <c r="X91" s="1597"/>
      <c r="Y91" s="1597"/>
    </row>
    <row r="92" spans="1:25" s="1259" customFormat="1" ht="13.2">
      <c r="A92" s="1262" t="str">
        <f t="shared" si="2"/>
        <v>NIAGARA397Communication Equipment</v>
      </c>
      <c r="B92" s="1268" t="s">
        <v>1304</v>
      </c>
      <c r="C92" s="1224" t="str">
        <f>CONCATENATE("WP-BC, column 8, line ",VLOOKUP(A92,'WP-BC'!A95:N435, 2, FALSE))</f>
        <v>WP-BC, column 8, line 12aq</v>
      </c>
      <c r="D92" s="1225" t="s">
        <v>30</v>
      </c>
      <c r="E92" s="1225"/>
      <c r="F92" s="1225"/>
      <c r="G92" s="1264">
        <v>397</v>
      </c>
      <c r="H92" s="1226"/>
      <c r="I92" s="1227" t="s">
        <v>82</v>
      </c>
      <c r="J92" s="1265"/>
      <c r="K92" s="1266">
        <f>IFERROR(VLOOKUP(A92,'WP-BC'!A$18:AG$351,10,FALSE),0)</f>
        <v>267654</v>
      </c>
      <c r="L92" s="1267"/>
      <c r="M92" s="1259" t="s">
        <v>227</v>
      </c>
      <c r="O92" s="1597"/>
      <c r="P92" s="1597"/>
      <c r="Q92" s="1597"/>
      <c r="R92" s="1597"/>
      <c r="S92" s="1597"/>
      <c r="T92" s="9"/>
      <c r="U92" s="1597"/>
      <c r="V92" s="1597"/>
      <c r="W92" s="1597"/>
      <c r="X92" s="1597"/>
      <c r="Y92" s="1597"/>
    </row>
    <row r="93" spans="1:25" s="1259" customFormat="1" ht="13.2">
      <c r="A93" s="1262" t="str">
        <f t="shared" si="2"/>
        <v>St.  LAWRENCE / FDR397Communication Equipment</v>
      </c>
      <c r="B93" s="1268" t="s">
        <v>1319</v>
      </c>
      <c r="C93" s="1224" t="str">
        <f>CONCATENATE("WP-BC, column 8, line ",VLOOKUP(A93,'WP-BC'!A96:N436, 2, FALSE))</f>
        <v>WP-BC, column 8, line 12bc</v>
      </c>
      <c r="D93" s="1225" t="s">
        <v>1895</v>
      </c>
      <c r="E93" s="1225"/>
      <c r="F93" s="1225"/>
      <c r="G93" s="1264">
        <v>397</v>
      </c>
      <c r="H93" s="1226"/>
      <c r="I93" s="1227" t="s">
        <v>82</v>
      </c>
      <c r="J93" s="1265"/>
      <c r="K93" s="1266">
        <f>IFERROR(VLOOKUP(A93,'WP-BC'!A$18:AG$351,10,FALSE),0)</f>
        <v>410698</v>
      </c>
      <c r="L93" s="1267"/>
      <c r="M93" s="1259" t="s">
        <v>227</v>
      </c>
      <c r="O93" s="1597"/>
      <c r="P93" s="1597"/>
      <c r="Q93" s="1597"/>
      <c r="R93" s="1597"/>
      <c r="S93" s="1597"/>
      <c r="T93" s="9"/>
      <c r="U93" s="1597"/>
      <c r="V93" s="1597"/>
      <c r="W93" s="1597"/>
      <c r="X93" s="1597"/>
      <c r="Y93" s="1597"/>
    </row>
    <row r="94" spans="1:25" s="1259" customFormat="1" ht="13.2">
      <c r="A94" s="1262" t="str">
        <f t="shared" si="2"/>
        <v>397</v>
      </c>
      <c r="B94" s="1268" t="s">
        <v>1224</v>
      </c>
      <c r="C94" s="1228"/>
      <c r="D94" s="1228"/>
      <c r="E94" s="1225"/>
      <c r="F94" s="1225"/>
      <c r="G94" s="1264">
        <v>397</v>
      </c>
      <c r="H94" s="1226"/>
      <c r="I94" s="1228"/>
      <c r="J94" s="1265"/>
      <c r="K94" s="1266">
        <f>IFERROR(VLOOKUP(A94,'WP-BC'!A$18:AG$351,10,FALSE),0)</f>
        <v>0</v>
      </c>
      <c r="L94" s="1267"/>
      <c r="O94" s="1597"/>
      <c r="P94" s="1597"/>
      <c r="Q94" s="1597"/>
      <c r="R94" s="1597"/>
      <c r="S94" s="1597"/>
      <c r="T94" s="9"/>
      <c r="U94" s="1597"/>
      <c r="V94" s="1597"/>
      <c r="W94" s="1597"/>
      <c r="X94" s="1597"/>
      <c r="Y94" s="1597"/>
    </row>
    <row r="95" spans="1:25" s="1259" customFormat="1" ht="15">
      <c r="A95" s="1262" t="str">
        <f t="shared" si="2"/>
        <v>397</v>
      </c>
      <c r="B95" s="1268" t="s">
        <v>1224</v>
      </c>
      <c r="C95" s="1228"/>
      <c r="D95" s="1228"/>
      <c r="E95" s="1225"/>
      <c r="F95" s="1225"/>
      <c r="G95" s="1264">
        <v>397</v>
      </c>
      <c r="H95" s="1226"/>
      <c r="I95" s="1228"/>
      <c r="J95" s="1265"/>
      <c r="K95" s="1269">
        <f>IFERROR(VLOOKUP(A95,'WP-BC'!A$18:AG$358,10,FALSE),0)</f>
        <v>0</v>
      </c>
      <c r="L95" s="1267"/>
      <c r="O95" s="1597"/>
      <c r="P95" s="1597"/>
      <c r="Q95" s="1597"/>
      <c r="R95" s="1597"/>
      <c r="S95" s="1597"/>
      <c r="T95" s="9"/>
      <c r="U95" s="1597"/>
      <c r="V95" s="1597"/>
      <c r="W95" s="1597"/>
      <c r="X95" s="1597"/>
      <c r="Y95" s="1597"/>
    </row>
    <row r="96" spans="1:25" s="1259" customFormat="1" ht="13.2">
      <c r="A96" s="1262" t="str">
        <f t="shared" si="2"/>
        <v>397</v>
      </c>
      <c r="B96" s="1268">
        <v>16</v>
      </c>
      <c r="D96" s="1271"/>
      <c r="E96" s="1278"/>
      <c r="F96" s="1279"/>
      <c r="G96" s="1264">
        <v>397</v>
      </c>
      <c r="H96" s="1274" t="s">
        <v>268</v>
      </c>
      <c r="I96" s="1265"/>
      <c r="J96" s="1265"/>
      <c r="K96" s="1281">
        <f>SUM(K87:K95)</f>
        <v>2044013.9100000001</v>
      </c>
      <c r="L96" s="1267"/>
      <c r="O96" s="1597"/>
      <c r="P96" s="1597"/>
      <c r="Q96" s="1597"/>
      <c r="R96" s="1597"/>
      <c r="S96" s="1597"/>
      <c r="T96" s="9"/>
      <c r="U96" s="1597"/>
      <c r="V96" s="1597"/>
      <c r="W96" s="1597"/>
      <c r="X96" s="1597"/>
      <c r="Y96" s="1597"/>
    </row>
    <row r="97" spans="1:25" s="1259" customFormat="1" ht="13.2">
      <c r="A97" s="1262" t="str">
        <f t="shared" si="2"/>
        <v/>
      </c>
      <c r="B97" s="1268" t="s">
        <v>1224</v>
      </c>
      <c r="D97" s="1271"/>
      <c r="E97" s="1278"/>
      <c r="F97" s="1279"/>
      <c r="G97" s="1264"/>
      <c r="H97" s="1265"/>
      <c r="I97" s="1265"/>
      <c r="J97" s="1265"/>
      <c r="K97" s="1266"/>
      <c r="L97" s="1267"/>
      <c r="O97" s="1597"/>
      <c r="P97" s="1597"/>
      <c r="Q97" s="1597"/>
      <c r="R97" s="1597"/>
      <c r="S97" s="1597"/>
      <c r="T97" s="9"/>
      <c r="U97" s="1597"/>
      <c r="V97" s="1597"/>
      <c r="W97" s="1597"/>
      <c r="X97" s="1597"/>
      <c r="Y97" s="1597"/>
    </row>
    <row r="98" spans="1:25" s="1259" customFormat="1" ht="13.2">
      <c r="A98" s="1262" t="str">
        <f t="shared" si="2"/>
        <v>BLENHEIM - GILBOA398Miscellaneous Equipment</v>
      </c>
      <c r="B98" s="1268" t="s">
        <v>1305</v>
      </c>
      <c r="C98" s="1224" t="str">
        <f>CONCATENATE("WP-BC, column 8, line ",VLOOKUP(A98,'WP-BC'!A101:N441, 2, FALSE))</f>
        <v>WP-BC, column 8, line 12j</v>
      </c>
      <c r="D98" s="1225" t="s">
        <v>1889</v>
      </c>
      <c r="E98" s="1225"/>
      <c r="F98" s="1225"/>
      <c r="G98" s="1264">
        <v>398</v>
      </c>
      <c r="H98" s="1226"/>
      <c r="I98" s="1227" t="s">
        <v>83</v>
      </c>
      <c r="J98" s="1265"/>
      <c r="K98" s="1266">
        <f>IFERROR(VLOOKUP(A98,'WP-BC'!A$18:AG$351,10,FALSE),0)</f>
        <v>957974.5</v>
      </c>
      <c r="L98" s="1267"/>
      <c r="M98" s="1259" t="s">
        <v>227</v>
      </c>
      <c r="O98" s="1597"/>
      <c r="P98" s="1597"/>
      <c r="Q98" s="1597"/>
      <c r="R98" s="1597"/>
      <c r="S98" s="1597"/>
      <c r="T98" s="9"/>
      <c r="U98" s="1597"/>
      <c r="V98" s="1597"/>
      <c r="W98" s="1597"/>
      <c r="X98" s="1597"/>
      <c r="Y98" s="1597"/>
    </row>
    <row r="99" spans="1:25" s="1259" customFormat="1" ht="13.2">
      <c r="A99" s="1262" t="str">
        <f t="shared" si="2"/>
        <v>HEADQUARTERS398Miscellaneous Equipment</v>
      </c>
      <c r="B99" s="1268" t="s">
        <v>1306</v>
      </c>
      <c r="C99" s="1224" t="str">
        <f>CONCATENATE("WP-BC, column 8, line ",VLOOKUP(A99,'WP-BC'!A102:N442, 2, FALSE))</f>
        <v>WP-BC, column 8, line 12s</v>
      </c>
      <c r="D99" s="1225" t="s">
        <v>1896</v>
      </c>
      <c r="E99" s="1225"/>
      <c r="F99" s="1225"/>
      <c r="G99" s="1264">
        <v>398</v>
      </c>
      <c r="H99" s="1226"/>
      <c r="I99" s="1227" t="s">
        <v>83</v>
      </c>
      <c r="J99" s="1265"/>
      <c r="K99" s="1266">
        <f>IFERROR(VLOOKUP(A99,'WP-BC'!A$18:AG$351,10,FALSE),0)</f>
        <v>37954</v>
      </c>
      <c r="L99" s="1267"/>
      <c r="M99" s="1259" t="s">
        <v>227</v>
      </c>
      <c r="O99" s="1597"/>
      <c r="P99" s="1597"/>
      <c r="Q99" s="1597"/>
      <c r="R99" s="1597"/>
      <c r="S99" s="1597"/>
      <c r="T99" s="9"/>
      <c r="U99" s="1597"/>
      <c r="V99" s="1597"/>
      <c r="W99" s="1597"/>
      <c r="X99" s="1597"/>
      <c r="Y99" s="1597"/>
    </row>
    <row r="100" spans="1:25" s="1259" customFormat="1" ht="13.2">
      <c r="A100" s="1262" t="str">
        <f t="shared" si="2"/>
        <v>MASSENA - MARCY  (Clark)398Miscellaneous Equipment</v>
      </c>
      <c r="B100" s="1268" t="s">
        <v>1307</v>
      </c>
      <c r="C100" s="1224" t="str">
        <f>CONCATENATE("WP-BC, column 8, line ",VLOOKUP(A100,'WP-BC'!A103:N443, 2, FALSE))</f>
        <v>WP-BC, column 8, line 12ag</v>
      </c>
      <c r="D100" s="1225" t="s">
        <v>1894</v>
      </c>
      <c r="E100" s="1225"/>
      <c r="F100" s="1225"/>
      <c r="G100" s="1264">
        <v>398</v>
      </c>
      <c r="H100" s="1226"/>
      <c r="I100" s="1227" t="s">
        <v>83</v>
      </c>
      <c r="J100" s="1265"/>
      <c r="K100" s="1266">
        <f>IFERROR(VLOOKUP(A100,'WP-BC'!A$18:AG$351,10,FALSE),0)</f>
        <v>11306.5</v>
      </c>
      <c r="L100" s="1267"/>
      <c r="M100" s="1259" t="s">
        <v>227</v>
      </c>
      <c r="O100" s="1597"/>
      <c r="P100" s="1597"/>
      <c r="Q100" s="1597"/>
      <c r="R100" s="1597"/>
      <c r="S100" s="1597"/>
      <c r="T100" s="9"/>
      <c r="U100" s="1597"/>
      <c r="V100" s="1597"/>
      <c r="W100" s="1597"/>
      <c r="X100" s="1597"/>
      <c r="Y100" s="1597"/>
    </row>
    <row r="101" spans="1:25" s="1259" customFormat="1" ht="13.2">
      <c r="A101" s="1262" t="str">
        <f t="shared" si="2"/>
        <v>NIAGARA398Miscellaneous Equipment</v>
      </c>
      <c r="B101" s="1268" t="s">
        <v>1308</v>
      </c>
      <c r="C101" s="1224" t="str">
        <f>CONCATENATE("WP-BC, column 8, line ",VLOOKUP(A101,'WP-BC'!A104:N444, 2, FALSE))</f>
        <v>WP-BC, column 8, line 12ar</v>
      </c>
      <c r="D101" s="1225" t="s">
        <v>30</v>
      </c>
      <c r="E101" s="1225"/>
      <c r="F101" s="1225"/>
      <c r="G101" s="1264">
        <v>398</v>
      </c>
      <c r="H101" s="1226"/>
      <c r="I101" s="1227" t="s">
        <v>83</v>
      </c>
      <c r="J101" s="1265"/>
      <c r="K101" s="1266">
        <f>IFERROR(VLOOKUP(A101,'WP-BC'!A$18:AG$351,10,FALSE),0)</f>
        <v>10340708.640000001</v>
      </c>
      <c r="L101" s="1267"/>
      <c r="M101" s="1259" t="s">
        <v>227</v>
      </c>
      <c r="O101" s="1597"/>
      <c r="P101" s="1597"/>
      <c r="Q101" s="1597"/>
      <c r="R101" s="1597"/>
      <c r="S101" s="1597"/>
      <c r="T101" s="9"/>
      <c r="U101" s="1597"/>
      <c r="V101" s="1597"/>
      <c r="W101" s="1597"/>
      <c r="X101" s="1597"/>
      <c r="Y101" s="1597"/>
    </row>
    <row r="102" spans="1:25" s="1259" customFormat="1" ht="13.2">
      <c r="A102" s="1262" t="str">
        <f t="shared" si="2"/>
        <v>St.  LAWRENCE / FDR398Miscellaneous Equipment</v>
      </c>
      <c r="B102" s="1268" t="s">
        <v>1309</v>
      </c>
      <c r="C102" s="1224" t="str">
        <f>CONCATENATE("WP-BC, column 8, line ",VLOOKUP(A102,'WP-BC'!A105:N445, 2, FALSE))</f>
        <v>WP-BC, column 8, line 12bd</v>
      </c>
      <c r="D102" s="1225" t="s">
        <v>1895</v>
      </c>
      <c r="E102" s="1225"/>
      <c r="F102" s="1225"/>
      <c r="G102" s="1264">
        <v>398</v>
      </c>
      <c r="H102" s="1226"/>
      <c r="I102" s="1227" t="s">
        <v>83</v>
      </c>
      <c r="J102" s="1265"/>
      <c r="K102" s="1266">
        <f>IFERROR(VLOOKUP(A102,'WP-BC'!A$18:AG$351,10,FALSE),0)</f>
        <v>5922519.8299999991</v>
      </c>
      <c r="L102" s="1267"/>
      <c r="M102" s="1259" t="s">
        <v>227</v>
      </c>
      <c r="O102" s="1597"/>
      <c r="P102" s="1597"/>
      <c r="Q102" s="1597"/>
      <c r="R102" s="1597"/>
      <c r="S102" s="1597"/>
      <c r="T102" s="1597"/>
      <c r="U102" s="1597"/>
      <c r="V102" s="1597"/>
      <c r="W102" s="1597"/>
      <c r="X102" s="1597"/>
      <c r="Y102" s="1597"/>
    </row>
    <row r="103" spans="1:25" s="1259" customFormat="1" ht="13.2">
      <c r="A103" s="1262" t="str">
        <f t="shared" si="2"/>
        <v>398</v>
      </c>
      <c r="B103" s="1268" t="s">
        <v>541</v>
      </c>
      <c r="C103" s="1228"/>
      <c r="D103" s="1228"/>
      <c r="E103" s="1225"/>
      <c r="F103" s="1225"/>
      <c r="G103" s="1264">
        <v>398</v>
      </c>
      <c r="H103" s="1226"/>
      <c r="I103" s="1228"/>
      <c r="J103" s="1265"/>
      <c r="K103" s="1266">
        <f>IFERROR(VLOOKUP(A103,'WP-BC'!A$18:AG$351,10,FALSE),0)</f>
        <v>0</v>
      </c>
      <c r="L103" s="1267"/>
      <c r="O103" s="1597"/>
      <c r="P103" s="1597"/>
      <c r="Q103" s="1597"/>
      <c r="R103" s="1597"/>
      <c r="S103" s="1597"/>
      <c r="T103" s="1597"/>
      <c r="U103" s="1597"/>
      <c r="V103" s="1597"/>
      <c r="W103" s="1597"/>
      <c r="X103" s="1597"/>
      <c r="Y103" s="1597"/>
    </row>
    <row r="104" spans="1:25" s="1259" customFormat="1" ht="15">
      <c r="A104" s="1262" t="str">
        <f t="shared" si="2"/>
        <v>398</v>
      </c>
      <c r="B104" s="1268" t="s">
        <v>541</v>
      </c>
      <c r="C104" s="1228"/>
      <c r="D104" s="1228"/>
      <c r="E104" s="1225"/>
      <c r="F104" s="1225"/>
      <c r="G104" s="1264">
        <v>398</v>
      </c>
      <c r="H104" s="1226"/>
      <c r="I104" s="1228"/>
      <c r="J104" s="1265"/>
      <c r="K104" s="1269">
        <f>IFERROR(VLOOKUP(A104,'WP-BC'!A$18:AG$358,10,FALSE),0)</f>
        <v>0</v>
      </c>
      <c r="L104" s="1267"/>
      <c r="O104" s="1597"/>
      <c r="P104" s="1597"/>
      <c r="Q104" s="1597"/>
      <c r="R104" s="1597"/>
      <c r="S104" s="1597"/>
      <c r="T104" s="1597"/>
      <c r="U104" s="1597"/>
      <c r="V104" s="1597"/>
      <c r="W104" s="1597"/>
      <c r="X104" s="1597"/>
      <c r="Y104" s="1597"/>
    </row>
    <row r="105" spans="1:25" s="1259" customFormat="1" ht="13.2">
      <c r="A105" s="1262" t="str">
        <f t="shared" si="2"/>
        <v>398</v>
      </c>
      <c r="B105" s="1268">
        <v>18</v>
      </c>
      <c r="D105" s="1271"/>
      <c r="E105" s="1278"/>
      <c r="F105" s="1279"/>
      <c r="G105" s="1264">
        <v>398</v>
      </c>
      <c r="H105" s="1274" t="s">
        <v>269</v>
      </c>
      <c r="I105" s="1265"/>
      <c r="J105" s="1265"/>
      <c r="K105" s="1281">
        <f>SUM(K98:K104)</f>
        <v>17270463.469999999</v>
      </c>
      <c r="L105" s="1267"/>
      <c r="O105" s="1597"/>
      <c r="P105" s="1597"/>
      <c r="Q105" s="1597"/>
      <c r="R105" s="1597"/>
      <c r="S105" s="1597"/>
      <c r="T105" s="1597"/>
      <c r="U105" s="1597"/>
      <c r="V105" s="1597"/>
      <c r="W105" s="1597"/>
      <c r="X105" s="1597"/>
      <c r="Y105" s="1597"/>
    </row>
    <row r="106" spans="1:25" s="1259" customFormat="1" ht="13.2">
      <c r="A106" s="1262" t="str">
        <f t="shared" si="2"/>
        <v/>
      </c>
      <c r="B106" s="1268" t="s">
        <v>1224</v>
      </c>
      <c r="D106" s="1271"/>
      <c r="E106" s="1278"/>
      <c r="F106" s="1279"/>
      <c r="G106" s="1264"/>
      <c r="H106" s="1265"/>
      <c r="I106" s="1265"/>
      <c r="J106" s="1265"/>
      <c r="K106" s="1266"/>
      <c r="L106" s="1267"/>
      <c r="O106" s="1597"/>
      <c r="P106" s="1597"/>
      <c r="Q106" s="1597"/>
      <c r="R106" s="1597"/>
      <c r="S106" s="1597"/>
      <c r="T106" s="1597"/>
      <c r="U106" s="1597"/>
      <c r="V106" s="1597"/>
      <c r="W106" s="1597"/>
      <c r="X106" s="1597"/>
      <c r="Y106" s="1597"/>
    </row>
    <row r="107" spans="1:25" s="1259" customFormat="1" ht="13.2">
      <c r="A107" s="1262" t="str">
        <f t="shared" si="2"/>
        <v/>
      </c>
      <c r="B107" s="1268" t="s">
        <v>1316</v>
      </c>
      <c r="C107" s="1224"/>
      <c r="D107" s="1225"/>
      <c r="E107" s="1225"/>
      <c r="F107" s="1279"/>
      <c r="G107" s="1264"/>
      <c r="H107" s="1227"/>
      <c r="I107" s="1231"/>
      <c r="J107" s="1265"/>
      <c r="K107" s="1266"/>
      <c r="L107" s="1267"/>
      <c r="M107" s="1259" t="s">
        <v>1320</v>
      </c>
      <c r="O107" s="1597"/>
      <c r="P107" s="1597"/>
      <c r="Q107" s="1597"/>
      <c r="R107" s="1597"/>
      <c r="S107" s="1597"/>
      <c r="T107" s="1597"/>
      <c r="U107" s="1597"/>
      <c r="V107" s="1597"/>
      <c r="W107" s="1597"/>
      <c r="X107" s="1597"/>
      <c r="Y107" s="1597"/>
    </row>
    <row r="108" spans="1:25" s="1259" customFormat="1" ht="13.2">
      <c r="A108" s="1262" t="str">
        <f t="shared" si="2"/>
        <v>NIAGARA399Other Tangible Property</v>
      </c>
      <c r="B108" s="1268" t="s">
        <v>1317</v>
      </c>
      <c r="C108" s="1224" t="str">
        <f>CONCATENATE("WP-BC, column 8, line ",VLOOKUP(A108,'WP-BC'!A111:N451, 2, FALSE))</f>
        <v>WP-BC, column 8, line 12as</v>
      </c>
      <c r="D108" s="1225" t="s">
        <v>30</v>
      </c>
      <c r="E108" s="1225"/>
      <c r="F108" s="1279"/>
      <c r="G108" s="1264">
        <v>399</v>
      </c>
      <c r="H108" s="1227"/>
      <c r="I108" s="1231" t="s">
        <v>84</v>
      </c>
      <c r="J108" s="1265"/>
      <c r="K108" s="1266">
        <f>IFERROR(VLOOKUP(A108,'WP-BC'!A$18:AG$351,10,FALSE),0)</f>
        <v>42683</v>
      </c>
      <c r="L108" s="1267"/>
      <c r="M108" s="1259" t="s">
        <v>227</v>
      </c>
      <c r="O108" s="1597"/>
      <c r="P108" s="1597"/>
      <c r="Q108" s="1597"/>
      <c r="R108" s="1597"/>
      <c r="S108" s="1597"/>
      <c r="T108" s="1597"/>
      <c r="U108" s="1597"/>
      <c r="V108" s="1597"/>
      <c r="W108" s="1597"/>
      <c r="X108" s="1597"/>
      <c r="Y108" s="1597"/>
    </row>
    <row r="109" spans="1:25" s="1259" customFormat="1" ht="13.2">
      <c r="A109" s="1262" t="str">
        <f t="shared" si="2"/>
        <v>St.  LAWRENCE / FDR399Other Tangible Property</v>
      </c>
      <c r="B109" s="1268" t="s">
        <v>1318</v>
      </c>
      <c r="C109" s="1224" t="str">
        <f>CONCATENATE("WP-BC, column 8, line ",VLOOKUP(A109,'WP-BC'!A112:N452, 2, FALSE))</f>
        <v>WP-BC, column 8, line 12be</v>
      </c>
      <c r="D109" s="1225" t="s">
        <v>1895</v>
      </c>
      <c r="E109" s="1225"/>
      <c r="F109" s="1279"/>
      <c r="G109" s="1264">
        <v>399</v>
      </c>
      <c r="H109" s="1227"/>
      <c r="I109" s="1231" t="s">
        <v>84</v>
      </c>
      <c r="J109" s="1265"/>
      <c r="K109" s="1266">
        <f>IFERROR(VLOOKUP(A109,'WP-BC'!A$18:AG$351,10,FALSE),0)</f>
        <v>75095</v>
      </c>
      <c r="L109" s="1267"/>
      <c r="M109" s="1259" t="s">
        <v>227</v>
      </c>
      <c r="O109" s="1597"/>
      <c r="P109" s="1597"/>
      <c r="Q109" s="1597"/>
      <c r="R109" s="1597"/>
      <c r="S109" s="1597"/>
      <c r="T109" s="1597"/>
      <c r="U109" s="1597"/>
      <c r="V109" s="1597"/>
      <c r="W109" s="1597"/>
      <c r="X109" s="1597"/>
      <c r="Y109" s="1597"/>
    </row>
    <row r="110" spans="1:25" s="1259" customFormat="1" ht="13.2">
      <c r="A110" s="1262" t="str">
        <f t="shared" si="2"/>
        <v>399</v>
      </c>
      <c r="B110" s="1268" t="s">
        <v>541</v>
      </c>
      <c r="C110" s="1228"/>
      <c r="D110" s="1228"/>
      <c r="E110" s="1225"/>
      <c r="F110" s="1278"/>
      <c r="G110" s="1264">
        <v>399</v>
      </c>
      <c r="H110" s="1226"/>
      <c r="I110" s="1228"/>
      <c r="J110" s="1265"/>
      <c r="K110" s="1266">
        <f>IFERROR(VLOOKUP(A110,'WP-BC'!A$18:AG$351,10,FALSE),0)</f>
        <v>0</v>
      </c>
      <c r="L110" s="1267"/>
      <c r="O110" s="1597"/>
      <c r="P110" s="1597"/>
      <c r="Q110" s="1597"/>
      <c r="R110" s="1597"/>
      <c r="S110" s="1597"/>
      <c r="T110" s="1597"/>
      <c r="U110" s="1597"/>
      <c r="V110" s="1597"/>
      <c r="W110" s="1597"/>
      <c r="X110" s="1597"/>
      <c r="Y110" s="1597"/>
    </row>
    <row r="111" spans="1:25" s="1259" customFormat="1" ht="15">
      <c r="A111" s="1262" t="str">
        <f t="shared" si="2"/>
        <v>399</v>
      </c>
      <c r="B111" s="1268" t="s">
        <v>541</v>
      </c>
      <c r="C111" s="1228"/>
      <c r="D111" s="1228"/>
      <c r="E111" s="1225"/>
      <c r="F111" s="1278"/>
      <c r="G111" s="1264">
        <v>399</v>
      </c>
      <c r="H111" s="1226"/>
      <c r="I111" s="1228"/>
      <c r="J111" s="1265"/>
      <c r="K111" s="1269">
        <f>IFERROR(VLOOKUP(A111,'WP-BC'!A$18:AG$358,10,FALSE),0)</f>
        <v>0</v>
      </c>
      <c r="L111" s="1267"/>
      <c r="O111" s="1597"/>
      <c r="P111" s="1597"/>
      <c r="Q111" s="1597"/>
      <c r="R111" s="1597"/>
      <c r="S111" s="1597"/>
      <c r="T111" s="1597"/>
      <c r="U111" s="1597"/>
      <c r="V111" s="1597"/>
      <c r="W111" s="1597"/>
      <c r="X111" s="1597"/>
      <c r="Y111" s="1597"/>
    </row>
    <row r="112" spans="1:25" s="1259" customFormat="1" ht="13.2">
      <c r="A112" s="1262" t="str">
        <f t="shared" si="2"/>
        <v>399</v>
      </c>
      <c r="B112" s="1268">
        <v>20</v>
      </c>
      <c r="D112" s="1283"/>
      <c r="E112" s="1278"/>
      <c r="F112" s="1279"/>
      <c r="G112" s="1264">
        <v>399</v>
      </c>
      <c r="H112" s="1274" t="s">
        <v>270</v>
      </c>
      <c r="I112" s="1284"/>
      <c r="J112" s="1265"/>
      <c r="K112" s="1281">
        <f>SUM(K107:K111)</f>
        <v>117778</v>
      </c>
      <c r="L112" s="1267"/>
      <c r="O112" s="1597"/>
      <c r="P112" s="1597"/>
      <c r="Q112" s="1597"/>
      <c r="R112" s="1597"/>
      <c r="S112" s="1597"/>
      <c r="T112" s="1597"/>
      <c r="U112" s="1597"/>
      <c r="V112" s="1597"/>
      <c r="W112" s="1597"/>
      <c r="X112" s="1597"/>
      <c r="Y112" s="1597"/>
    </row>
    <row r="113" spans="1:25" s="1259" customFormat="1" ht="13.2">
      <c r="A113" s="1262" t="str">
        <f t="shared" si="2"/>
        <v/>
      </c>
      <c r="B113" s="1268" t="s">
        <v>1224</v>
      </c>
      <c r="D113" s="1283"/>
      <c r="E113" s="1278"/>
      <c r="F113" s="1279"/>
      <c r="G113" s="1264"/>
      <c r="H113" s="1274"/>
      <c r="I113" s="1284"/>
      <c r="J113" s="1265"/>
      <c r="K113" s="1281"/>
      <c r="L113" s="1267"/>
      <c r="O113" s="1597"/>
      <c r="P113" s="1597"/>
      <c r="Q113" s="1597"/>
      <c r="R113" s="1597"/>
      <c r="S113" s="1597"/>
      <c r="T113" s="1597"/>
      <c r="U113" s="1597"/>
      <c r="V113" s="1597"/>
      <c r="W113" s="1597"/>
      <c r="X113" s="1597"/>
      <c r="Y113" s="1597"/>
    </row>
    <row r="114" spans="1:25" s="1259" customFormat="1" ht="15.6">
      <c r="A114" s="1262" t="str">
        <f t="shared" si="2"/>
        <v/>
      </c>
      <c r="B114" s="1268">
        <v>21</v>
      </c>
      <c r="C114" s="1258" t="s">
        <v>260</v>
      </c>
      <c r="D114" s="1283"/>
      <c r="E114" s="1278"/>
      <c r="F114" s="1279"/>
      <c r="G114" s="1264"/>
      <c r="H114" s="1265"/>
      <c r="I114" s="1284"/>
      <c r="J114" s="1265"/>
      <c r="K114" s="1281">
        <f>K112+K105+K96+K85+K76+K67+K58+K50+K41+K23</f>
        <v>57539422.93</v>
      </c>
      <c r="L114" s="1267"/>
      <c r="O114" s="1597"/>
      <c r="P114" s="1597"/>
      <c r="Q114" s="1597"/>
      <c r="R114" s="1597"/>
      <c r="S114" s="1597"/>
      <c r="T114" s="1597"/>
      <c r="U114" s="1597"/>
      <c r="V114" s="1597"/>
      <c r="W114" s="1597"/>
      <c r="X114" s="1597"/>
      <c r="Y114" s="1597"/>
    </row>
    <row r="115" spans="1:25" s="1259" customFormat="1" ht="13.2">
      <c r="A115" s="1262" t="str">
        <f t="shared" si="2"/>
        <v/>
      </c>
      <c r="B115" s="1268" t="s">
        <v>1224</v>
      </c>
      <c r="D115" s="1283"/>
      <c r="E115" s="1278"/>
      <c r="F115" s="1265"/>
      <c r="G115" s="1264"/>
      <c r="H115" s="1265"/>
      <c r="I115" s="1265"/>
      <c r="J115" s="1265"/>
      <c r="K115" s="1266"/>
      <c r="L115" s="1267"/>
      <c r="O115" s="1597"/>
      <c r="P115" s="1597"/>
      <c r="Q115" s="1597"/>
      <c r="R115" s="1597"/>
      <c r="S115" s="1597"/>
      <c r="T115" s="1597"/>
      <c r="U115" s="1597"/>
      <c r="V115" s="1597"/>
      <c r="W115" s="1597"/>
      <c r="X115" s="1597"/>
      <c r="Y115" s="1597"/>
    </row>
    <row r="116" spans="1:25" s="1259" customFormat="1" ht="15.6">
      <c r="A116" s="1262" t="str">
        <f t="shared" si="2"/>
        <v/>
      </c>
      <c r="B116" s="1268" t="s">
        <v>1224</v>
      </c>
      <c r="C116" s="1258" t="s">
        <v>259</v>
      </c>
      <c r="D116" s="1285"/>
      <c r="G116" s="1286"/>
      <c r="K116" s="1266"/>
      <c r="O116" s="1597"/>
      <c r="P116" s="1597"/>
      <c r="Q116" s="1597"/>
      <c r="R116" s="1597"/>
      <c r="S116" s="1597"/>
      <c r="T116" s="1597"/>
      <c r="U116" s="1597"/>
      <c r="V116" s="1597"/>
      <c r="W116" s="1597"/>
      <c r="X116" s="1597"/>
      <c r="Y116" s="1597"/>
    </row>
    <row r="117" spans="1:25" s="1259" customFormat="1" ht="13.2">
      <c r="A117" s="1262" t="str">
        <f t="shared" si="2"/>
        <v>BLENHEIM - GILBOA352Structures &amp; Improvements</v>
      </c>
      <c r="B117" s="1268" t="s">
        <v>1321</v>
      </c>
      <c r="C117" s="1224" t="str">
        <f>CONCATENATE("WP-BC, column 8, line ",VLOOKUP(A117,'WP-BC'!A120:N460, 2, FALSE))</f>
        <v>WP-BC, column 8, line 10a</v>
      </c>
      <c r="D117" s="1225" t="s">
        <v>1889</v>
      </c>
      <c r="E117" s="1278"/>
      <c r="F117" s="1278"/>
      <c r="G117" s="1264">
        <v>352</v>
      </c>
      <c r="H117" s="1287"/>
      <c r="I117" s="1227" t="s">
        <v>69</v>
      </c>
      <c r="J117" s="1265"/>
      <c r="K117" s="1266">
        <f>IFERROR(VLOOKUP(A117,'WP-BC'!A$18:AG$351,10,FALSE),0)</f>
        <v>67229.740335051538</v>
      </c>
      <c r="L117" s="1267"/>
      <c r="M117" s="1259" t="s">
        <v>227</v>
      </c>
      <c r="O117" s="1597"/>
      <c r="P117" s="1597"/>
      <c r="Q117" s="1597"/>
      <c r="R117" s="1597"/>
      <c r="S117" s="1597"/>
      <c r="T117" s="1597"/>
      <c r="U117" s="1597"/>
      <c r="V117" s="1597"/>
      <c r="W117" s="1597"/>
      <c r="X117" s="1597"/>
      <c r="Y117" s="1597"/>
    </row>
    <row r="118" spans="1:25" s="1259" customFormat="1" ht="13.2">
      <c r="A118" s="1262" t="str">
        <f t="shared" si="2"/>
        <v>J. A. FITZPATRICK352Structures &amp; Improvements</v>
      </c>
      <c r="B118" s="1268" t="s">
        <v>1322</v>
      </c>
      <c r="C118" s="1224" t="str">
        <f>CONCATENATE("WP-BC, column 8, line ",VLOOKUP(A118,'WP-BC'!A121:N461, 2, FALSE))</f>
        <v>WP-BC, column 8, line 10g</v>
      </c>
      <c r="D118" s="1225" t="s">
        <v>1891</v>
      </c>
      <c r="E118" s="1278"/>
      <c r="F118" s="1278"/>
      <c r="G118" s="1264">
        <v>352</v>
      </c>
      <c r="H118" s="1287"/>
      <c r="I118" s="1227" t="s">
        <v>69</v>
      </c>
      <c r="J118" s="1265"/>
      <c r="K118" s="1266">
        <f>IFERROR(VLOOKUP(A118,'WP-BC'!A$18:AG$351,10,FALSE),0)</f>
        <v>0</v>
      </c>
      <c r="L118" s="1267"/>
      <c r="M118" s="1259" t="s">
        <v>227</v>
      </c>
      <c r="O118" s="1597"/>
      <c r="P118" s="1597"/>
      <c r="Q118" s="1597"/>
      <c r="R118" s="1597"/>
      <c r="S118" s="1597"/>
      <c r="T118" s="1597"/>
      <c r="U118" s="1597"/>
      <c r="V118" s="1597"/>
      <c r="W118" s="1597"/>
      <c r="X118" s="1597"/>
      <c r="Y118" s="1597"/>
    </row>
    <row r="119" spans="1:25" s="1259" customFormat="1" ht="13.2">
      <c r="A119" s="1262" t="str">
        <f t="shared" si="2"/>
        <v>LONG ISLAND SOUND CABLE352Structures &amp; Improvements</v>
      </c>
      <c r="B119" s="1268" t="s">
        <v>1323</v>
      </c>
      <c r="C119" s="1224" t="str">
        <f>CONCATENATE("WP-BC, column 8, line ",VLOOKUP(A119,'WP-BC'!A122:N462, 2, FALSE))</f>
        <v>WP-BC, column 8, line 10l</v>
      </c>
      <c r="D119" s="1225" t="s">
        <v>1892</v>
      </c>
      <c r="E119" s="1278"/>
      <c r="F119" s="1278"/>
      <c r="G119" s="1264">
        <v>352</v>
      </c>
      <c r="H119" s="1287"/>
      <c r="I119" s="1227" t="s">
        <v>69</v>
      </c>
      <c r="J119" s="1265"/>
      <c r="K119" s="1266">
        <f>IFERROR(VLOOKUP(A119,'WP-BC'!A$18:AG$351,10,FALSE),0)</f>
        <v>209542</v>
      </c>
      <c r="L119" s="1267"/>
      <c r="M119" s="1259" t="s">
        <v>227</v>
      </c>
      <c r="O119" s="1597"/>
      <c r="P119" s="1597"/>
      <c r="Q119" s="1597"/>
      <c r="R119" s="1597"/>
      <c r="S119" s="1597"/>
      <c r="T119" s="1597"/>
      <c r="U119" s="1597"/>
      <c r="V119" s="1597"/>
      <c r="W119" s="1597"/>
      <c r="X119" s="1597"/>
      <c r="Y119" s="1597"/>
    </row>
    <row r="120" spans="1:25" s="1259" customFormat="1" ht="13.2">
      <c r="A120" s="1262" t="str">
        <f t="shared" si="2"/>
        <v>MARCY-SOUTH352Structures &amp; Improvements</v>
      </c>
      <c r="B120" s="1268" t="s">
        <v>1324</v>
      </c>
      <c r="C120" s="1224" t="str">
        <f>CONCATENATE("WP-BC, column 8, line ",VLOOKUP(A120,'WP-BC'!A123:N463, 2, FALSE))</f>
        <v>WP-BC, column 8, line 10p</v>
      </c>
      <c r="D120" s="1225" t="s">
        <v>1893</v>
      </c>
      <c r="E120" s="1278"/>
      <c r="F120" s="1278"/>
      <c r="G120" s="1264">
        <v>352</v>
      </c>
      <c r="H120" s="1287"/>
      <c r="I120" s="1227" t="s">
        <v>69</v>
      </c>
      <c r="J120" s="1265"/>
      <c r="K120" s="1266">
        <f>IFERROR(VLOOKUP(A120,'WP-BC'!A$18:AG$351,10,FALSE),0)</f>
        <v>0</v>
      </c>
      <c r="L120" s="1267"/>
      <c r="M120" s="1259" t="s">
        <v>227</v>
      </c>
      <c r="O120" s="1597"/>
      <c r="P120" s="1597"/>
      <c r="Q120" s="1597"/>
      <c r="R120" s="1597"/>
      <c r="S120" s="1597"/>
      <c r="T120" s="1597"/>
      <c r="U120" s="1597"/>
      <c r="V120" s="1597"/>
      <c r="W120" s="1597"/>
      <c r="X120" s="1597"/>
      <c r="Y120" s="1597"/>
    </row>
    <row r="121" spans="1:25" s="1259" customFormat="1" ht="13.2">
      <c r="A121" s="1262" t="str">
        <f t="shared" si="2"/>
        <v>MASSENA - MARCY  (Clark)352Structures &amp; Improvements</v>
      </c>
      <c r="B121" s="1268" t="s">
        <v>1325</v>
      </c>
      <c r="C121" s="1224" t="str">
        <f>CONCATENATE("WP-BC, column 8, line ",VLOOKUP(A121,'WP-BC'!A124:N464, 2, FALSE))</f>
        <v>WP-BC, column 8, line 10x</v>
      </c>
      <c r="D121" s="1225" t="s">
        <v>1894</v>
      </c>
      <c r="E121" s="1278"/>
      <c r="F121" s="1278"/>
      <c r="G121" s="1264">
        <v>352</v>
      </c>
      <c r="H121" s="1287"/>
      <c r="I121" s="1227" t="s">
        <v>69</v>
      </c>
      <c r="J121" s="1265"/>
      <c r="K121" s="1266">
        <f>IFERROR(VLOOKUP(A121,'WP-BC'!A$18:AG$351,10,FALSE),0)</f>
        <v>611424.3719884851</v>
      </c>
      <c r="L121" s="1267"/>
      <c r="M121" s="1259" t="s">
        <v>227</v>
      </c>
      <c r="O121" s="1597"/>
      <c r="P121" s="1597"/>
      <c r="Q121" s="1597"/>
      <c r="R121" s="1597"/>
      <c r="S121" s="1597"/>
      <c r="T121" s="1597"/>
      <c r="U121" s="1597"/>
      <c r="V121" s="1597"/>
      <c r="W121" s="1597"/>
      <c r="X121" s="1597"/>
      <c r="Y121" s="1597"/>
    </row>
    <row r="122" spans="1:25" s="1259" customFormat="1" ht="13.2">
      <c r="A122" s="1262" t="str">
        <f t="shared" si="2"/>
        <v>NIAGARA352Structures &amp; Improvements</v>
      </c>
      <c r="B122" s="1268" t="s">
        <v>1326</v>
      </c>
      <c r="C122" s="1224" t="str">
        <f>CONCATENATE("WP-BC, column 8, line ",VLOOKUP(A122,'WP-BC'!A125:N465, 2, FALSE))</f>
        <v>WP-BC, column 8, line 10ae</v>
      </c>
      <c r="D122" s="1225" t="s">
        <v>30</v>
      </c>
      <c r="E122" s="1278"/>
      <c r="F122" s="1278"/>
      <c r="G122" s="1264">
        <v>352</v>
      </c>
      <c r="H122" s="1287"/>
      <c r="I122" s="1227" t="s">
        <v>69</v>
      </c>
      <c r="J122" s="1265"/>
      <c r="K122" s="1266">
        <f>IFERROR(VLOOKUP(A122,'WP-BC'!A$18:AG$351,10,FALSE),0)</f>
        <v>476979.44931506854</v>
      </c>
      <c r="L122" s="1267"/>
      <c r="M122" s="1259" t="s">
        <v>227</v>
      </c>
      <c r="O122" s="1597"/>
      <c r="P122" s="1597"/>
      <c r="Q122" s="1597"/>
      <c r="R122" s="1597"/>
      <c r="S122" s="1597"/>
      <c r="T122" s="1597"/>
      <c r="U122" s="1597"/>
      <c r="V122" s="1597"/>
      <c r="W122" s="1597"/>
      <c r="X122" s="1597"/>
      <c r="Y122" s="1597"/>
    </row>
    <row r="123" spans="1:25" s="1259" customFormat="1" ht="13.2">
      <c r="A123" s="1262" t="str">
        <f t="shared" si="2"/>
        <v>St.  LAWRENCE / FDR352Structures &amp; Improvements</v>
      </c>
      <c r="B123" s="1268" t="s">
        <v>1327</v>
      </c>
      <c r="C123" s="1224" t="str">
        <f>CONCATENATE("WP-BC, column 8, line ",VLOOKUP(A123,'WP-BC'!A126:N466, 2, FALSE))</f>
        <v>WP-BC, column 8, line 10ak</v>
      </c>
      <c r="D123" s="1225" t="s">
        <v>1895</v>
      </c>
      <c r="E123" s="1278"/>
      <c r="F123" s="1278"/>
      <c r="G123" s="1264">
        <v>352</v>
      </c>
      <c r="H123" s="1287"/>
      <c r="I123" s="1227" t="s">
        <v>69</v>
      </c>
      <c r="J123" s="1265"/>
      <c r="K123" s="1266">
        <f>IFERROR(VLOOKUP(A123,'WP-BC'!A$18:AG$351,10,FALSE),0)</f>
        <v>353605.90523618896</v>
      </c>
      <c r="L123" s="1267"/>
      <c r="M123" s="1259" t="s">
        <v>227</v>
      </c>
      <c r="O123" s="1597"/>
      <c r="P123" s="1597"/>
      <c r="Q123" s="1597"/>
      <c r="R123" s="1597"/>
      <c r="S123" s="1597"/>
      <c r="T123" s="1597"/>
      <c r="U123" s="1597"/>
      <c r="V123" s="1597"/>
      <c r="W123" s="1597"/>
      <c r="X123" s="1597"/>
      <c r="Y123" s="1597"/>
    </row>
    <row r="124" spans="1:25" s="1259" customFormat="1" ht="13.2">
      <c r="A124" s="1262" t="str">
        <f t="shared" si="2"/>
        <v>352</v>
      </c>
      <c r="B124" s="1268" t="s">
        <v>541</v>
      </c>
      <c r="C124" s="1228"/>
      <c r="D124" s="1228"/>
      <c r="E124" s="1278"/>
      <c r="F124" s="1278"/>
      <c r="G124" s="1264">
        <v>352</v>
      </c>
      <c r="H124" s="1287"/>
      <c r="I124" s="1228"/>
      <c r="J124" s="1265"/>
      <c r="K124" s="1266">
        <f>IFERROR(VLOOKUP(A124,'WP-BC'!A$18:AG$351,10,FALSE),0)</f>
        <v>0</v>
      </c>
      <c r="L124" s="1267"/>
      <c r="O124" s="1597"/>
      <c r="P124" s="1597"/>
      <c r="Q124" s="1597"/>
      <c r="R124" s="1597"/>
      <c r="S124" s="1597"/>
      <c r="T124" s="1597"/>
      <c r="U124" s="1597"/>
      <c r="V124" s="1597"/>
      <c r="W124" s="1597"/>
      <c r="X124" s="1597"/>
      <c r="Y124" s="1597"/>
    </row>
    <row r="125" spans="1:25" s="1259" customFormat="1" ht="15">
      <c r="A125" s="1262" t="str">
        <f t="shared" si="2"/>
        <v>352</v>
      </c>
      <c r="B125" s="1268" t="s">
        <v>541</v>
      </c>
      <c r="C125" s="1228"/>
      <c r="D125" s="1228"/>
      <c r="E125" s="1278"/>
      <c r="F125" s="1278"/>
      <c r="G125" s="1264">
        <v>352</v>
      </c>
      <c r="H125" s="1287"/>
      <c r="I125" s="1228"/>
      <c r="J125" s="1265"/>
      <c r="K125" s="1269">
        <f>IFERROR(VLOOKUP(A125,'WP-BC'!A$18:AG$358,10,FALSE),0)</f>
        <v>0</v>
      </c>
      <c r="L125" s="1267"/>
      <c r="O125" s="1597"/>
      <c r="P125" s="1597"/>
      <c r="Q125" s="1597"/>
      <c r="R125" s="1597"/>
      <c r="S125" s="1597"/>
      <c r="T125" s="1597"/>
      <c r="U125" s="1597"/>
      <c r="V125" s="1597"/>
      <c r="W125" s="1597"/>
      <c r="X125" s="1597"/>
      <c r="Y125" s="1597"/>
    </row>
    <row r="126" spans="1:25" s="1259" customFormat="1" ht="13.2">
      <c r="A126" s="1262" t="str">
        <f t="shared" si="2"/>
        <v>352</v>
      </c>
      <c r="B126" s="1268">
        <v>23</v>
      </c>
      <c r="D126" s="1271"/>
      <c r="E126" s="1278"/>
      <c r="F126" s="1279"/>
      <c r="G126" s="1264">
        <v>352</v>
      </c>
      <c r="H126" s="1274" t="s">
        <v>271</v>
      </c>
      <c r="I126" s="1265"/>
      <c r="J126" s="1265"/>
      <c r="K126" s="1281">
        <f>SUM(K117:K125)</f>
        <v>1718781.4668747943</v>
      </c>
      <c r="L126" s="1267"/>
      <c r="O126" s="1597"/>
      <c r="P126" s="1597"/>
      <c r="Q126" s="1597"/>
      <c r="R126" s="1597"/>
      <c r="S126" s="1597"/>
      <c r="T126" s="1597"/>
      <c r="U126" s="1597"/>
      <c r="V126" s="1597"/>
      <c r="W126" s="1597"/>
      <c r="X126" s="1597"/>
      <c r="Y126" s="1597"/>
    </row>
    <row r="127" spans="1:25" s="1259" customFormat="1" ht="13.2">
      <c r="A127" s="1262" t="str">
        <f t="shared" si="2"/>
        <v/>
      </c>
      <c r="B127" s="1268" t="s">
        <v>1224</v>
      </c>
      <c r="D127" s="1271"/>
      <c r="E127" s="1278"/>
      <c r="F127" s="1279"/>
      <c r="G127" s="1287"/>
      <c r="H127" s="1265"/>
      <c r="I127" s="1265"/>
      <c r="J127" s="1265"/>
      <c r="K127" s="1266"/>
      <c r="L127" s="1267"/>
      <c r="O127" s="1597"/>
      <c r="P127" s="1597"/>
      <c r="Q127" s="1597"/>
      <c r="R127" s="1597"/>
      <c r="S127" s="1597"/>
      <c r="T127" s="1597"/>
      <c r="U127" s="1597"/>
      <c r="V127" s="1597"/>
      <c r="W127" s="1597"/>
      <c r="X127" s="1597"/>
      <c r="Y127" s="1597"/>
    </row>
    <row r="128" spans="1:25" s="1259" customFormat="1" ht="13.2">
      <c r="A128" s="1262" t="str">
        <f t="shared" si="2"/>
        <v>BLENHEIM - GILBOA353Station Equipment</v>
      </c>
      <c r="B128" s="1268" t="s">
        <v>1328</v>
      </c>
      <c r="C128" s="1224" t="str">
        <f>CONCATENATE("WP-BC, column 8, line ",VLOOKUP(A128,'WP-BC'!A131:N471, 2, FALSE))</f>
        <v>WP-BC, column 8, line 10b</v>
      </c>
      <c r="D128" s="1225" t="s">
        <v>1889</v>
      </c>
      <c r="E128" s="1278"/>
      <c r="F128" s="1278"/>
      <c r="G128" s="1287">
        <v>353</v>
      </c>
      <c r="H128" s="1287"/>
      <c r="I128" s="1227" t="s">
        <v>20</v>
      </c>
      <c r="J128" s="1265"/>
      <c r="K128" s="1266">
        <f>IFERROR(VLOOKUP(A128,'WP-BC'!A$18:AG$351,10,FALSE),0)</f>
        <v>1075555.385927835</v>
      </c>
      <c r="L128" s="1267"/>
      <c r="M128" s="1259" t="s">
        <v>227</v>
      </c>
      <c r="O128" s="1597"/>
      <c r="P128" s="1597"/>
      <c r="Q128" s="1597"/>
      <c r="R128" s="1597"/>
      <c r="S128" s="1597"/>
      <c r="T128" s="1597"/>
      <c r="U128" s="1597"/>
      <c r="V128" s="1597"/>
      <c r="W128" s="1597"/>
      <c r="X128" s="1597"/>
      <c r="Y128" s="1597"/>
    </row>
    <row r="129" spans="1:25" s="1259" customFormat="1" ht="13.2">
      <c r="A129" s="1262" t="str">
        <f t="shared" si="2"/>
        <v>J. A. FITZPATRICK353Station Equipment</v>
      </c>
      <c r="B129" s="1268" t="s">
        <v>1329</v>
      </c>
      <c r="C129" s="1224" t="str">
        <f>CONCATENATE("WP-BC, column 8, line ",VLOOKUP(A129,'WP-BC'!A132:N472, 2, FALSE))</f>
        <v>WP-BC, column 8, line 10h</v>
      </c>
      <c r="D129" s="1225" t="s">
        <v>1891</v>
      </c>
      <c r="E129" s="1278"/>
      <c r="F129" s="1278"/>
      <c r="G129" s="1287">
        <v>353</v>
      </c>
      <c r="H129" s="1287"/>
      <c r="I129" s="1227" t="s">
        <v>20</v>
      </c>
      <c r="J129" s="1265"/>
      <c r="K129" s="1266">
        <f>IFERROR(VLOOKUP(A129,'WP-BC'!A$18:AG$351,10,FALSE),0)</f>
        <v>0</v>
      </c>
      <c r="L129" s="1267"/>
      <c r="M129" s="1259" t="s">
        <v>227</v>
      </c>
      <c r="O129" s="1597"/>
      <c r="P129" s="1597"/>
      <c r="Q129" s="1597"/>
      <c r="R129" s="1597"/>
      <c r="S129" s="1597"/>
      <c r="T129" s="1597"/>
      <c r="U129" s="1597"/>
      <c r="V129" s="1597"/>
      <c r="W129" s="1597"/>
      <c r="X129" s="1597"/>
      <c r="Y129" s="1597"/>
    </row>
    <row r="130" spans="1:25" s="1259" customFormat="1" ht="13.2">
      <c r="A130" s="1262" t="str">
        <f t="shared" si="2"/>
        <v>LONG ISLAND SOUND CABLE353Station Equipment</v>
      </c>
      <c r="B130" s="1268" t="s">
        <v>1330</v>
      </c>
      <c r="C130" s="1224" t="str">
        <f>CONCATENATE("WP-BC, column 8, line ",VLOOKUP(A130,'WP-BC'!A133:N473, 2, FALSE))</f>
        <v>WP-BC, column 8, line 10m</v>
      </c>
      <c r="D130" s="1225" t="s">
        <v>1892</v>
      </c>
      <c r="E130" s="1278"/>
      <c r="F130" s="1278"/>
      <c r="G130" s="1287">
        <v>353</v>
      </c>
      <c r="H130" s="1287"/>
      <c r="I130" s="1227" t="s">
        <v>20</v>
      </c>
      <c r="J130" s="1265"/>
      <c r="K130" s="1266">
        <f>IFERROR(VLOOKUP(A130,'WP-BC'!A$18:AG$351,10,FALSE),0)</f>
        <v>1474119.3</v>
      </c>
      <c r="L130" s="1267"/>
      <c r="M130" s="1259" t="s">
        <v>227</v>
      </c>
      <c r="O130" s="1597"/>
      <c r="P130" s="1597"/>
      <c r="Q130" s="1597"/>
      <c r="R130" s="1597"/>
      <c r="S130" s="1597"/>
      <c r="T130" s="1597"/>
      <c r="U130" s="1597"/>
      <c r="V130" s="1597"/>
      <c r="W130" s="1597"/>
      <c r="X130" s="1597"/>
      <c r="Y130" s="1597"/>
    </row>
    <row r="131" spans="1:25" s="1259" customFormat="1" ht="13.2">
      <c r="A131" s="1262" t="str">
        <f t="shared" si="2"/>
        <v>MARCY-SOUTH353Station Equipment</v>
      </c>
      <c r="B131" s="1268" t="s">
        <v>1331</v>
      </c>
      <c r="C131" s="1224" t="str">
        <f>CONCATENATE("WP-BC, column 8, line ",VLOOKUP(A131,'WP-BC'!A134:N474, 2, FALSE))</f>
        <v>WP-BC, column 8, line 10q</v>
      </c>
      <c r="D131" s="1225" t="s">
        <v>1893</v>
      </c>
      <c r="E131" s="1278"/>
      <c r="F131" s="1278"/>
      <c r="G131" s="1287">
        <v>353</v>
      </c>
      <c r="H131" s="1287"/>
      <c r="I131" s="1227" t="s">
        <v>20</v>
      </c>
      <c r="J131" s="1265"/>
      <c r="K131" s="1266">
        <f>IFERROR(VLOOKUP(A131,'WP-BC'!A$18:AG$351,10,FALSE),0)</f>
        <v>1015584.3377608124</v>
      </c>
      <c r="L131" s="1267"/>
      <c r="M131" s="1259" t="s">
        <v>227</v>
      </c>
      <c r="O131" s="1597"/>
      <c r="P131" s="1597"/>
      <c r="Q131" s="1597"/>
      <c r="R131" s="1597"/>
      <c r="S131" s="1597"/>
      <c r="T131" s="1597"/>
      <c r="U131" s="1597"/>
      <c r="V131" s="1597"/>
      <c r="W131" s="1597"/>
      <c r="X131" s="1597"/>
      <c r="Y131" s="1597"/>
    </row>
    <row r="132" spans="1:25" s="1259" customFormat="1" ht="13.2">
      <c r="A132" s="1262" t="str">
        <f t="shared" si="2"/>
        <v>MASSENA - MARCY  (Clark)353Station Equipment</v>
      </c>
      <c r="B132" s="1268" t="s">
        <v>1332</v>
      </c>
      <c r="C132" s="1224" t="str">
        <f>CONCATENATE("WP-BC, column 8, line ",VLOOKUP(A132,'WP-BC'!A135:N475, 2, FALSE))</f>
        <v>WP-BC, column 8, line 10y</v>
      </c>
      <c r="D132" s="1225" t="s">
        <v>1894</v>
      </c>
      <c r="E132" s="1278"/>
      <c r="F132" s="1278"/>
      <c r="G132" s="1287">
        <v>353</v>
      </c>
      <c r="H132" s="1287"/>
      <c r="I132" s="1227" t="s">
        <v>20</v>
      </c>
      <c r="J132" s="1265"/>
      <c r="K132" s="1266">
        <f>IFERROR(VLOOKUP(A132,'WP-BC'!A$18:AG$351,10,FALSE),0)</f>
        <v>3978978.057509176</v>
      </c>
      <c r="L132" s="1267"/>
      <c r="M132" s="1259" t="s">
        <v>227</v>
      </c>
      <c r="O132" s="1597"/>
      <c r="P132" s="1597"/>
      <c r="Q132" s="1597"/>
      <c r="R132" s="1597"/>
      <c r="S132" s="1597"/>
      <c r="T132" s="1597"/>
      <c r="U132" s="1597"/>
      <c r="V132" s="1597"/>
      <c r="W132" s="1597"/>
      <c r="X132" s="1597"/>
      <c r="Y132" s="1597"/>
    </row>
    <row r="133" spans="1:25" s="1259" customFormat="1" ht="13.2">
      <c r="A133" s="1262" t="str">
        <f t="shared" si="2"/>
        <v>MASSENA - MARCY  (Clark)353Station Equipment - Windfarm Assets acq. 12-1-11</v>
      </c>
      <c r="B133" s="1268" t="s">
        <v>1333</v>
      </c>
      <c r="C133" s="1224" t="str">
        <f>CONCATENATE("WP-BC, column 8, line ",VLOOKUP(A133,'WP-BC'!A136:N476, 2, FALSE))</f>
        <v>WP-BC, column 8, line 10z</v>
      </c>
      <c r="D133" s="1225" t="s">
        <v>1894</v>
      </c>
      <c r="E133" s="1278"/>
      <c r="F133" s="1278"/>
      <c r="G133" s="1287">
        <v>353</v>
      </c>
      <c r="H133" s="1287"/>
      <c r="I133" s="1227" t="s">
        <v>1911</v>
      </c>
      <c r="J133" s="1265"/>
      <c r="K133" s="1266">
        <f>IFERROR(VLOOKUP(A133,'WP-BC'!A$18:AG$351,10,FALSE),0)</f>
        <v>1663426</v>
      </c>
      <c r="L133" s="1267"/>
      <c r="M133" s="1259" t="s">
        <v>227</v>
      </c>
      <c r="O133" s="1597"/>
      <c r="P133" s="1597"/>
      <c r="Q133" s="1597"/>
      <c r="R133" s="1597"/>
      <c r="S133" s="1597"/>
      <c r="T133" s="1597"/>
      <c r="U133" s="1597"/>
      <c r="V133" s="1597"/>
      <c r="W133" s="1597"/>
      <c r="X133" s="1597"/>
      <c r="Y133" s="1597"/>
    </row>
    <row r="134" spans="1:25" s="1259" customFormat="1" ht="13.2">
      <c r="A134" s="1262" t="str">
        <f t="shared" si="2"/>
        <v>NIAGARA353Station Equipment</v>
      </c>
      <c r="B134" s="1268" t="s">
        <v>1334</v>
      </c>
      <c r="C134" s="1224" t="str">
        <f>CONCATENATE("WP-BC, column 8, line ",VLOOKUP(A134,'WP-BC'!A137:N477, 2, FALSE))</f>
        <v>WP-BC, column 8, line 10af</v>
      </c>
      <c r="D134" s="1225" t="s">
        <v>30</v>
      </c>
      <c r="E134" s="1278"/>
      <c r="F134" s="1278"/>
      <c r="G134" s="1287">
        <v>353</v>
      </c>
      <c r="H134" s="1287"/>
      <c r="I134" s="1227" t="s">
        <v>20</v>
      </c>
      <c r="J134" s="1265"/>
      <c r="K134" s="1266">
        <f>IFERROR(VLOOKUP(A134,'WP-BC'!A$18:AG$351,10,FALSE),0)</f>
        <v>3114544.8376712329</v>
      </c>
      <c r="L134" s="1267"/>
      <c r="M134" s="1259" t="s">
        <v>227</v>
      </c>
      <c r="O134" s="1597"/>
      <c r="P134" s="1597"/>
      <c r="Q134" s="1597"/>
      <c r="R134" s="1597"/>
      <c r="S134" s="1597"/>
      <c r="T134" s="1597"/>
      <c r="U134" s="1597"/>
      <c r="V134" s="1597"/>
      <c r="W134" s="1597"/>
      <c r="X134" s="1597"/>
      <c r="Y134" s="1597"/>
    </row>
    <row r="135" spans="1:25" s="1259" customFormat="1" ht="13.2">
      <c r="A135" s="1262" t="str">
        <f t="shared" si="2"/>
        <v>St.  LAWRENCE / FDR353Station Equipment</v>
      </c>
      <c r="B135" s="1268" t="s">
        <v>1335</v>
      </c>
      <c r="C135" s="1224" t="str">
        <f>CONCATENATE("WP-BC, column 8, line ",VLOOKUP(A135,'WP-BC'!A138:N478, 2, FALSE))</f>
        <v>WP-BC, column 8, line 10al</v>
      </c>
      <c r="D135" s="1225" t="s">
        <v>1895</v>
      </c>
      <c r="E135" s="1278"/>
      <c r="F135" s="1278"/>
      <c r="G135" s="1287">
        <v>353</v>
      </c>
      <c r="H135" s="1287"/>
      <c r="I135" s="1227" t="s">
        <v>20</v>
      </c>
      <c r="J135" s="1265"/>
      <c r="K135" s="1266">
        <f>IFERROR(VLOOKUP(A135,'WP-BC'!A$18:AG$351,10,FALSE),0)</f>
        <v>5599006.3942514006</v>
      </c>
      <c r="L135" s="1267"/>
      <c r="M135" s="1259" t="s">
        <v>227</v>
      </c>
      <c r="O135" s="1597"/>
      <c r="P135" s="1597"/>
      <c r="Q135" s="1597"/>
      <c r="R135" s="1597"/>
      <c r="S135" s="1597"/>
      <c r="T135" s="1597"/>
      <c r="U135" s="1597"/>
      <c r="V135" s="1597"/>
      <c r="W135" s="1597"/>
      <c r="X135" s="1597"/>
      <c r="Y135" s="1597"/>
    </row>
    <row r="136" spans="1:25" s="1259" customFormat="1" ht="13.2">
      <c r="A136" s="1262" t="str">
        <f t="shared" si="2"/>
        <v>353</v>
      </c>
      <c r="B136" s="1268" t="s">
        <v>541</v>
      </c>
      <c r="C136" s="1228"/>
      <c r="D136" s="1228"/>
      <c r="E136" s="1278"/>
      <c r="F136" s="1278"/>
      <c r="G136" s="1287">
        <v>353</v>
      </c>
      <c r="H136" s="1287"/>
      <c r="I136" s="1228"/>
      <c r="J136" s="1265"/>
      <c r="K136" s="1266">
        <f>IFERROR(VLOOKUP(A136,'WP-BC'!A$18:AG$351,10,FALSE),0)</f>
        <v>0</v>
      </c>
      <c r="L136" s="1267"/>
      <c r="O136" s="1597"/>
      <c r="P136" s="1597"/>
      <c r="Q136" s="1597"/>
      <c r="R136" s="1597"/>
      <c r="S136" s="1597"/>
      <c r="T136" s="1597"/>
      <c r="U136" s="1597"/>
      <c r="V136" s="1597"/>
      <c r="W136" s="1597"/>
      <c r="X136" s="1597"/>
      <c r="Y136" s="1597"/>
    </row>
    <row r="137" spans="1:25" s="1259" customFormat="1" ht="15">
      <c r="A137" s="1262" t="str">
        <f t="shared" si="2"/>
        <v>353</v>
      </c>
      <c r="B137" s="1268" t="s">
        <v>541</v>
      </c>
      <c r="C137" s="1228"/>
      <c r="D137" s="1228"/>
      <c r="E137" s="1278"/>
      <c r="F137" s="1278"/>
      <c r="G137" s="1287">
        <v>353</v>
      </c>
      <c r="H137" s="1287"/>
      <c r="I137" s="1228"/>
      <c r="J137" s="1265"/>
      <c r="K137" s="1269">
        <f>IFERROR(VLOOKUP(A137,'WP-BC'!A$18:AG$358,10,FALSE),0)</f>
        <v>0</v>
      </c>
      <c r="L137" s="1267"/>
      <c r="O137" s="1597"/>
      <c r="P137" s="1597"/>
      <c r="Q137" s="1597"/>
      <c r="R137" s="1597"/>
      <c r="S137" s="1597"/>
      <c r="T137" s="1597"/>
      <c r="U137" s="1597"/>
      <c r="V137" s="1597"/>
      <c r="W137" s="1597"/>
      <c r="X137" s="1597"/>
      <c r="Y137" s="1597"/>
    </row>
    <row r="138" spans="1:25" s="1259" customFormat="1" ht="13.2">
      <c r="A138" s="1262" t="str">
        <f t="shared" si="2"/>
        <v>353</v>
      </c>
      <c r="B138" s="1268">
        <v>25</v>
      </c>
      <c r="D138" s="1271"/>
      <c r="E138" s="1278"/>
      <c r="F138" s="1279"/>
      <c r="G138" s="1287">
        <v>353</v>
      </c>
      <c r="H138" s="1274" t="s">
        <v>272</v>
      </c>
      <c r="I138" s="1265"/>
      <c r="J138" s="1265"/>
      <c r="K138" s="1281">
        <f>SUM(K128:K137)</f>
        <v>17921214.313120458</v>
      </c>
      <c r="L138" s="1267"/>
      <c r="O138" s="1597"/>
      <c r="P138" s="1597"/>
      <c r="Q138" s="1597"/>
      <c r="R138" s="1597"/>
      <c r="S138" s="1597"/>
      <c r="T138" s="1597"/>
      <c r="U138" s="1597"/>
      <c r="V138" s="1597"/>
      <c r="W138" s="1597"/>
      <c r="X138" s="1597"/>
      <c r="Y138" s="1597"/>
    </row>
    <row r="139" spans="1:25" s="1259" customFormat="1" ht="13.2">
      <c r="A139" s="1262" t="str">
        <f t="shared" si="2"/>
        <v/>
      </c>
      <c r="B139" s="1268" t="s">
        <v>1224</v>
      </c>
      <c r="D139" s="1271"/>
      <c r="E139" s="1278"/>
      <c r="F139" s="1279"/>
      <c r="G139" s="1287"/>
      <c r="H139" s="1265"/>
      <c r="I139" s="1265"/>
      <c r="J139" s="1265"/>
      <c r="K139" s="1266"/>
      <c r="L139" s="1267"/>
      <c r="O139" s="1597"/>
      <c r="P139" s="1597"/>
      <c r="Q139" s="1597"/>
      <c r="R139" s="1597"/>
      <c r="S139" s="1597"/>
      <c r="T139" s="1597"/>
      <c r="U139" s="1597"/>
      <c r="V139" s="1597"/>
      <c r="W139" s="1597"/>
      <c r="X139" s="1597"/>
      <c r="Y139" s="1597"/>
    </row>
    <row r="140" spans="1:25" s="1259" customFormat="1" ht="13.2">
      <c r="A140" s="1262" t="str">
        <f t="shared" si="2"/>
        <v>BLENHEIM - GILBOA354Towers &amp; Fixtures</v>
      </c>
      <c r="B140" s="1268" t="s">
        <v>1336</v>
      </c>
      <c r="C140" s="1224" t="str">
        <f>CONCATENATE("WP-BC, column 8, line ",VLOOKUP(A140,'WP-BC'!A143:N483, 2, FALSE))</f>
        <v>WP-BC, column 8, line 10c</v>
      </c>
      <c r="D140" s="1225" t="s">
        <v>1889</v>
      </c>
      <c r="E140" s="1278"/>
      <c r="F140" s="1278"/>
      <c r="G140" s="1287">
        <v>354</v>
      </c>
      <c r="H140" s="1287"/>
      <c r="I140" s="1227" t="s">
        <v>70</v>
      </c>
      <c r="J140" s="1265"/>
      <c r="K140" s="1266">
        <f>IFERROR(VLOOKUP(A140,'WP-BC'!A$18:AG$351,10,FALSE),0)</f>
        <v>450343.87435567018</v>
      </c>
      <c r="L140" s="1267"/>
      <c r="M140" s="1259" t="s">
        <v>227</v>
      </c>
      <c r="O140" s="1597"/>
      <c r="P140" s="1597"/>
      <c r="Q140" s="1597"/>
      <c r="R140" s="1597"/>
      <c r="S140" s="1597"/>
      <c r="T140" s="1597"/>
      <c r="U140" s="1597"/>
      <c r="V140" s="1597"/>
      <c r="W140" s="1597"/>
      <c r="X140" s="1597"/>
      <c r="Y140" s="1597"/>
    </row>
    <row r="141" spans="1:25" s="1259" customFormat="1" ht="13.2">
      <c r="A141" s="1262" t="str">
        <f t="shared" si="2"/>
        <v>J. A. FITZPATRICK354Towers &amp; Fixtures</v>
      </c>
      <c r="B141" s="1268" t="s">
        <v>1337</v>
      </c>
      <c r="C141" s="1224" t="str">
        <f>CONCATENATE("WP-BC, column 8, line ",VLOOKUP(A141,'WP-BC'!A144:N484, 2, FALSE))</f>
        <v>WP-BC, column 8, line 10i</v>
      </c>
      <c r="D141" s="1225" t="s">
        <v>1891</v>
      </c>
      <c r="E141" s="1278"/>
      <c r="F141" s="1278"/>
      <c r="G141" s="1287">
        <v>354</v>
      </c>
      <c r="H141" s="1287"/>
      <c r="I141" s="1227" t="s">
        <v>70</v>
      </c>
      <c r="J141" s="1265"/>
      <c r="K141" s="1266">
        <f>IFERROR(VLOOKUP(A141,'WP-BC'!A$18:AG$351,10,FALSE),0)</f>
        <v>105031.45122746035</v>
      </c>
      <c r="L141" s="1267"/>
      <c r="M141" s="1259" t="s">
        <v>227</v>
      </c>
      <c r="O141" s="1597"/>
      <c r="P141" s="1597"/>
      <c r="Q141" s="1597"/>
      <c r="R141" s="1597"/>
      <c r="S141" s="1597"/>
      <c r="T141" s="1597"/>
      <c r="U141" s="1597"/>
      <c r="V141" s="1597"/>
      <c r="W141" s="1597"/>
      <c r="X141" s="1597"/>
      <c r="Y141" s="1597"/>
    </row>
    <row r="142" spans="1:25" s="1259" customFormat="1" ht="13.2">
      <c r="A142" s="1262" t="str">
        <f t="shared" si="2"/>
        <v>MARCY-SOUTH354Towers &amp; Fixtures</v>
      </c>
      <c r="B142" s="1268" t="s">
        <v>1338</v>
      </c>
      <c r="C142" s="1224" t="str">
        <f>CONCATENATE("WP-BC, column 8, line ",VLOOKUP(A142,'WP-BC'!A145:N485, 2, FALSE))</f>
        <v>WP-BC, column 8, line 10r</v>
      </c>
      <c r="D142" s="1225" t="s">
        <v>1893</v>
      </c>
      <c r="E142" s="1278"/>
      <c r="F142" s="1278"/>
      <c r="G142" s="1287">
        <v>354</v>
      </c>
      <c r="H142" s="1287"/>
      <c r="I142" s="1227" t="s">
        <v>70</v>
      </c>
      <c r="J142" s="1265"/>
      <c r="K142" s="1266">
        <f>IFERROR(VLOOKUP(A142,'WP-BC'!A$18:AG$351,10,FALSE),0)</f>
        <v>1462226.8639096415</v>
      </c>
      <c r="L142" s="1267"/>
      <c r="M142" s="1259" t="s">
        <v>227</v>
      </c>
      <c r="O142" s="1597"/>
      <c r="P142" s="1597"/>
      <c r="Q142" s="1597"/>
      <c r="R142" s="1597"/>
      <c r="S142" s="1597"/>
      <c r="T142" s="1597"/>
      <c r="U142" s="1597"/>
      <c r="V142" s="1597"/>
      <c r="W142" s="1597"/>
      <c r="X142" s="1597"/>
      <c r="Y142" s="1597"/>
    </row>
    <row r="143" spans="1:25" s="1259" customFormat="1" ht="13.2">
      <c r="A143" s="1262" t="str">
        <f t="shared" si="2"/>
        <v>MASSENA - MARCY  (Clark)354Towers &amp; Fixtures</v>
      </c>
      <c r="B143" s="1268" t="s">
        <v>1339</v>
      </c>
      <c r="C143" s="1224" t="str">
        <f>CONCATENATE("WP-BC, column 8, line ",VLOOKUP(A143,'WP-BC'!A146:N486, 2, FALSE))</f>
        <v>WP-BC, column 8, line 10aa</v>
      </c>
      <c r="D143" s="1225" t="s">
        <v>1894</v>
      </c>
      <c r="E143" s="1278"/>
      <c r="F143" s="1278"/>
      <c r="G143" s="1287">
        <v>354</v>
      </c>
      <c r="H143" s="1287"/>
      <c r="I143" s="1227" t="s">
        <v>70</v>
      </c>
      <c r="J143" s="1265"/>
      <c r="K143" s="1266">
        <f>IFERROR(VLOOKUP(A143,'WP-BC'!A$18:AG$351,10,FALSE),0)</f>
        <v>1288389.8355422816</v>
      </c>
      <c r="L143" s="1267"/>
      <c r="M143" s="1259" t="s">
        <v>227</v>
      </c>
      <c r="O143" s="1597"/>
      <c r="P143" s="1597"/>
      <c r="Q143" s="1597"/>
      <c r="R143" s="1597"/>
      <c r="S143" s="1597"/>
      <c r="T143" s="1597"/>
      <c r="U143" s="1597"/>
      <c r="V143" s="1597"/>
      <c r="W143" s="1597"/>
      <c r="X143" s="1597"/>
      <c r="Y143" s="1597"/>
    </row>
    <row r="144" spans="1:25" s="1259" customFormat="1" ht="13.2">
      <c r="A144" s="1262" t="str">
        <f t="shared" si="2"/>
        <v>NIAGARA354Towers &amp; Fixtures</v>
      </c>
      <c r="B144" s="1268" t="s">
        <v>1340</v>
      </c>
      <c r="C144" s="1224" t="str">
        <f>CONCATENATE("WP-BC, column 8, line ",VLOOKUP(A144,'WP-BC'!A147:N487, 2, FALSE))</f>
        <v>WP-BC, column 8, line 10ag</v>
      </c>
      <c r="D144" s="1225" t="s">
        <v>30</v>
      </c>
      <c r="E144" s="1278"/>
      <c r="F144" s="1278"/>
      <c r="G144" s="1287">
        <v>354</v>
      </c>
      <c r="H144" s="1287"/>
      <c r="I144" s="1227" t="s">
        <v>70</v>
      </c>
      <c r="J144" s="1265"/>
      <c r="K144" s="1266">
        <f>IFERROR(VLOOKUP(A144,'WP-BC'!A$18:AG$351,10,FALSE),0)</f>
        <v>598792.86410958902</v>
      </c>
      <c r="L144" s="1267"/>
      <c r="M144" s="1259" t="s">
        <v>227</v>
      </c>
      <c r="O144" s="1597"/>
      <c r="P144" s="1597"/>
      <c r="Q144" s="1597"/>
      <c r="R144" s="1597"/>
      <c r="S144" s="1597"/>
      <c r="T144" s="1597"/>
      <c r="U144" s="1597"/>
      <c r="V144" s="1597"/>
      <c r="W144" s="1597"/>
      <c r="X144" s="1597"/>
      <c r="Y144" s="1597"/>
    </row>
    <row r="145" spans="1:25" s="1259" customFormat="1" ht="13.2">
      <c r="A145" s="1262" t="str">
        <f t="shared" si="2"/>
        <v>St.  LAWRENCE / FDR354Towers &amp; Fixtures</v>
      </c>
      <c r="B145" s="1268" t="s">
        <v>1341</v>
      </c>
      <c r="C145" s="1224" t="str">
        <f>CONCATENATE("WP-BC, column 8, line ",VLOOKUP(A145,'WP-BC'!A148:N488, 2, FALSE))</f>
        <v>WP-BC, column 8, line 10am</v>
      </c>
      <c r="D145" s="1225" t="s">
        <v>1895</v>
      </c>
      <c r="E145" s="1278"/>
      <c r="F145" s="1278"/>
      <c r="G145" s="1287">
        <v>354</v>
      </c>
      <c r="H145" s="1287"/>
      <c r="I145" s="1227" t="s">
        <v>70</v>
      </c>
      <c r="J145" s="1265"/>
      <c r="K145" s="1266">
        <f>IFERROR(VLOOKUP(A145,'WP-BC'!A$18:AG$351,10,FALSE),0)</f>
        <v>469704.07401120901</v>
      </c>
      <c r="L145" s="1267"/>
      <c r="M145" s="1259" t="s">
        <v>227</v>
      </c>
      <c r="O145" s="1597"/>
      <c r="P145" s="1597"/>
      <c r="Q145" s="1597"/>
      <c r="R145" s="1597"/>
      <c r="S145" s="1597"/>
      <c r="T145" s="1597"/>
      <c r="U145" s="1597"/>
      <c r="V145" s="1597"/>
      <c r="W145" s="1597"/>
      <c r="X145" s="1597"/>
      <c r="Y145" s="1597"/>
    </row>
    <row r="146" spans="1:25" s="1259" customFormat="1" ht="13.2">
      <c r="A146" s="1262" t="str">
        <f t="shared" si="2"/>
        <v>354</v>
      </c>
      <c r="B146" s="1268" t="s">
        <v>541</v>
      </c>
      <c r="C146" s="1228"/>
      <c r="D146" s="1228"/>
      <c r="E146" s="1278"/>
      <c r="F146" s="1278"/>
      <c r="G146" s="1287">
        <v>354</v>
      </c>
      <c r="H146" s="1287"/>
      <c r="I146" s="1228"/>
      <c r="J146" s="1265"/>
      <c r="K146" s="1266">
        <f>IFERROR(VLOOKUP(A146,'WP-BC'!A$18:AG$351,10,FALSE),0)</f>
        <v>0</v>
      </c>
      <c r="L146" s="1267"/>
      <c r="O146" s="1597"/>
      <c r="P146" s="1597"/>
      <c r="Q146" s="1597"/>
      <c r="R146" s="1597"/>
      <c r="S146" s="1597"/>
      <c r="T146" s="1597"/>
      <c r="U146" s="1597"/>
      <c r="V146" s="1597"/>
      <c r="W146" s="1597"/>
      <c r="X146" s="1597"/>
      <c r="Y146" s="1597"/>
    </row>
    <row r="147" spans="1:25" s="1259" customFormat="1" ht="15">
      <c r="A147" s="1262" t="str">
        <f t="shared" si="2"/>
        <v>354</v>
      </c>
      <c r="B147" s="1268" t="s">
        <v>541</v>
      </c>
      <c r="C147" s="1228"/>
      <c r="D147" s="1228"/>
      <c r="E147" s="1278"/>
      <c r="F147" s="1278"/>
      <c r="G147" s="1287">
        <v>354</v>
      </c>
      <c r="H147" s="1287"/>
      <c r="I147" s="1228"/>
      <c r="J147" s="1265"/>
      <c r="K147" s="1269">
        <f>IFERROR(VLOOKUP(A147,'WP-BC'!A$18:AG$358,10,FALSE),0)</f>
        <v>0</v>
      </c>
      <c r="L147" s="1267"/>
      <c r="O147" s="1597"/>
      <c r="P147" s="1597"/>
      <c r="Q147" s="1597"/>
      <c r="R147" s="1597"/>
      <c r="S147" s="1597"/>
      <c r="T147" s="1597"/>
      <c r="U147" s="1597"/>
      <c r="V147" s="1597"/>
      <c r="W147" s="1597"/>
      <c r="X147" s="1597"/>
      <c r="Y147" s="1597"/>
    </row>
    <row r="148" spans="1:25" s="1259" customFormat="1" ht="13.2">
      <c r="A148" s="1262" t="str">
        <f t="shared" si="2"/>
        <v>354</v>
      </c>
      <c r="B148" s="1268">
        <v>27</v>
      </c>
      <c r="D148" s="1271"/>
      <c r="E148" s="1278"/>
      <c r="F148" s="1279"/>
      <c r="G148" s="1287">
        <v>354</v>
      </c>
      <c r="H148" s="1274" t="s">
        <v>273</v>
      </c>
      <c r="I148" s="1265"/>
      <c r="J148" s="1265"/>
      <c r="K148" s="1281">
        <f>SUM(K140:K147)</f>
        <v>4374488.9631558517</v>
      </c>
      <c r="L148" s="1267"/>
      <c r="O148" s="1597"/>
      <c r="P148" s="1597"/>
      <c r="Q148" s="1597"/>
      <c r="R148" s="1597"/>
      <c r="S148" s="1597"/>
      <c r="T148" s="1597"/>
      <c r="U148" s="1597"/>
      <c r="V148" s="1597"/>
      <c r="W148" s="1597"/>
      <c r="X148" s="1597"/>
      <c r="Y148" s="1597"/>
    </row>
    <row r="149" spans="1:25" s="1259" customFormat="1" ht="13.2">
      <c r="A149" s="1262" t="str">
        <f t="shared" si="2"/>
        <v/>
      </c>
      <c r="B149" s="1268" t="s">
        <v>1224</v>
      </c>
      <c r="D149" s="1271"/>
      <c r="E149" s="1278"/>
      <c r="F149" s="1279"/>
      <c r="G149" s="1287"/>
      <c r="H149" s="1265"/>
      <c r="I149" s="1265"/>
      <c r="J149" s="1265"/>
      <c r="K149" s="1266"/>
      <c r="L149" s="1267"/>
      <c r="O149" s="1597"/>
      <c r="P149" s="1597"/>
      <c r="Q149" s="1597"/>
      <c r="R149" s="1597"/>
      <c r="S149" s="1597"/>
      <c r="T149" s="1597"/>
      <c r="U149" s="1597"/>
      <c r="V149" s="1597"/>
      <c r="W149" s="1597"/>
      <c r="X149" s="1597"/>
      <c r="Y149" s="1597"/>
    </row>
    <row r="150" spans="1:25" s="1259" customFormat="1" ht="13.2">
      <c r="A150" s="1262" t="str">
        <f t="shared" si="2"/>
        <v>BLENHEIM - GILBOA355Poles &amp; Fixtures</v>
      </c>
      <c r="B150" s="1268" t="s">
        <v>1342</v>
      </c>
      <c r="C150" s="1224" t="str">
        <f>CONCATENATE("WP-BC, column 8, line ",VLOOKUP(A150,'WP-BC'!A153:N493, 2, FALSE))</f>
        <v>WP-BC, column 8, line 10d</v>
      </c>
      <c r="D150" s="1225" t="s">
        <v>1889</v>
      </c>
      <c r="E150" s="1278"/>
      <c r="F150" s="1279"/>
      <c r="G150" s="1287">
        <v>355</v>
      </c>
      <c r="H150" s="1265"/>
      <c r="I150" s="1227" t="s">
        <v>71</v>
      </c>
      <c r="J150" s="1265"/>
      <c r="K150" s="1266">
        <f>IFERROR(VLOOKUP(A150,'WP-BC'!A$18:AG$351,10,FALSE),0)</f>
        <v>38666.952319587625</v>
      </c>
      <c r="L150" s="1267"/>
      <c r="M150" s="1259" t="s">
        <v>227</v>
      </c>
      <c r="O150" s="1597"/>
      <c r="P150" s="1597"/>
      <c r="Q150" s="1597"/>
      <c r="R150" s="1597"/>
      <c r="S150" s="1597"/>
      <c r="T150" s="1597"/>
      <c r="U150" s="1597"/>
      <c r="V150" s="1597"/>
      <c r="W150" s="1597"/>
      <c r="X150" s="1597"/>
      <c r="Y150" s="1597"/>
    </row>
    <row r="151" spans="1:25" s="1259" customFormat="1" ht="13.2">
      <c r="A151" s="1262" t="str">
        <f t="shared" si="2"/>
        <v>MARCY-SOUTH355Poles &amp; Fixtures</v>
      </c>
      <c r="B151" s="1268" t="s">
        <v>1343</v>
      </c>
      <c r="C151" s="1224" t="str">
        <f>CONCATENATE("WP-BC, column 8, line ",VLOOKUP(A151,'WP-BC'!A154:N494, 2, FALSE))</f>
        <v>WP-BC, column 8, line 10s</v>
      </c>
      <c r="D151" s="1225" t="s">
        <v>1893</v>
      </c>
      <c r="E151" s="1278"/>
      <c r="F151" s="1279"/>
      <c r="G151" s="1287">
        <v>355</v>
      </c>
      <c r="H151" s="1265"/>
      <c r="I151" s="1227" t="s">
        <v>71</v>
      </c>
      <c r="J151" s="1265"/>
      <c r="K151" s="1266">
        <f>IFERROR(VLOOKUP(A151,'WP-BC'!A$18:AG$351,10,FALSE),0)</f>
        <v>4145863.2185139903</v>
      </c>
      <c r="L151" s="1267"/>
      <c r="M151" s="1259" t="s">
        <v>227</v>
      </c>
      <c r="O151" s="1597"/>
      <c r="P151" s="1597"/>
      <c r="Q151" s="1597"/>
      <c r="R151" s="1597"/>
      <c r="S151" s="1597"/>
      <c r="T151" s="1597"/>
      <c r="U151" s="1597"/>
      <c r="V151" s="1597"/>
      <c r="W151" s="1597"/>
      <c r="X151" s="1597"/>
      <c r="Y151" s="1597"/>
    </row>
    <row r="152" spans="1:25" s="1259" customFormat="1" ht="13.2">
      <c r="A152" s="1262" t="str">
        <f t="shared" ref="A152:A193" si="3">CONCATENATE(D152,G152,I152)</f>
        <v>MASSENA - MARCY  (Clark)355Poles &amp; Fixtures</v>
      </c>
      <c r="B152" s="1268" t="s">
        <v>1344</v>
      </c>
      <c r="C152" s="1224" t="str">
        <f>CONCATENATE("WP-BC, column 8, line ",VLOOKUP(A152,'WP-BC'!A155:N495, 2, FALSE))</f>
        <v>WP-BC, column 8, line 10ab</v>
      </c>
      <c r="D152" s="1225" t="s">
        <v>1894</v>
      </c>
      <c r="E152" s="1278"/>
      <c r="F152" s="1273"/>
      <c r="G152" s="1287">
        <v>355</v>
      </c>
      <c r="H152" s="1265"/>
      <c r="I152" s="1227" t="s">
        <v>71</v>
      </c>
      <c r="J152" s="1265"/>
      <c r="K152" s="1266">
        <f>IFERROR(VLOOKUP(A152,'WP-BC'!A$18:AG$351,10,FALSE),0)</f>
        <v>363973.45941705653</v>
      </c>
      <c r="L152" s="1267"/>
      <c r="M152" s="1259" t="s">
        <v>227</v>
      </c>
      <c r="O152" s="1597"/>
      <c r="P152" s="1597"/>
      <c r="Q152" s="1597"/>
      <c r="R152" s="1597"/>
      <c r="S152" s="1597"/>
      <c r="T152" s="1597"/>
      <c r="U152" s="1597"/>
      <c r="V152" s="1597"/>
      <c r="W152" s="1597"/>
      <c r="X152" s="1597"/>
      <c r="Y152" s="1597"/>
    </row>
    <row r="153" spans="1:25" s="1259" customFormat="1" ht="13.2">
      <c r="A153" s="1262" t="str">
        <f t="shared" si="3"/>
        <v>NIAGARA355Poles &amp; Fixtures</v>
      </c>
      <c r="B153" s="1268" t="s">
        <v>1345</v>
      </c>
      <c r="C153" s="1224" t="str">
        <f>CONCATENATE("WP-BC, column 8, line ",VLOOKUP(A153,'WP-BC'!A156:N496, 2, FALSE))</f>
        <v>WP-BC, column 8, line 10ah</v>
      </c>
      <c r="D153" s="1225" t="s">
        <v>30</v>
      </c>
      <c r="E153" s="1278"/>
      <c r="F153" s="1279"/>
      <c r="G153" s="1287">
        <v>355</v>
      </c>
      <c r="H153" s="1265"/>
      <c r="I153" s="1227" t="s">
        <v>71</v>
      </c>
      <c r="J153" s="1265"/>
      <c r="K153" s="1266">
        <f>IFERROR(VLOOKUP(A153,'WP-BC'!A$18:AG$351,10,FALSE),0)</f>
        <v>746.13643835616426</v>
      </c>
      <c r="L153" s="1267"/>
      <c r="M153" s="1259" t="s">
        <v>227</v>
      </c>
      <c r="O153" s="1597"/>
      <c r="P153" s="1597"/>
      <c r="Q153" s="1597"/>
      <c r="R153" s="1597"/>
      <c r="S153" s="1597"/>
      <c r="T153" s="1597"/>
      <c r="U153" s="1597"/>
      <c r="V153" s="1597"/>
      <c r="W153" s="1597"/>
      <c r="X153" s="1597"/>
      <c r="Y153" s="1597"/>
    </row>
    <row r="154" spans="1:25" s="1259" customFormat="1" ht="13.2">
      <c r="A154" s="1262" t="str">
        <f t="shared" si="3"/>
        <v>St.  LAWRENCE / FDR355Poles &amp; Fixtures</v>
      </c>
      <c r="B154" s="1268" t="s">
        <v>1346</v>
      </c>
      <c r="C154" s="1224" t="str">
        <f>CONCATENATE("WP-BC, column 8, line ",VLOOKUP(A154,'WP-BC'!A157:N497, 2, FALSE))</f>
        <v>WP-BC, column 8, line 10an</v>
      </c>
      <c r="D154" s="1225" t="s">
        <v>1895</v>
      </c>
      <c r="E154" s="1278"/>
      <c r="F154" s="1279"/>
      <c r="G154" s="1287">
        <v>355</v>
      </c>
      <c r="H154" s="1265"/>
      <c r="I154" s="1227" t="s">
        <v>71</v>
      </c>
      <c r="J154" s="1265"/>
      <c r="K154" s="1266">
        <f>IFERROR(VLOOKUP(A154,'WP-BC'!A$18:AG$351,10,FALSE),0)</f>
        <v>2384241.6949239392</v>
      </c>
      <c r="L154" s="1267"/>
      <c r="M154" s="1259" t="s">
        <v>227</v>
      </c>
      <c r="O154" s="1597"/>
      <c r="P154" s="1597"/>
      <c r="Q154" s="1597"/>
      <c r="R154" s="1597"/>
      <c r="S154" s="1597"/>
      <c r="T154" s="1597"/>
      <c r="U154" s="1597"/>
      <c r="V154" s="1597"/>
      <c r="W154" s="1597"/>
      <c r="X154" s="1597"/>
      <c r="Y154" s="1597"/>
    </row>
    <row r="155" spans="1:25" s="1259" customFormat="1" ht="13.2">
      <c r="A155" s="1262" t="str">
        <f t="shared" si="3"/>
        <v>355</v>
      </c>
      <c r="B155" s="1268" t="s">
        <v>541</v>
      </c>
      <c r="C155" s="1228"/>
      <c r="D155" s="1228"/>
      <c r="E155" s="1278"/>
      <c r="F155" s="1278"/>
      <c r="G155" s="1287">
        <v>355</v>
      </c>
      <c r="H155" s="1287"/>
      <c r="I155" s="1228"/>
      <c r="J155" s="1265"/>
      <c r="K155" s="1266">
        <f>IFERROR(VLOOKUP(A155,'WP-BC'!A$18:AG$351,10,FALSE),0)</f>
        <v>0</v>
      </c>
      <c r="L155" s="1267"/>
      <c r="O155" s="1597"/>
      <c r="P155" s="1597"/>
      <c r="Q155" s="1597"/>
      <c r="R155" s="1597"/>
      <c r="S155" s="1597"/>
      <c r="T155" s="1597"/>
      <c r="U155" s="1597"/>
      <c r="V155" s="1597"/>
      <c r="W155" s="1597"/>
      <c r="X155" s="1597"/>
      <c r="Y155" s="1597"/>
    </row>
    <row r="156" spans="1:25" s="1259" customFormat="1" ht="15">
      <c r="A156" s="1262" t="str">
        <f t="shared" si="3"/>
        <v>355</v>
      </c>
      <c r="B156" s="1268" t="s">
        <v>541</v>
      </c>
      <c r="C156" s="1228"/>
      <c r="D156" s="1228"/>
      <c r="E156" s="1278"/>
      <c r="F156" s="1278"/>
      <c r="G156" s="1287">
        <v>355</v>
      </c>
      <c r="H156" s="1287"/>
      <c r="I156" s="1228"/>
      <c r="J156" s="1265"/>
      <c r="K156" s="1269">
        <f>IFERROR(VLOOKUP(A156,'WP-BC'!A$18:AG$358,10,FALSE),0)</f>
        <v>0</v>
      </c>
      <c r="L156" s="1267"/>
      <c r="O156" s="1597"/>
      <c r="P156" s="1597"/>
      <c r="Q156" s="1597"/>
      <c r="R156" s="1597"/>
      <c r="S156" s="1597"/>
      <c r="T156" s="1597"/>
      <c r="U156" s="1597"/>
      <c r="V156" s="1597"/>
      <c r="W156" s="1597"/>
      <c r="X156" s="1597"/>
      <c r="Y156" s="1597"/>
    </row>
    <row r="157" spans="1:25" s="1259" customFormat="1" ht="13.2">
      <c r="A157" s="1262" t="str">
        <f t="shared" si="3"/>
        <v>355</v>
      </c>
      <c r="B157" s="1268">
        <v>29</v>
      </c>
      <c r="D157" s="1271"/>
      <c r="E157" s="1278"/>
      <c r="F157" s="1279"/>
      <c r="G157" s="1287">
        <v>355</v>
      </c>
      <c r="H157" s="1274" t="s">
        <v>274</v>
      </c>
      <c r="I157" s="1265"/>
      <c r="J157" s="1265"/>
      <c r="K157" s="1281">
        <f>SUM(K150:K156)</f>
        <v>6933491.4616129296</v>
      </c>
      <c r="L157" s="1267"/>
      <c r="O157" s="1597"/>
      <c r="P157" s="1597"/>
      <c r="Q157" s="1597"/>
      <c r="R157" s="1597"/>
      <c r="S157" s="1597"/>
      <c r="T157" s="1597"/>
      <c r="U157" s="1597"/>
      <c r="V157" s="1597"/>
      <c r="W157" s="1597"/>
      <c r="X157" s="1597"/>
      <c r="Y157" s="1597"/>
    </row>
    <row r="158" spans="1:25" s="1259" customFormat="1" ht="13.2">
      <c r="A158" s="1262" t="str">
        <f t="shared" si="3"/>
        <v/>
      </c>
      <c r="B158" s="1268" t="s">
        <v>1224</v>
      </c>
      <c r="D158" s="1271"/>
      <c r="E158" s="1278"/>
      <c r="F158" s="1279"/>
      <c r="G158" s="1287"/>
      <c r="H158" s="1265"/>
      <c r="I158" s="1265"/>
      <c r="J158" s="1265"/>
      <c r="K158" s="1266"/>
      <c r="L158" s="1267"/>
      <c r="O158" s="1597"/>
      <c r="P158" s="1597"/>
      <c r="Q158" s="1597"/>
      <c r="R158" s="1597"/>
      <c r="S158" s="1597"/>
      <c r="T158" s="1597"/>
      <c r="U158" s="1597"/>
      <c r="V158" s="1597"/>
      <c r="W158" s="1597"/>
      <c r="X158" s="1597"/>
      <c r="Y158" s="1597"/>
    </row>
    <row r="159" spans="1:25" s="1259" customFormat="1" ht="13.2">
      <c r="A159" s="1262" t="str">
        <f t="shared" si="3"/>
        <v>BLENHEIM - GILBOA356Overhead Conductors &amp; Devices</v>
      </c>
      <c r="B159" s="1268" t="s">
        <v>1347</v>
      </c>
      <c r="C159" s="1224" t="str">
        <f>CONCATENATE("WP-BC, column 8, line ",VLOOKUP(A159,'WP-BC'!A162:N502, 2, FALSE))</f>
        <v>WP-BC, column 8, line 10e</v>
      </c>
      <c r="D159" s="1225" t="s">
        <v>1889</v>
      </c>
      <c r="E159" s="1278"/>
      <c r="F159" s="1279"/>
      <c r="G159" s="1287">
        <v>356</v>
      </c>
      <c r="H159" s="1265"/>
      <c r="I159" s="1227" t="s">
        <v>72</v>
      </c>
      <c r="J159" s="1265"/>
      <c r="K159" s="1266">
        <f>IFERROR(VLOOKUP(A159,'WP-BC'!A$18:AG$351,10,FALSE),0)</f>
        <v>104604.31765463919</v>
      </c>
      <c r="L159" s="1267"/>
      <c r="M159" s="1259" t="s">
        <v>227</v>
      </c>
      <c r="O159" s="1597"/>
      <c r="P159" s="1597"/>
      <c r="Q159" s="1597"/>
      <c r="R159" s="1597"/>
      <c r="S159" s="1597"/>
      <c r="T159" s="1597"/>
      <c r="U159" s="1597"/>
      <c r="V159" s="1597"/>
      <c r="W159" s="1597"/>
      <c r="X159" s="1597"/>
      <c r="Y159" s="1597"/>
    </row>
    <row r="160" spans="1:25" s="1259" customFormat="1" ht="13.2">
      <c r="A160" s="1262" t="str">
        <f t="shared" si="3"/>
        <v>J. A. FITZPATRICK356Overhead Conductors &amp; Devices</v>
      </c>
      <c r="B160" s="1268" t="s">
        <v>1348</v>
      </c>
      <c r="C160" s="1224" t="str">
        <f>CONCATENATE("WP-BC, column 8, line ",VLOOKUP(A160,'WP-BC'!A163:N503, 2, FALSE))</f>
        <v>WP-BC, column 8, line 10j</v>
      </c>
      <c r="D160" s="1225" t="s">
        <v>1891</v>
      </c>
      <c r="E160" s="1278"/>
      <c r="F160" s="1279"/>
      <c r="G160" s="1287">
        <v>356</v>
      </c>
      <c r="H160" s="1265"/>
      <c r="I160" s="1227" t="s">
        <v>72</v>
      </c>
      <c r="J160" s="1265"/>
      <c r="K160" s="1266">
        <f>IFERROR(VLOOKUP(A160,'WP-BC'!A$18:AG$351,10,FALSE),0)</f>
        <v>35958.246361068843</v>
      </c>
      <c r="L160" s="1267"/>
      <c r="M160" s="1259" t="s">
        <v>227</v>
      </c>
      <c r="O160" s="1597"/>
      <c r="P160" s="1597"/>
      <c r="Q160" s="1597"/>
      <c r="R160" s="1597"/>
      <c r="S160" s="1597"/>
      <c r="T160" s="1597"/>
      <c r="U160" s="1597"/>
      <c r="V160" s="1597"/>
      <c r="W160" s="1597"/>
      <c r="X160" s="1597"/>
      <c r="Y160" s="1597"/>
    </row>
    <row r="161" spans="1:25" s="1259" customFormat="1" ht="13.2">
      <c r="A161" s="1262" t="str">
        <f t="shared" si="3"/>
        <v>MARCY-SOUTH356Overhead Conductors &amp; Devices</v>
      </c>
      <c r="B161" s="1268" t="s">
        <v>1349</v>
      </c>
      <c r="C161" s="1224" t="str">
        <f>CONCATENATE("WP-BC, column 8, line ",VLOOKUP(A161,'WP-BC'!A164:N504, 2, FALSE))</f>
        <v>WP-BC, column 8, line 10t</v>
      </c>
      <c r="D161" s="1225" t="s">
        <v>1893</v>
      </c>
      <c r="E161" s="1278"/>
      <c r="F161" s="1279"/>
      <c r="G161" s="1287">
        <v>356</v>
      </c>
      <c r="H161" s="1265"/>
      <c r="I161" s="1227" t="s">
        <v>72</v>
      </c>
      <c r="J161" s="1265"/>
      <c r="K161" s="1266">
        <f>IFERROR(VLOOKUP(A161,'WP-BC'!A$18:AG$351,10,FALSE),0)</f>
        <v>1746698.7723896902</v>
      </c>
      <c r="L161" s="1267"/>
      <c r="M161" s="1259" t="s">
        <v>227</v>
      </c>
      <c r="O161" s="1597"/>
      <c r="P161" s="1597"/>
      <c r="Q161" s="1597"/>
      <c r="R161" s="1597"/>
      <c r="S161" s="1597"/>
      <c r="T161" s="1597"/>
      <c r="U161" s="1597"/>
      <c r="V161" s="1597"/>
      <c r="W161" s="1597"/>
      <c r="X161" s="1597"/>
      <c r="Y161" s="1597"/>
    </row>
    <row r="162" spans="1:25" s="1259" customFormat="1" ht="13.2">
      <c r="A162" s="1262" t="str">
        <f t="shared" si="3"/>
        <v>MASSENA - MARCY  (Clark)356Overhead Conductors &amp; Devices</v>
      </c>
      <c r="B162" s="1268" t="s">
        <v>1350</v>
      </c>
      <c r="C162" s="1224" t="str">
        <f>CONCATENATE("WP-BC, column 8, line ",VLOOKUP(A162,'WP-BC'!A165:N505, 2, FALSE))</f>
        <v>WP-BC, column 8, line 10ac</v>
      </c>
      <c r="D162" s="1225" t="s">
        <v>1894</v>
      </c>
      <c r="E162" s="1278"/>
      <c r="F162" s="1273"/>
      <c r="G162" s="1287">
        <v>356</v>
      </c>
      <c r="H162" s="1265"/>
      <c r="I162" s="1227" t="s">
        <v>72</v>
      </c>
      <c r="J162" s="1265"/>
      <c r="K162" s="1266">
        <f>IFERROR(VLOOKUP(A162,'WP-BC'!A$18:AG$351,10,FALSE),0)</f>
        <v>751048.98554300121</v>
      </c>
      <c r="L162" s="1267"/>
      <c r="M162" s="1259" t="s">
        <v>227</v>
      </c>
      <c r="O162" s="1597"/>
      <c r="P162" s="1597"/>
      <c r="Q162" s="1597"/>
      <c r="R162" s="1597"/>
      <c r="S162" s="1597"/>
      <c r="T162" s="1597"/>
      <c r="U162" s="1597"/>
      <c r="V162" s="1597"/>
      <c r="W162" s="1597"/>
      <c r="X162" s="1597"/>
      <c r="Y162" s="1597"/>
    </row>
    <row r="163" spans="1:25" s="1259" customFormat="1" ht="13.2">
      <c r="A163" s="1262" t="str">
        <f t="shared" si="3"/>
        <v>NIAGARA356Overhead Conductors &amp; Devices</v>
      </c>
      <c r="B163" s="1268" t="s">
        <v>1351</v>
      </c>
      <c r="C163" s="1224" t="str">
        <f>CONCATENATE("WP-BC, column 8, line ",VLOOKUP(A163,'WP-BC'!A166:N506, 2, FALSE))</f>
        <v>WP-BC, column 8, line 10ai</v>
      </c>
      <c r="D163" s="1225" t="s">
        <v>30</v>
      </c>
      <c r="E163" s="1278"/>
      <c r="F163" s="1279"/>
      <c r="G163" s="1287">
        <v>356</v>
      </c>
      <c r="H163" s="1265"/>
      <c r="I163" s="1227" t="s">
        <v>72</v>
      </c>
      <c r="J163" s="1265"/>
      <c r="K163" s="1266">
        <f>IFERROR(VLOOKUP(A163,'WP-BC'!A$18:AG$351,10,FALSE),0)</f>
        <v>1345387.5041095896</v>
      </c>
      <c r="L163" s="1267"/>
      <c r="M163" s="1259" t="s">
        <v>227</v>
      </c>
      <c r="O163" s="1597"/>
      <c r="P163" s="1597"/>
      <c r="Q163" s="1597"/>
      <c r="R163" s="1597"/>
      <c r="S163" s="1597"/>
      <c r="T163" s="1597"/>
      <c r="U163" s="1597"/>
      <c r="V163" s="1597"/>
      <c r="W163" s="1597"/>
      <c r="X163" s="1597"/>
      <c r="Y163" s="1597"/>
    </row>
    <row r="164" spans="1:25" s="1259" customFormat="1" ht="13.2">
      <c r="A164" s="1262" t="str">
        <f t="shared" si="3"/>
        <v>St.  LAWRENCE / FDR356Overhead Conductors &amp; Devices</v>
      </c>
      <c r="B164" s="1268" t="s">
        <v>1352</v>
      </c>
      <c r="C164" s="1224" t="str">
        <f>CONCATENATE("WP-BC, column 8, line ",VLOOKUP(A164,'WP-BC'!A167:N507, 2, FALSE))</f>
        <v>WP-BC, column 8, line 10ao</v>
      </c>
      <c r="D164" s="1225" t="s">
        <v>1895</v>
      </c>
      <c r="E164" s="1278"/>
      <c r="F164" s="1279"/>
      <c r="G164" s="1287">
        <v>356</v>
      </c>
      <c r="H164" s="1265"/>
      <c r="I164" s="1227" t="s">
        <v>72</v>
      </c>
      <c r="J164" s="1265"/>
      <c r="K164" s="1266">
        <f>IFERROR(VLOOKUP(A164,'WP-BC'!A$18:AG$351,10,FALSE),0)</f>
        <v>1711846.0705284227</v>
      </c>
      <c r="L164" s="1267"/>
      <c r="M164" s="1259" t="s">
        <v>227</v>
      </c>
      <c r="O164" s="1597"/>
      <c r="P164" s="1597"/>
      <c r="Q164" s="1597"/>
      <c r="R164" s="1597"/>
      <c r="S164" s="1597"/>
      <c r="T164" s="1597"/>
      <c r="U164" s="1597"/>
      <c r="V164" s="1597"/>
      <c r="W164" s="1597"/>
      <c r="X164" s="1597"/>
      <c r="Y164" s="1597"/>
    </row>
    <row r="165" spans="1:25" s="1259" customFormat="1" ht="13.2">
      <c r="A165" s="1262" t="str">
        <f t="shared" ref="A165:A166" si="4">CONCATENATE(D165,G165,I165)</f>
        <v>356</v>
      </c>
      <c r="B165" s="1268" t="s">
        <v>541</v>
      </c>
      <c r="C165" s="1228"/>
      <c r="D165" s="1228"/>
      <c r="E165" s="1278"/>
      <c r="F165" s="1278"/>
      <c r="G165" s="1287">
        <v>356</v>
      </c>
      <c r="H165" s="1287"/>
      <c r="I165" s="1228"/>
      <c r="J165" s="1265"/>
      <c r="K165" s="1266">
        <f>IFERROR(VLOOKUP(A165,'WP-BC'!A$18:AG$351,10,FALSE),0)</f>
        <v>0</v>
      </c>
      <c r="L165" s="1267"/>
      <c r="O165" s="1597"/>
      <c r="P165" s="1597"/>
      <c r="Q165" s="1597"/>
      <c r="R165" s="1597"/>
      <c r="S165" s="1597"/>
      <c r="T165" s="1597"/>
      <c r="U165" s="1597"/>
      <c r="V165" s="1597"/>
      <c r="W165" s="1597"/>
      <c r="X165" s="1597"/>
      <c r="Y165" s="1597"/>
    </row>
    <row r="166" spans="1:25" s="1259" customFormat="1" ht="15">
      <c r="A166" s="1262" t="str">
        <f t="shared" si="4"/>
        <v>356</v>
      </c>
      <c r="B166" s="1268" t="s">
        <v>541</v>
      </c>
      <c r="C166" s="1228"/>
      <c r="D166" s="1228"/>
      <c r="E166" s="1278"/>
      <c r="F166" s="1278"/>
      <c r="G166" s="1287">
        <v>356</v>
      </c>
      <c r="H166" s="1287"/>
      <c r="I166" s="1228"/>
      <c r="J166" s="1265"/>
      <c r="K166" s="1269">
        <f>IFERROR(VLOOKUP(A166,'WP-BC'!A$18:AG$358,10,FALSE),0)</f>
        <v>0</v>
      </c>
      <c r="L166" s="1267"/>
      <c r="O166" s="1597"/>
      <c r="P166" s="1597"/>
      <c r="Q166" s="1597"/>
      <c r="R166" s="1597"/>
      <c r="S166" s="1597"/>
      <c r="T166" s="1597"/>
      <c r="U166" s="1597"/>
      <c r="V166" s="1597"/>
      <c r="W166" s="1597"/>
      <c r="X166" s="1597"/>
      <c r="Y166" s="1597"/>
    </row>
    <row r="167" spans="1:25" s="1259" customFormat="1" ht="13.2">
      <c r="A167" s="1262" t="str">
        <f t="shared" si="3"/>
        <v>356</v>
      </c>
      <c r="B167" s="1268">
        <v>31</v>
      </c>
      <c r="D167" s="1271"/>
      <c r="E167" s="1278"/>
      <c r="F167" s="1279"/>
      <c r="G167" s="1287">
        <v>356</v>
      </c>
      <c r="H167" s="1274" t="s">
        <v>275</v>
      </c>
      <c r="I167" s="1265"/>
      <c r="J167" s="1265"/>
      <c r="K167" s="1281">
        <f>SUM(K159:K166)</f>
        <v>5695543.8965864116</v>
      </c>
      <c r="L167" s="1267"/>
      <c r="O167" s="1597"/>
      <c r="P167" s="1597"/>
      <c r="Q167" s="1597"/>
      <c r="R167" s="1597"/>
      <c r="S167" s="1597"/>
      <c r="T167" s="1597"/>
      <c r="U167" s="1597"/>
      <c r="V167" s="1597"/>
      <c r="W167" s="1597"/>
      <c r="X167" s="1597"/>
      <c r="Y167" s="1597"/>
    </row>
    <row r="168" spans="1:25" s="1259" customFormat="1" ht="13.2">
      <c r="A168" s="1262" t="str">
        <f t="shared" si="3"/>
        <v/>
      </c>
      <c r="B168" s="1268" t="s">
        <v>1224</v>
      </c>
      <c r="D168" s="1271"/>
      <c r="E168" s="1278"/>
      <c r="F168" s="1279"/>
      <c r="G168" s="1287"/>
      <c r="H168" s="1265"/>
      <c r="I168" s="1265"/>
      <c r="J168" s="1265"/>
      <c r="K168" s="1266"/>
      <c r="L168" s="1267"/>
      <c r="O168" s="1597"/>
      <c r="P168" s="1597"/>
      <c r="Q168" s="1597"/>
      <c r="R168" s="1597"/>
      <c r="S168" s="1597"/>
      <c r="T168" s="1597"/>
      <c r="U168" s="1597"/>
      <c r="V168" s="1597"/>
      <c r="W168" s="1597"/>
      <c r="X168" s="1597"/>
      <c r="Y168" s="1597"/>
    </row>
    <row r="169" spans="1:25" s="1259" customFormat="1" ht="13.2">
      <c r="A169" s="1262" t="str">
        <f t="shared" si="3"/>
        <v>LONG ISLAND SOUND CABLE357Underground Conduit</v>
      </c>
      <c r="B169" s="1268" t="s">
        <v>1353</v>
      </c>
      <c r="C169" s="1224" t="str">
        <f>CONCATENATE("WP-BC, column 8, line ",VLOOKUP(A169,'WP-BC'!A172:N512, 2, FALSE))</f>
        <v>WP-BC, column 8, line 10n</v>
      </c>
      <c r="D169" s="1225" t="s">
        <v>1892</v>
      </c>
      <c r="E169" s="1278"/>
      <c r="F169" s="1279"/>
      <c r="G169" s="1287">
        <v>357</v>
      </c>
      <c r="H169" s="1265"/>
      <c r="I169" s="1227" t="s">
        <v>73</v>
      </c>
      <c r="J169" s="1265"/>
      <c r="K169" s="1266">
        <f>IFERROR(VLOOKUP(A169,'WP-BC'!A$18:AG$351,10,FALSE),0)</f>
        <v>738351</v>
      </c>
      <c r="L169" s="1267"/>
      <c r="M169" s="1259" t="s">
        <v>227</v>
      </c>
      <c r="O169" s="1597"/>
      <c r="P169" s="1597"/>
      <c r="Q169" s="1597"/>
      <c r="R169" s="1597"/>
      <c r="S169" s="1597"/>
      <c r="T169" s="1597"/>
      <c r="U169" s="1597"/>
      <c r="V169" s="1597"/>
      <c r="W169" s="1597"/>
      <c r="X169" s="1597"/>
      <c r="Y169" s="1597"/>
    </row>
    <row r="170" spans="1:25" s="1259" customFormat="1" ht="13.2">
      <c r="A170" s="1262" t="str">
        <f t="shared" si="3"/>
        <v>MARCY-SOUTH357Underground Conduit</v>
      </c>
      <c r="B170" s="1268" t="s">
        <v>1354</v>
      </c>
      <c r="C170" s="1224" t="str">
        <f>CONCATENATE("WP-BC, column 8, line ",VLOOKUP(A170,'WP-BC'!A173:N513, 2, FALSE))</f>
        <v>WP-BC, column 8, line 10u</v>
      </c>
      <c r="D170" s="1225" t="s">
        <v>1893</v>
      </c>
      <c r="E170" s="1278"/>
      <c r="F170" s="1279"/>
      <c r="G170" s="1287">
        <v>357</v>
      </c>
      <c r="H170" s="1265"/>
      <c r="I170" s="1227" t="s">
        <v>73</v>
      </c>
      <c r="J170" s="1265"/>
      <c r="K170" s="1266">
        <f>IFERROR(VLOOKUP(A170,'WP-BC'!A$18:AG$351,10,FALSE),0)</f>
        <v>544255.6118268508</v>
      </c>
      <c r="L170" s="1267"/>
      <c r="M170" s="1259" t="s">
        <v>227</v>
      </c>
      <c r="O170" s="1597"/>
      <c r="P170" s="1597"/>
      <c r="Q170" s="1597"/>
      <c r="R170" s="1597"/>
      <c r="S170" s="1597"/>
      <c r="T170" s="1597"/>
      <c r="U170" s="1597"/>
      <c r="V170" s="1597"/>
      <c r="W170" s="1597"/>
      <c r="X170" s="1597"/>
      <c r="Y170" s="1597"/>
    </row>
    <row r="171" spans="1:25" s="1259" customFormat="1" ht="13.2">
      <c r="A171" s="1262" t="str">
        <f t="shared" si="3"/>
        <v>St.  LAWRENCE / FDR357Underground Conduit</v>
      </c>
      <c r="B171" s="1268" t="s">
        <v>1355</v>
      </c>
      <c r="C171" s="1224" t="str">
        <f>CONCATENATE("WP-BC, column 8, line ",VLOOKUP(A171,'WP-BC'!A174:N514, 2, FALSE))</f>
        <v>WP-BC, column 8, line 10ap</v>
      </c>
      <c r="D171" s="1225" t="s">
        <v>1895</v>
      </c>
      <c r="E171" s="1278"/>
      <c r="F171" s="1279"/>
      <c r="G171" s="1287">
        <v>357</v>
      </c>
      <c r="H171" s="1265"/>
      <c r="I171" s="1227" t="s">
        <v>73</v>
      </c>
      <c r="J171" s="1265"/>
      <c r="K171" s="1266">
        <f>IFERROR(VLOOKUP(A171,'WP-BC'!A$18:AG$351,10,FALSE),0)</f>
        <v>137.62293835068053</v>
      </c>
      <c r="L171" s="1267"/>
      <c r="M171" s="1259" t="s">
        <v>227</v>
      </c>
      <c r="O171" s="1597"/>
      <c r="P171" s="1597"/>
      <c r="Q171" s="1597"/>
      <c r="R171" s="1597"/>
      <c r="S171" s="1597"/>
      <c r="T171" s="1597"/>
      <c r="U171" s="1597"/>
      <c r="V171" s="1597"/>
      <c r="W171" s="1597"/>
      <c r="X171" s="1597"/>
      <c r="Y171" s="1597"/>
    </row>
    <row r="172" spans="1:25" s="1259" customFormat="1" ht="13.2">
      <c r="A172" s="1262" t="str">
        <f t="shared" si="3"/>
        <v>357</v>
      </c>
      <c r="B172" s="1268" t="s">
        <v>541</v>
      </c>
      <c r="C172" s="1228"/>
      <c r="D172" s="1228"/>
      <c r="E172" s="1278"/>
      <c r="F172" s="1278"/>
      <c r="G172" s="1287">
        <v>357</v>
      </c>
      <c r="H172" s="1287"/>
      <c r="I172" s="1228"/>
      <c r="J172" s="1265"/>
      <c r="K172" s="1266">
        <f>IFERROR(VLOOKUP(A172,'WP-BC'!A$18:AG$351,10,FALSE),0)</f>
        <v>0</v>
      </c>
      <c r="L172" s="1267"/>
      <c r="O172" s="1597"/>
      <c r="P172" s="1597"/>
      <c r="Q172" s="1597"/>
      <c r="R172" s="1597"/>
      <c r="S172" s="1597"/>
      <c r="T172" s="1597"/>
      <c r="U172" s="1597"/>
      <c r="V172" s="1597"/>
      <c r="W172" s="1597"/>
      <c r="X172" s="1597"/>
      <c r="Y172" s="1597"/>
    </row>
    <row r="173" spans="1:25" s="1259" customFormat="1" ht="15">
      <c r="A173" s="1262" t="str">
        <f t="shared" si="3"/>
        <v>357</v>
      </c>
      <c r="B173" s="1268" t="s">
        <v>541</v>
      </c>
      <c r="C173" s="1228"/>
      <c r="D173" s="1228"/>
      <c r="E173" s="1278"/>
      <c r="F173" s="1278"/>
      <c r="G173" s="1287">
        <v>357</v>
      </c>
      <c r="H173" s="1287"/>
      <c r="I173" s="1228"/>
      <c r="J173" s="1265"/>
      <c r="K173" s="1269">
        <f>IFERROR(VLOOKUP(A173,'WP-BC'!A$18:AG$358,10,FALSE),0)</f>
        <v>0</v>
      </c>
      <c r="L173" s="1267"/>
      <c r="O173" s="1597"/>
      <c r="P173" s="1597"/>
      <c r="Q173" s="1597"/>
      <c r="R173" s="1597"/>
      <c r="S173" s="1597"/>
      <c r="T173" s="1597"/>
      <c r="U173" s="1597"/>
      <c r="V173" s="1597"/>
      <c r="W173" s="1597"/>
      <c r="X173" s="1597"/>
      <c r="Y173" s="1597"/>
    </row>
    <row r="174" spans="1:25" s="1259" customFormat="1" ht="13.2">
      <c r="A174" s="1262" t="str">
        <f t="shared" si="3"/>
        <v>357</v>
      </c>
      <c r="B174" s="1268">
        <v>33</v>
      </c>
      <c r="D174" s="1271"/>
      <c r="E174" s="1278"/>
      <c r="F174" s="1279"/>
      <c r="G174" s="1287">
        <v>357</v>
      </c>
      <c r="H174" s="1274" t="s">
        <v>276</v>
      </c>
      <c r="I174" s="1265"/>
      <c r="J174" s="1265"/>
      <c r="K174" s="1281">
        <f>SUM(K169:K173)</f>
        <v>1282744.2347652016</v>
      </c>
      <c r="L174" s="1267"/>
      <c r="O174" s="1597"/>
      <c r="P174" s="1597"/>
      <c r="Q174" s="1597"/>
      <c r="R174" s="1597"/>
      <c r="S174" s="1597"/>
      <c r="T174" s="1597"/>
      <c r="U174" s="1597"/>
      <c r="V174" s="1597"/>
      <c r="W174" s="1597"/>
      <c r="X174" s="1597"/>
      <c r="Y174" s="1597"/>
    </row>
    <row r="175" spans="1:25" s="1259" customFormat="1" ht="13.2">
      <c r="A175" s="1262" t="str">
        <f t="shared" si="3"/>
        <v/>
      </c>
      <c r="B175" s="1268" t="s">
        <v>1224</v>
      </c>
      <c r="D175" s="1271"/>
      <c r="E175" s="1278"/>
      <c r="F175" s="1279"/>
      <c r="G175" s="1287"/>
      <c r="H175" s="1265"/>
      <c r="I175" s="1265"/>
      <c r="J175" s="1265"/>
      <c r="K175" s="1266"/>
      <c r="L175" s="1267"/>
      <c r="O175" s="1597"/>
      <c r="P175" s="1597"/>
      <c r="Q175" s="1597"/>
      <c r="R175" s="1597"/>
      <c r="S175" s="1597"/>
      <c r="T175" s="1597"/>
      <c r="U175" s="1597"/>
      <c r="V175" s="1597"/>
      <c r="W175" s="1597"/>
      <c r="X175" s="1597"/>
      <c r="Y175" s="1597"/>
    </row>
    <row r="176" spans="1:25" s="1259" customFormat="1" ht="13.2">
      <c r="A176" s="1262" t="str">
        <f t="shared" si="3"/>
        <v>LONG ISLAND SOUND CABLE358Underground Conductors &amp; Devices</v>
      </c>
      <c r="B176" s="1268" t="s">
        <v>1356</v>
      </c>
      <c r="C176" s="1224" t="str">
        <f>CONCATENATE("WP-BC, column 8, line ",VLOOKUP(A176,'WP-BC'!A179:N519, 2, FALSE))</f>
        <v>WP-BC, column 8, line 10o</v>
      </c>
      <c r="D176" s="1225" t="s">
        <v>1892</v>
      </c>
      <c r="E176" s="1278"/>
      <c r="F176" s="1279"/>
      <c r="G176" s="1287">
        <v>358</v>
      </c>
      <c r="H176" s="1265"/>
      <c r="I176" s="1227" t="s">
        <v>74</v>
      </c>
      <c r="J176" s="1265"/>
      <c r="K176" s="1266">
        <f>IFERROR(VLOOKUP(A176,'WP-BC'!A$18:AG$351,10,FALSE),0)</f>
        <v>2759063</v>
      </c>
      <c r="L176" s="1267"/>
      <c r="M176" s="1259" t="s">
        <v>227</v>
      </c>
      <c r="O176" s="1597"/>
      <c r="P176" s="1597"/>
      <c r="Q176" s="1597"/>
      <c r="R176" s="1597"/>
      <c r="S176" s="1597"/>
      <c r="T176" s="1597"/>
      <c r="U176" s="1597"/>
      <c r="V176" s="1597"/>
      <c r="W176" s="1597"/>
      <c r="X176" s="1597"/>
      <c r="Y176" s="1597"/>
    </row>
    <row r="177" spans="1:25" s="1259" customFormat="1" ht="13.2">
      <c r="A177" s="1262" t="str">
        <f t="shared" si="3"/>
        <v>MARCY-SOUTH358Underground Conductors &amp; Devices</v>
      </c>
      <c r="B177" s="1268" t="s">
        <v>1357</v>
      </c>
      <c r="C177" s="1224" t="str">
        <f>CONCATENATE("WP-BC, column 8, line ",VLOOKUP(A177,'WP-BC'!A180:N520, 2, FALSE))</f>
        <v>WP-BC, column 8, line 10v</v>
      </c>
      <c r="D177" s="1225" t="s">
        <v>1893</v>
      </c>
      <c r="E177" s="1278"/>
      <c r="F177" s="1279"/>
      <c r="G177" s="1287">
        <v>358</v>
      </c>
      <c r="H177" s="1265"/>
      <c r="I177" s="1227" t="s">
        <v>74</v>
      </c>
      <c r="J177" s="1265"/>
      <c r="K177" s="1266">
        <f>IFERROR(VLOOKUP(A177,'WP-BC'!A$18:AG$351,10,FALSE),0)</f>
        <v>201783.45559901505</v>
      </c>
      <c r="L177" s="1267"/>
      <c r="M177" s="1259" t="s">
        <v>227</v>
      </c>
      <c r="O177" s="1597"/>
      <c r="P177" s="1597"/>
      <c r="Q177" s="1597"/>
      <c r="R177" s="1597"/>
      <c r="S177" s="1597"/>
      <c r="T177" s="1597"/>
      <c r="U177" s="1597"/>
      <c r="V177" s="1597"/>
      <c r="W177" s="1597"/>
      <c r="X177" s="1597"/>
      <c r="Y177" s="1597"/>
    </row>
    <row r="178" spans="1:25" s="1259" customFormat="1" ht="13.2">
      <c r="A178" s="1262" t="str">
        <f t="shared" si="3"/>
        <v>St.  LAWRENCE / FDR358Underground Conductors &amp; Devices</v>
      </c>
      <c r="B178" s="1268" t="s">
        <v>1358</v>
      </c>
      <c r="C178" s="1224" t="str">
        <f>CONCATENATE("WP-BC, column 8, line ",VLOOKUP(A178,'WP-BC'!A181:N521, 2, FALSE))</f>
        <v>WP-BC, column 8, line 10aq</v>
      </c>
      <c r="D178" s="1225" t="s">
        <v>1895</v>
      </c>
      <c r="E178" s="1278"/>
      <c r="F178" s="1279"/>
      <c r="G178" s="1287">
        <v>358</v>
      </c>
      <c r="H178" s="1265"/>
      <c r="I178" s="1227" t="s">
        <v>74</v>
      </c>
      <c r="J178" s="1265"/>
      <c r="K178" s="1266">
        <f>IFERROR(VLOOKUP(A178,'WP-BC'!A$18:AG$351,10,FALSE),0)</f>
        <v>486041.53604483587</v>
      </c>
      <c r="L178" s="1267"/>
      <c r="M178" s="1259" t="s">
        <v>227</v>
      </c>
      <c r="O178" s="1597"/>
      <c r="P178" s="1597"/>
      <c r="Q178" s="1597"/>
      <c r="R178" s="1597"/>
      <c r="S178" s="1597"/>
      <c r="T178" s="1597"/>
      <c r="U178" s="1597"/>
      <c r="V178" s="1597"/>
      <c r="W178" s="1597"/>
      <c r="X178" s="1597"/>
      <c r="Y178" s="1597"/>
    </row>
    <row r="179" spans="1:25" s="1259" customFormat="1" ht="13.2">
      <c r="A179" s="1262" t="str">
        <f t="shared" ref="A179:A180" si="5">CONCATENATE(D179,G179,I179)</f>
        <v>358</v>
      </c>
      <c r="B179" s="1268" t="s">
        <v>541</v>
      </c>
      <c r="C179" s="1228"/>
      <c r="D179" s="1228"/>
      <c r="E179" s="1278"/>
      <c r="F179" s="1278"/>
      <c r="G179" s="1287">
        <v>358</v>
      </c>
      <c r="H179" s="1287"/>
      <c r="I179" s="1228"/>
      <c r="J179" s="1265"/>
      <c r="K179" s="1266">
        <f>IFERROR(VLOOKUP(A179,'WP-BC'!A$18:AG$351,10,FALSE),0)</f>
        <v>0</v>
      </c>
      <c r="L179" s="1267"/>
      <c r="O179" s="1597"/>
      <c r="P179" s="1597"/>
      <c r="Q179" s="1597"/>
      <c r="R179" s="1597"/>
      <c r="S179" s="1597"/>
      <c r="T179" s="1597"/>
      <c r="U179" s="1597"/>
      <c r="V179" s="1597"/>
      <c r="W179" s="1597"/>
      <c r="X179" s="1597"/>
      <c r="Y179" s="1597"/>
    </row>
    <row r="180" spans="1:25" s="1259" customFormat="1" ht="15">
      <c r="A180" s="1262" t="str">
        <f t="shared" si="5"/>
        <v>358</v>
      </c>
      <c r="B180" s="1268" t="s">
        <v>541</v>
      </c>
      <c r="C180" s="1228"/>
      <c r="D180" s="1228"/>
      <c r="E180" s="1278"/>
      <c r="F180" s="1278"/>
      <c r="G180" s="1287">
        <v>358</v>
      </c>
      <c r="H180" s="1287"/>
      <c r="I180" s="1228"/>
      <c r="J180" s="1265"/>
      <c r="K180" s="1269">
        <f>IFERROR(VLOOKUP(A180,'WP-BC'!A$18:AG$358,10,FALSE),0)</f>
        <v>0</v>
      </c>
      <c r="L180" s="1267"/>
      <c r="O180" s="1597"/>
      <c r="P180" s="1597"/>
      <c r="Q180" s="1597"/>
      <c r="R180" s="1597"/>
      <c r="S180" s="1597"/>
      <c r="T180" s="1597"/>
      <c r="U180" s="1597"/>
      <c r="V180" s="1597"/>
      <c r="W180" s="1597"/>
      <c r="X180" s="1597"/>
      <c r="Y180" s="1597"/>
    </row>
    <row r="181" spans="1:25" s="1259" customFormat="1" ht="13.2">
      <c r="A181" s="1262" t="str">
        <f t="shared" si="3"/>
        <v>358</v>
      </c>
      <c r="B181" s="1268">
        <v>35</v>
      </c>
      <c r="D181" s="1271"/>
      <c r="E181" s="1278"/>
      <c r="F181" s="1279"/>
      <c r="G181" s="1287">
        <v>358</v>
      </c>
      <c r="H181" s="1274" t="s">
        <v>277</v>
      </c>
      <c r="I181" s="1274"/>
      <c r="J181" s="1265"/>
      <c r="K181" s="1281">
        <f>SUM(K176:K180)</f>
        <v>3446887.9916438512</v>
      </c>
      <c r="L181" s="1267"/>
      <c r="O181" s="1597"/>
      <c r="P181" s="1597"/>
      <c r="Q181" s="1597"/>
      <c r="R181" s="1597"/>
      <c r="S181" s="1597"/>
      <c r="T181" s="1597"/>
      <c r="U181" s="1597"/>
      <c r="V181" s="1597"/>
      <c r="W181" s="1597"/>
      <c r="X181" s="1597"/>
      <c r="Y181" s="1597"/>
    </row>
    <row r="182" spans="1:25" s="1259" customFormat="1" ht="13.2">
      <c r="A182" s="1262" t="str">
        <f t="shared" si="3"/>
        <v/>
      </c>
      <c r="B182" s="1268" t="s">
        <v>1224</v>
      </c>
      <c r="D182" s="1271"/>
      <c r="E182" s="1278"/>
      <c r="F182" s="1279"/>
      <c r="G182" s="1287"/>
      <c r="H182" s="1265"/>
      <c r="I182" s="1265"/>
      <c r="J182" s="1265"/>
      <c r="K182" s="1266"/>
      <c r="L182" s="1267"/>
      <c r="O182" s="1597"/>
      <c r="P182" s="1597"/>
      <c r="Q182" s="1597"/>
      <c r="R182" s="1597"/>
      <c r="S182" s="1597"/>
      <c r="T182" s="1597"/>
      <c r="U182" s="1597"/>
      <c r="V182" s="1597"/>
      <c r="W182" s="1597"/>
      <c r="X182" s="1597"/>
      <c r="Y182" s="1597"/>
    </row>
    <row r="183" spans="1:25" s="1259" customFormat="1" ht="13.2">
      <c r="A183" s="1262" t="str">
        <f t="shared" si="3"/>
        <v>BLENHEIM - GILBOA359Roads &amp; Trails</v>
      </c>
      <c r="B183" s="1268" t="s">
        <v>1359</v>
      </c>
      <c r="C183" s="1224" t="str">
        <f>CONCATENATE("WP-BC, column 8, line ",VLOOKUP(A183,'WP-BC'!A169:N526, 2, FALSE))</f>
        <v>WP-BC, column 8, line 10f</v>
      </c>
      <c r="D183" s="1225" t="s">
        <v>1889</v>
      </c>
      <c r="E183" s="1278"/>
      <c r="F183" s="1279"/>
      <c r="G183" s="1287">
        <v>359</v>
      </c>
      <c r="H183" s="1265"/>
      <c r="I183" s="1231" t="s">
        <v>75</v>
      </c>
      <c r="J183" s="1265"/>
      <c r="K183" s="1266">
        <f>IFERROR(VLOOKUP(A183,'WP-BC'!A$18:AG$351,10,FALSE),0)</f>
        <v>7666.4594072164946</v>
      </c>
      <c r="L183" s="1267"/>
      <c r="M183" s="1259" t="s">
        <v>227</v>
      </c>
      <c r="O183" s="1597"/>
      <c r="P183" s="1597"/>
      <c r="Q183" s="1597"/>
      <c r="R183" s="1597"/>
      <c r="S183" s="1597"/>
      <c r="T183" s="1597"/>
      <c r="U183" s="1597"/>
      <c r="V183" s="1597"/>
      <c r="W183" s="1597"/>
      <c r="X183" s="1597"/>
      <c r="Y183" s="1597"/>
    </row>
    <row r="184" spans="1:25" s="1259" customFormat="1" ht="13.2">
      <c r="A184" s="1262" t="str">
        <f t="shared" si="3"/>
        <v>J. A. FITZPATRICK359Roads &amp; Trails</v>
      </c>
      <c r="B184" s="1268" t="s">
        <v>1360</v>
      </c>
      <c r="C184" s="1224" t="str">
        <f>CONCATENATE("WP-BC, column 8, line ",VLOOKUP(A184,'WP-BC'!A170:N527, 2, FALSE))</f>
        <v>WP-BC, column 8, line 10k</v>
      </c>
      <c r="D184" s="1225" t="s">
        <v>1891</v>
      </c>
      <c r="E184" s="1278"/>
      <c r="F184" s="1279"/>
      <c r="G184" s="1287">
        <v>359</v>
      </c>
      <c r="H184" s="1265"/>
      <c r="I184" s="1231" t="s">
        <v>75</v>
      </c>
      <c r="J184" s="1265"/>
      <c r="K184" s="1266">
        <f>IFERROR(VLOOKUP(A184,'WP-BC'!A$18:AG$351,10,FALSE),0)</f>
        <v>995.90241147077961</v>
      </c>
      <c r="L184" s="1267"/>
      <c r="M184" s="1259" t="s">
        <v>227</v>
      </c>
      <c r="O184" s="1597"/>
      <c r="P184" s="1597"/>
      <c r="Q184" s="1597"/>
      <c r="R184" s="1597"/>
      <c r="S184" s="1597"/>
      <c r="T184" s="1597"/>
      <c r="U184" s="1597"/>
      <c r="V184" s="1597"/>
      <c r="W184" s="1597"/>
      <c r="X184" s="1597"/>
      <c r="Y184" s="1597"/>
    </row>
    <row r="185" spans="1:25" s="1259" customFormat="1" ht="13.2">
      <c r="A185" s="1262" t="str">
        <f t="shared" si="3"/>
        <v>MARCY-SOUTH359Roads &amp; Trails</v>
      </c>
      <c r="B185" s="1268" t="s">
        <v>1361</v>
      </c>
      <c r="C185" s="1224" t="str">
        <f>CONCATENATE("WP-BC, column 8, line ",VLOOKUP(A185,'WP-BC'!A188:N528, 2, FALSE))</f>
        <v>WP-BC, column 8, line 10w</v>
      </c>
      <c r="D185" s="1225" t="s">
        <v>1893</v>
      </c>
      <c r="E185" s="1278"/>
      <c r="F185" s="1279"/>
      <c r="G185" s="1287">
        <v>359</v>
      </c>
      <c r="H185" s="1265"/>
      <c r="I185" s="1227" t="s">
        <v>75</v>
      </c>
      <c r="J185" s="1265"/>
      <c r="K185" s="1266">
        <f>IFERROR(VLOOKUP(A185,'WP-BC'!A$18:AG$351,10,FALSE),0)</f>
        <v>201148</v>
      </c>
      <c r="L185" s="1267"/>
      <c r="M185" s="1259" t="s">
        <v>227</v>
      </c>
      <c r="O185" s="1597"/>
      <c r="P185" s="1597"/>
      <c r="Q185" s="1597"/>
      <c r="R185" s="1597"/>
      <c r="S185" s="1597"/>
      <c r="T185" s="1597"/>
      <c r="U185" s="1597"/>
      <c r="V185" s="1597"/>
      <c r="W185" s="1597"/>
      <c r="X185" s="1597"/>
      <c r="Y185" s="1597"/>
    </row>
    <row r="186" spans="1:25" s="1259" customFormat="1" ht="13.2">
      <c r="A186" s="1262" t="str">
        <f t="shared" si="3"/>
        <v>MASSENA - MARCY  (Clark)359Roads &amp; Trails</v>
      </c>
      <c r="B186" s="1268" t="s">
        <v>1362</v>
      </c>
      <c r="C186" s="1224" t="str">
        <f>CONCATENATE("WP-BC, column 8, line ",VLOOKUP(A186,'WP-BC'!A189:N529, 2, FALSE))</f>
        <v>WP-BC, column 8, line 10ad</v>
      </c>
      <c r="D186" s="1225" t="s">
        <v>1894</v>
      </c>
      <c r="E186" s="1278"/>
      <c r="F186" s="1279"/>
      <c r="G186" s="1287">
        <v>359</v>
      </c>
      <c r="H186" s="1265"/>
      <c r="I186" s="1227" t="s">
        <v>75</v>
      </c>
      <c r="J186" s="1265"/>
      <c r="K186" s="1266">
        <f>IFERROR(VLOOKUP(A186,'WP-BC'!A$18:AG$351,10,FALSE),0)</f>
        <v>37248</v>
      </c>
      <c r="L186" s="1267"/>
      <c r="M186" s="1259" t="s">
        <v>227</v>
      </c>
      <c r="O186" s="1597"/>
      <c r="P186" s="1597"/>
      <c r="Q186" s="1597"/>
      <c r="R186" s="1597"/>
      <c r="S186" s="1597"/>
      <c r="T186" s="1597"/>
      <c r="U186" s="1597"/>
      <c r="V186" s="1597"/>
      <c r="W186" s="1597"/>
      <c r="X186" s="1597"/>
      <c r="Y186" s="1597"/>
    </row>
    <row r="187" spans="1:25" s="1259" customFormat="1" ht="13.2">
      <c r="A187" s="1262" t="str">
        <f t="shared" si="3"/>
        <v>NIAGARA359Roads &amp; Trails</v>
      </c>
      <c r="B187" s="1268" t="s">
        <v>1363</v>
      </c>
      <c r="C187" s="1224" t="str">
        <f>CONCATENATE("WP-BC, column 8, line ",VLOOKUP(A187,'WP-BC'!A190:N530, 2, FALSE))</f>
        <v>WP-BC, column 8, line 10aj</v>
      </c>
      <c r="D187" s="1225" t="s">
        <v>30</v>
      </c>
      <c r="E187" s="1278"/>
      <c r="F187" s="1279"/>
      <c r="G187" s="1287">
        <v>359</v>
      </c>
      <c r="H187" s="1265"/>
      <c r="I187" s="1227" t="s">
        <v>75</v>
      </c>
      <c r="J187" s="1265"/>
      <c r="K187" s="1266">
        <f>IFERROR(VLOOKUP(A187,'WP-BC'!A$18:AG$351,10,FALSE),0)</f>
        <v>326.67835616438322</v>
      </c>
      <c r="L187" s="1267"/>
      <c r="M187" s="1259" t="s">
        <v>227</v>
      </c>
      <c r="O187" s="1597"/>
      <c r="P187" s="1597"/>
      <c r="Q187" s="1597"/>
      <c r="R187" s="1597"/>
      <c r="S187" s="1597"/>
      <c r="T187" s="1597"/>
      <c r="U187" s="1597"/>
      <c r="V187" s="1597"/>
      <c r="W187" s="1597"/>
      <c r="X187" s="1597"/>
      <c r="Y187" s="1597"/>
    </row>
    <row r="188" spans="1:25" s="1259" customFormat="1" ht="13.2">
      <c r="A188" s="1262" t="str">
        <f t="shared" si="3"/>
        <v>St.  LAWRENCE / FDR359Roads &amp; Trails</v>
      </c>
      <c r="B188" s="1268" t="s">
        <v>1364</v>
      </c>
      <c r="C188" s="1224" t="str">
        <f>CONCATENATE("WP-BC, column 8, line ",VLOOKUP(A188,'WP-BC'!A191:N531, 2, FALSE))</f>
        <v>WP-BC, column 8, line 10ar</v>
      </c>
      <c r="D188" s="1225" t="s">
        <v>1895</v>
      </c>
      <c r="E188" s="1278"/>
      <c r="F188" s="1279"/>
      <c r="G188" s="1287">
        <v>359</v>
      </c>
      <c r="H188" s="1265"/>
      <c r="I188" s="1227" t="s">
        <v>75</v>
      </c>
      <c r="J188" s="1265"/>
      <c r="K188" s="1266">
        <f>IFERROR(VLOOKUP(A188,'WP-BC'!A$18:AG$351,10,FALSE),0)</f>
        <v>152464.30206565253</v>
      </c>
      <c r="L188" s="1267"/>
      <c r="M188" s="1259" t="s">
        <v>227</v>
      </c>
      <c r="O188" s="1597"/>
      <c r="P188" s="1597"/>
      <c r="Q188" s="1597"/>
      <c r="R188" s="1597"/>
      <c r="S188" s="1597"/>
      <c r="T188" s="1597"/>
      <c r="U188" s="1597"/>
      <c r="V188" s="1597"/>
      <c r="W188" s="1597"/>
      <c r="X188" s="1597"/>
      <c r="Y188" s="1597"/>
    </row>
    <row r="189" spans="1:25" s="1259" customFormat="1" ht="13.2">
      <c r="A189" s="1262" t="str">
        <f t="shared" si="3"/>
        <v>359</v>
      </c>
      <c r="B189" s="1268" t="s">
        <v>541</v>
      </c>
      <c r="C189" s="1228"/>
      <c r="D189" s="1228"/>
      <c r="E189" s="1278"/>
      <c r="F189" s="1278"/>
      <c r="G189" s="1287">
        <v>359</v>
      </c>
      <c r="H189" s="1287"/>
      <c r="I189" s="1228"/>
      <c r="J189" s="1265"/>
      <c r="K189" s="1266">
        <f>IFERROR(VLOOKUP(A189,'WP-BC'!A$18:AG$351,10,FALSE),0)</f>
        <v>0</v>
      </c>
      <c r="L189" s="1267"/>
      <c r="O189" s="1597"/>
      <c r="P189" s="1597"/>
      <c r="Q189" s="1597"/>
      <c r="R189" s="1597"/>
      <c r="S189" s="1597"/>
      <c r="T189" s="1597"/>
      <c r="U189" s="1597"/>
      <c r="V189" s="1597"/>
      <c r="W189" s="1597"/>
      <c r="X189" s="1597"/>
      <c r="Y189" s="1597"/>
    </row>
    <row r="190" spans="1:25" s="1259" customFormat="1" ht="15">
      <c r="A190" s="1262" t="str">
        <f t="shared" si="3"/>
        <v>359</v>
      </c>
      <c r="B190" s="1268" t="s">
        <v>541</v>
      </c>
      <c r="C190" s="1228"/>
      <c r="D190" s="1228"/>
      <c r="E190" s="1278"/>
      <c r="F190" s="1278"/>
      <c r="G190" s="1287">
        <v>359</v>
      </c>
      <c r="H190" s="1287"/>
      <c r="I190" s="1228"/>
      <c r="J190" s="1265"/>
      <c r="K190" s="1269">
        <f>IFERROR(VLOOKUP(A190,'WP-BC'!A$18:AG$358,10,FALSE),0)</f>
        <v>0</v>
      </c>
      <c r="L190" s="1267"/>
      <c r="O190" s="1597"/>
      <c r="P190" s="1597"/>
      <c r="Q190" s="1597"/>
      <c r="R190" s="1597"/>
      <c r="S190" s="1597"/>
      <c r="T190" s="1597"/>
      <c r="U190" s="1597"/>
      <c r="V190" s="1597"/>
      <c r="W190" s="1597"/>
      <c r="X190" s="1597"/>
      <c r="Y190" s="1597"/>
    </row>
    <row r="191" spans="1:25" s="1259" customFormat="1" ht="13.2">
      <c r="A191" s="1262" t="str">
        <f t="shared" si="3"/>
        <v>359</v>
      </c>
      <c r="B191" s="1268">
        <v>37</v>
      </c>
      <c r="D191" s="1285"/>
      <c r="G191" s="1287">
        <v>359</v>
      </c>
      <c r="H191" s="1274" t="s">
        <v>278</v>
      </c>
      <c r="I191" s="1274"/>
      <c r="K191" s="1281">
        <f>SUM(K183:K190)</f>
        <v>399849.34224050422</v>
      </c>
      <c r="O191" s="1597"/>
      <c r="P191" s="1597"/>
      <c r="Q191" s="1597"/>
      <c r="R191" s="1597"/>
      <c r="S191" s="1597"/>
      <c r="T191" s="1597"/>
      <c r="U191" s="1597"/>
      <c r="V191" s="1597"/>
      <c r="W191" s="1597"/>
      <c r="X191" s="1597"/>
      <c r="Y191" s="1597"/>
    </row>
    <row r="192" spans="1:25" s="1259" customFormat="1" ht="13.2">
      <c r="A192" s="1262" t="str">
        <f t="shared" si="3"/>
        <v/>
      </c>
      <c r="B192" s="1270" t="s">
        <v>1224</v>
      </c>
      <c r="D192" s="1285"/>
      <c r="G192" s="1287"/>
      <c r="H192" s="1265"/>
      <c r="I192" s="1265"/>
      <c r="K192" s="1281"/>
      <c r="O192" s="1597"/>
      <c r="P192" s="1597"/>
      <c r="Q192" s="1597"/>
      <c r="R192" s="1597"/>
      <c r="S192" s="1597"/>
      <c r="T192" s="1597"/>
      <c r="U192" s="1597"/>
      <c r="V192" s="1597"/>
      <c r="W192" s="1597"/>
      <c r="X192" s="1597"/>
      <c r="Y192" s="1597"/>
    </row>
    <row r="193" spans="1:25" s="1259" customFormat="1" ht="15.6">
      <c r="A193" s="1262" t="str">
        <f t="shared" si="3"/>
        <v/>
      </c>
      <c r="B193" s="1268">
        <v>38</v>
      </c>
      <c r="C193" s="1258" t="s">
        <v>279</v>
      </c>
      <c r="D193" s="1285"/>
      <c r="G193" s="1260"/>
      <c r="K193" s="1281">
        <f>K191+K181+K174+K167+K157+K148+K138+K126</f>
        <v>41773001.670000002</v>
      </c>
      <c r="O193" s="1597"/>
      <c r="P193" s="1597"/>
      <c r="Q193" s="1597"/>
      <c r="R193" s="1597"/>
      <c r="S193" s="1597"/>
      <c r="T193" s="1597"/>
      <c r="U193" s="1597"/>
      <c r="V193" s="1597"/>
      <c r="W193" s="1597"/>
      <c r="X193" s="1597"/>
      <c r="Y193" s="1597"/>
    </row>
    <row r="194" spans="1:25" s="1259" customFormat="1" ht="15.6">
      <c r="A194" s="1257"/>
      <c r="C194" s="1258"/>
      <c r="D194" s="1285"/>
      <c r="G194" s="1260"/>
      <c r="K194" s="1281"/>
      <c r="O194" s="1597"/>
      <c r="P194" s="1597"/>
      <c r="Q194" s="1597"/>
      <c r="R194" s="1596"/>
      <c r="S194" s="1596"/>
      <c r="T194" s="1597"/>
      <c r="U194" s="1597"/>
      <c r="V194" s="1597"/>
      <c r="W194" s="1597"/>
      <c r="X194" s="1597"/>
      <c r="Y194" s="1597"/>
    </row>
    <row r="195" spans="1:25" s="1238" customFormat="1" ht="15.6">
      <c r="A195" s="1237"/>
      <c r="C195" s="1240"/>
      <c r="D195" s="1254"/>
      <c r="G195" s="1255"/>
      <c r="K195" s="1288"/>
      <c r="O195" s="1596"/>
      <c r="P195" s="1596"/>
      <c r="Q195" s="1596"/>
      <c r="R195" s="1596"/>
      <c r="S195" s="1596"/>
      <c r="T195" s="1596"/>
      <c r="U195" s="1596"/>
      <c r="V195" s="1596"/>
      <c r="W195" s="1596"/>
      <c r="X195" s="1596"/>
      <c r="Y195" s="1596"/>
    </row>
    <row r="196" spans="1:25" s="1238" customFormat="1" ht="15.6">
      <c r="A196" s="1237"/>
      <c r="C196" s="1240"/>
      <c r="D196" s="1254"/>
      <c r="G196" s="1255"/>
      <c r="K196" s="1288"/>
      <c r="O196" s="1596"/>
      <c r="P196" s="1596"/>
      <c r="Q196" s="1596"/>
      <c r="R196" s="1596"/>
      <c r="S196" s="1596"/>
      <c r="T196" s="1596"/>
      <c r="U196" s="1596"/>
      <c r="V196" s="1596"/>
      <c r="W196" s="1596"/>
      <c r="X196" s="1596"/>
      <c r="Y196" s="1596"/>
    </row>
    <row r="197" spans="1:25" s="1238" customFormat="1" ht="15.6">
      <c r="A197" s="1237"/>
      <c r="C197" s="1240"/>
      <c r="D197" s="1254"/>
      <c r="G197" s="1255"/>
      <c r="K197" s="1288"/>
      <c r="O197" s="1596"/>
      <c r="P197" s="1596"/>
      <c r="Q197" s="1596"/>
      <c r="R197" s="1596"/>
      <c r="S197" s="1596"/>
      <c r="T197" s="1596"/>
      <c r="U197" s="1596"/>
      <c r="V197" s="1596"/>
      <c r="W197" s="1596"/>
      <c r="X197" s="1596"/>
      <c r="Y197" s="1596"/>
    </row>
    <row r="198" spans="1:25" s="1238" customFormat="1" ht="15.6">
      <c r="A198" s="1237"/>
      <c r="C198" s="1240"/>
      <c r="D198" s="1254"/>
      <c r="G198" s="1255"/>
      <c r="K198" s="1288"/>
      <c r="O198" s="1596"/>
      <c r="P198" s="1596"/>
      <c r="Q198" s="1596"/>
      <c r="R198" s="1596"/>
      <c r="S198" s="1596"/>
      <c r="T198" s="1596"/>
      <c r="U198" s="1596"/>
      <c r="V198" s="1596"/>
      <c r="W198" s="1596"/>
      <c r="X198" s="1596"/>
      <c r="Y198" s="1596"/>
    </row>
    <row r="199" spans="1:25" s="1238" customFormat="1" ht="13.8">
      <c r="A199" s="1237"/>
      <c r="D199" s="1254"/>
      <c r="G199" s="1255"/>
      <c r="K199" s="1289"/>
      <c r="O199" s="1596"/>
      <c r="P199" s="1596"/>
      <c r="Q199" s="1596"/>
      <c r="R199" s="1596"/>
      <c r="S199" s="1596"/>
      <c r="T199" s="1596"/>
      <c r="U199" s="1596"/>
      <c r="V199" s="1596"/>
      <c r="W199" s="1596"/>
      <c r="X199" s="1596"/>
      <c r="Y199" s="1596"/>
    </row>
    <row r="200" spans="1:25" s="1238" customFormat="1" ht="13.8">
      <c r="A200" s="1237"/>
      <c r="D200" s="1254"/>
      <c r="G200" s="1255"/>
      <c r="K200" s="1289"/>
      <c r="O200" s="1596"/>
      <c r="P200" s="1596"/>
      <c r="Q200" s="1596"/>
      <c r="R200" s="1596"/>
      <c r="S200" s="1596"/>
      <c r="T200" s="1596"/>
      <c r="U200" s="1596"/>
      <c r="V200" s="1596"/>
      <c r="W200" s="1596"/>
      <c r="X200" s="1596"/>
      <c r="Y200" s="1596"/>
    </row>
    <row r="201" spans="1:25" s="1238" customFormat="1" ht="13.8">
      <c r="A201" s="1237"/>
      <c r="D201" s="1254"/>
      <c r="G201" s="1255"/>
      <c r="K201" s="1289"/>
      <c r="O201" s="1596"/>
      <c r="P201" s="1596"/>
      <c r="Q201" s="1596"/>
      <c r="R201" s="1606"/>
      <c r="S201" s="1606"/>
      <c r="T201" s="1596"/>
      <c r="U201" s="1596"/>
      <c r="V201" s="1596"/>
      <c r="W201" s="1596"/>
      <c r="X201" s="1596"/>
      <c r="Y201" s="1596"/>
    </row>
    <row r="202" spans="1:25" s="1141" customFormat="1" ht="18">
      <c r="A202" s="1290"/>
      <c r="D202" s="145"/>
      <c r="E202" s="72"/>
      <c r="F202" s="72"/>
      <c r="G202" s="76"/>
      <c r="H202" s="72"/>
      <c r="I202" s="72"/>
      <c r="J202" s="72"/>
      <c r="K202" s="626"/>
      <c r="L202" s="72"/>
      <c r="M202" s="72"/>
      <c r="N202" s="72"/>
      <c r="O202" s="1606"/>
      <c r="P202" s="1606"/>
      <c r="Q202" s="1606"/>
      <c r="R202" s="1606"/>
      <c r="S202" s="1606"/>
      <c r="T202" s="1606"/>
      <c r="U202" s="1606"/>
      <c r="V202" s="1606"/>
      <c r="W202" s="1606"/>
      <c r="X202" s="1606"/>
      <c r="Y202" s="1606"/>
    </row>
    <row r="203" spans="1:25" s="1141" customFormat="1" ht="18">
      <c r="A203" s="1290"/>
      <c r="D203" s="145"/>
      <c r="E203" s="72"/>
      <c r="F203" s="72"/>
      <c r="G203" s="76"/>
      <c r="H203" s="72"/>
      <c r="I203" s="72"/>
      <c r="J203" s="72"/>
      <c r="K203" s="626"/>
      <c r="M203" s="72"/>
      <c r="N203" s="72"/>
      <c r="O203" s="1606"/>
      <c r="P203" s="1606"/>
      <c r="Q203" s="1606"/>
      <c r="R203" s="1606"/>
      <c r="S203" s="1606"/>
      <c r="T203" s="1606"/>
      <c r="U203" s="1606"/>
      <c r="V203" s="1606"/>
      <c r="W203" s="1606"/>
      <c r="X203" s="1606"/>
      <c r="Y203" s="1606"/>
    </row>
    <row r="204" spans="1:25" s="1141" customFormat="1" ht="18">
      <c r="A204" s="1290"/>
      <c r="D204" s="145"/>
      <c r="E204" s="72"/>
      <c r="F204" s="72"/>
      <c r="G204" s="76"/>
      <c r="H204" s="72"/>
      <c r="I204" s="72"/>
      <c r="J204" s="72"/>
      <c r="K204" s="626"/>
      <c r="M204" s="72"/>
      <c r="N204" s="72"/>
      <c r="O204" s="1606"/>
      <c r="P204" s="1606"/>
      <c r="Q204" s="1606"/>
      <c r="R204" s="1606"/>
      <c r="S204" s="1606"/>
      <c r="T204" s="1606"/>
      <c r="U204" s="1606"/>
      <c r="V204" s="1606"/>
      <c r="W204" s="1606"/>
      <c r="X204" s="1606"/>
      <c r="Y204" s="1606"/>
    </row>
    <row r="205" spans="1:25" s="1141" customFormat="1" ht="18">
      <c r="A205" s="1290"/>
      <c r="D205" s="145"/>
      <c r="E205" s="72"/>
      <c r="F205" s="72"/>
      <c r="G205" s="72"/>
      <c r="H205" s="72"/>
      <c r="I205" s="72"/>
      <c r="J205" s="72"/>
      <c r="K205" s="626"/>
      <c r="M205" s="76"/>
      <c r="N205" s="72"/>
      <c r="O205" s="1606"/>
      <c r="P205" s="1606"/>
      <c r="Q205" s="1606"/>
      <c r="R205" s="1606"/>
      <c r="S205" s="1606"/>
      <c r="T205" s="1606"/>
      <c r="U205" s="1606"/>
      <c r="V205" s="1606"/>
      <c r="W205" s="1606"/>
      <c r="X205" s="1606"/>
      <c r="Y205" s="1606"/>
    </row>
    <row r="206" spans="1:25" s="1141" customFormat="1" ht="18">
      <c r="A206" s="1290"/>
      <c r="D206" s="145"/>
      <c r="E206" s="72"/>
      <c r="F206" s="72"/>
      <c r="G206" s="72"/>
      <c r="H206" s="72"/>
      <c r="I206" s="72"/>
      <c r="J206" s="72"/>
      <c r="K206" s="626"/>
      <c r="L206" s="76"/>
      <c r="M206" s="76"/>
      <c r="N206" s="72"/>
      <c r="O206" s="1606"/>
      <c r="P206" s="1606"/>
      <c r="Q206" s="1606"/>
      <c r="R206" s="1606"/>
      <c r="S206" s="1606"/>
      <c r="T206" s="1606"/>
      <c r="U206" s="1606"/>
      <c r="V206" s="1606"/>
      <c r="W206" s="1606"/>
      <c r="X206" s="1606"/>
      <c r="Y206" s="1606"/>
    </row>
    <row r="207" spans="1:25" s="1141" customFormat="1" ht="18">
      <c r="A207" s="1290"/>
      <c r="D207" s="145"/>
      <c r="E207" s="72"/>
      <c r="F207" s="77"/>
      <c r="G207" s="72"/>
      <c r="H207" s="72"/>
      <c r="I207" s="72"/>
      <c r="J207" s="77"/>
      <c r="K207" s="626"/>
      <c r="L207" s="77"/>
      <c r="M207" s="77"/>
      <c r="N207" s="72"/>
      <c r="O207" s="1606"/>
      <c r="P207" s="1606"/>
      <c r="Q207" s="1606"/>
      <c r="R207" s="1606"/>
      <c r="S207" s="1606"/>
      <c r="T207" s="1606"/>
      <c r="U207" s="1606"/>
      <c r="V207" s="1606"/>
      <c r="W207" s="1606"/>
      <c r="X207" s="1606"/>
      <c r="Y207" s="1606"/>
    </row>
    <row r="208" spans="1:25" s="1141" customFormat="1" ht="18">
      <c r="A208" s="1290"/>
      <c r="D208" s="145"/>
      <c r="E208" s="72"/>
      <c r="F208" s="72"/>
      <c r="G208" s="72"/>
      <c r="H208" s="72"/>
      <c r="I208" s="72"/>
      <c r="J208" s="76"/>
      <c r="K208" s="626"/>
      <c r="L208" s="76"/>
      <c r="M208" s="76"/>
      <c r="N208" s="72"/>
      <c r="O208" s="1606"/>
      <c r="P208" s="1606"/>
      <c r="Q208" s="1606"/>
      <c r="R208" s="1606"/>
      <c r="S208" s="1606"/>
      <c r="T208" s="1606"/>
      <c r="U208" s="1606"/>
      <c r="V208" s="1606"/>
      <c r="W208" s="1606"/>
      <c r="X208" s="1606"/>
      <c r="Y208" s="1606"/>
    </row>
    <row r="209" spans="1:25" s="1141" customFormat="1" ht="18">
      <c r="A209" s="1290"/>
      <c r="D209" s="145"/>
      <c r="E209" s="72"/>
      <c r="F209" s="72"/>
      <c r="G209" s="72"/>
      <c r="H209" s="72"/>
      <c r="I209" s="72"/>
      <c r="J209" s="76"/>
      <c r="K209" s="626"/>
      <c r="L209" s="76"/>
      <c r="M209" s="76"/>
      <c r="N209" s="72"/>
      <c r="O209" s="1606"/>
      <c r="P209" s="1606"/>
      <c r="Q209" s="1606"/>
      <c r="R209" s="1606"/>
      <c r="S209" s="1606"/>
      <c r="T209" s="1606"/>
      <c r="U209" s="1606"/>
      <c r="V209" s="1606"/>
      <c r="W209" s="1606"/>
      <c r="X209" s="1606"/>
      <c r="Y209" s="1606"/>
    </row>
    <row r="210" spans="1:25" s="1141" customFormat="1" ht="18">
      <c r="A210" s="1290"/>
      <c r="D210" s="146"/>
      <c r="E210" s="73"/>
      <c r="F210" s="73"/>
      <c r="G210" s="72"/>
      <c r="H210" s="72"/>
      <c r="I210" s="72"/>
      <c r="J210" s="78"/>
      <c r="K210" s="626"/>
      <c r="L210" s="72"/>
      <c r="M210" s="72"/>
      <c r="N210" s="72"/>
      <c r="O210" s="1606"/>
      <c r="P210" s="1606"/>
      <c r="Q210" s="1606"/>
      <c r="R210" s="1606"/>
      <c r="S210" s="1606"/>
      <c r="T210" s="1606"/>
      <c r="U210" s="1606"/>
      <c r="V210" s="1606"/>
      <c r="W210" s="1606"/>
      <c r="X210" s="1606"/>
      <c r="Y210" s="1606"/>
    </row>
    <row r="211" spans="1:25" s="1141" customFormat="1" ht="18">
      <c r="A211" s="1290"/>
      <c r="D211" s="146"/>
      <c r="E211" s="73"/>
      <c r="F211" s="73"/>
      <c r="G211" s="72"/>
      <c r="H211" s="72"/>
      <c r="I211" s="72"/>
      <c r="J211" s="78"/>
      <c r="K211" s="626"/>
      <c r="L211" s="72"/>
      <c r="M211" s="72"/>
      <c r="N211" s="72"/>
      <c r="O211" s="1606"/>
      <c r="P211" s="1606"/>
      <c r="Q211" s="1606"/>
      <c r="R211" s="1606"/>
      <c r="S211" s="1606"/>
      <c r="T211" s="1606"/>
      <c r="U211" s="1606"/>
      <c r="V211" s="1606"/>
      <c r="W211" s="1606"/>
      <c r="X211" s="1606"/>
      <c r="Y211" s="1606"/>
    </row>
    <row r="212" spans="1:25" s="1141" customFormat="1" ht="18">
      <c r="A212" s="1290"/>
      <c r="D212" s="146"/>
      <c r="E212" s="73"/>
      <c r="F212" s="73"/>
      <c r="G212" s="72"/>
      <c r="H212" s="72"/>
      <c r="I212" s="72"/>
      <c r="J212" s="74"/>
      <c r="K212" s="626"/>
      <c r="L212" s="72"/>
      <c r="M212" s="72"/>
      <c r="N212" s="72"/>
      <c r="O212" s="1606"/>
      <c r="P212" s="1606"/>
      <c r="Q212" s="1606"/>
      <c r="R212" s="1606"/>
      <c r="S212" s="1606"/>
      <c r="T212" s="1606"/>
      <c r="U212" s="1606"/>
      <c r="V212" s="1606"/>
      <c r="W212" s="1606"/>
      <c r="X212" s="1606"/>
      <c r="Y212" s="1606"/>
    </row>
    <row r="213" spans="1:25" s="1141" customFormat="1" ht="18">
      <c r="A213" s="1290"/>
      <c r="D213" s="146"/>
      <c r="E213" s="73"/>
      <c r="F213" s="73"/>
      <c r="G213" s="72"/>
      <c r="H213" s="72"/>
      <c r="I213" s="72"/>
      <c r="J213" s="78"/>
      <c r="K213" s="626"/>
      <c r="L213" s="72"/>
      <c r="M213" s="72"/>
      <c r="N213" s="72"/>
      <c r="O213" s="1606"/>
      <c r="P213" s="1606"/>
      <c r="Q213" s="1606"/>
      <c r="R213" s="1606"/>
      <c r="S213" s="1606"/>
      <c r="T213" s="1606"/>
      <c r="U213" s="1606"/>
      <c r="V213" s="1606"/>
      <c r="W213" s="1606"/>
      <c r="X213" s="1606"/>
      <c r="Y213" s="1606"/>
    </row>
    <row r="214" spans="1:25" s="1141" customFormat="1" ht="18">
      <c r="A214" s="1290"/>
      <c r="D214" s="146"/>
      <c r="E214" s="73"/>
      <c r="F214" s="73"/>
      <c r="G214" s="72"/>
      <c r="H214" s="72"/>
      <c r="I214" s="72"/>
      <c r="J214" s="78"/>
      <c r="K214" s="626"/>
      <c r="L214" s="72"/>
      <c r="M214" s="72"/>
      <c r="N214" s="72"/>
      <c r="O214" s="1606"/>
      <c r="P214" s="1606"/>
      <c r="Q214" s="1606"/>
      <c r="R214" s="1606"/>
      <c r="S214" s="1606"/>
      <c r="T214" s="1606"/>
      <c r="U214" s="1606"/>
      <c r="V214" s="1606"/>
      <c r="W214" s="1606"/>
      <c r="X214" s="1606"/>
      <c r="Y214" s="1606"/>
    </row>
    <row r="215" spans="1:25" s="1141" customFormat="1" ht="18">
      <c r="A215" s="1290"/>
      <c r="D215" s="146"/>
      <c r="E215" s="73"/>
      <c r="F215" s="73"/>
      <c r="G215" s="72"/>
      <c r="H215" s="72"/>
      <c r="I215" s="75"/>
      <c r="J215" s="79"/>
      <c r="K215" s="626"/>
      <c r="L215" s="72"/>
      <c r="M215" s="72"/>
      <c r="N215" s="72"/>
      <c r="O215" s="1606"/>
      <c r="P215" s="1606"/>
      <c r="Q215" s="1606"/>
      <c r="R215" s="1606"/>
      <c r="S215" s="1606"/>
      <c r="T215" s="1606"/>
      <c r="U215" s="1606"/>
      <c r="V215" s="1606"/>
      <c r="W215" s="1606"/>
      <c r="X215" s="1606"/>
      <c r="Y215" s="1606"/>
    </row>
    <row r="216" spans="1:25" s="1141" customFormat="1" ht="18">
      <c r="A216" s="1290"/>
      <c r="D216" s="146"/>
      <c r="E216" s="73"/>
      <c r="F216" s="73"/>
      <c r="G216" s="72"/>
      <c r="H216" s="72"/>
      <c r="I216" s="72"/>
      <c r="J216" s="78"/>
      <c r="K216" s="626"/>
      <c r="L216" s="72"/>
      <c r="M216" s="72"/>
      <c r="N216" s="72"/>
      <c r="O216" s="1606"/>
      <c r="P216" s="1606"/>
      <c r="Q216" s="1606"/>
      <c r="R216" s="1606"/>
      <c r="S216" s="1606"/>
      <c r="T216" s="1606"/>
      <c r="U216" s="1606"/>
      <c r="V216" s="1606"/>
      <c r="W216" s="1606"/>
      <c r="X216" s="1606"/>
      <c r="Y216" s="1606"/>
    </row>
    <row r="217" spans="1:25" s="1141" customFormat="1" ht="18">
      <c r="A217" s="1290"/>
      <c r="D217" s="146"/>
      <c r="E217" s="73"/>
      <c r="F217" s="73"/>
      <c r="G217" s="72"/>
      <c r="H217" s="72"/>
      <c r="I217" s="72"/>
      <c r="J217" s="78"/>
      <c r="K217" s="626"/>
      <c r="L217" s="72"/>
      <c r="M217" s="72"/>
      <c r="N217" s="72"/>
      <c r="O217" s="1606"/>
      <c r="P217" s="1606"/>
      <c r="Q217" s="1606"/>
      <c r="R217" s="1606"/>
      <c r="S217" s="1606"/>
      <c r="T217" s="1606"/>
      <c r="U217" s="1606"/>
      <c r="V217" s="1606"/>
      <c r="W217" s="1606"/>
      <c r="X217" s="1606"/>
      <c r="Y217" s="1606"/>
    </row>
    <row r="218" spans="1:25" s="1141" customFormat="1" ht="18">
      <c r="A218" s="1290"/>
      <c r="D218" s="146"/>
      <c r="E218" s="73"/>
      <c r="F218" s="73"/>
      <c r="G218" s="72"/>
      <c r="H218" s="72"/>
      <c r="I218" s="72"/>
      <c r="J218" s="78"/>
      <c r="K218" s="626"/>
      <c r="L218" s="72"/>
      <c r="M218" s="72"/>
      <c r="N218" s="72"/>
      <c r="O218" s="1606"/>
      <c r="P218" s="1606"/>
      <c r="Q218" s="1606"/>
      <c r="R218" s="1594"/>
      <c r="S218" s="1594"/>
      <c r="T218" s="1606"/>
      <c r="U218" s="1606"/>
      <c r="V218" s="1606"/>
      <c r="W218" s="1606"/>
      <c r="X218" s="1606"/>
      <c r="Y218" s="1606"/>
    </row>
    <row r="219" spans="1:25" ht="17.399999999999999">
      <c r="D219" s="147"/>
      <c r="E219" s="17"/>
      <c r="F219" s="26"/>
      <c r="G219" s="10"/>
      <c r="H219" s="10"/>
      <c r="I219" s="15"/>
      <c r="J219" s="15"/>
      <c r="K219" s="627"/>
      <c r="L219" s="10"/>
      <c r="M219" s="10"/>
      <c r="N219" s="10"/>
    </row>
    <row r="220" spans="1:25" ht="17.399999999999999">
      <c r="D220" s="147"/>
      <c r="E220" s="17"/>
      <c r="F220" s="10"/>
      <c r="G220" s="10"/>
      <c r="H220" s="10"/>
      <c r="I220" s="10"/>
      <c r="J220" s="15"/>
      <c r="K220" s="627"/>
      <c r="L220" s="10"/>
      <c r="M220" s="10"/>
      <c r="N220" s="10"/>
    </row>
    <row r="221" spans="1:25" ht="17.399999999999999">
      <c r="D221" s="143"/>
      <c r="E221" s="10"/>
      <c r="F221" s="10"/>
      <c r="G221" s="10"/>
      <c r="H221" s="10"/>
      <c r="I221" s="30"/>
      <c r="J221" s="30"/>
      <c r="K221" s="627"/>
      <c r="L221" s="10"/>
      <c r="M221" s="10"/>
      <c r="N221" s="10"/>
    </row>
    <row r="222" spans="1:25" ht="17.399999999999999">
      <c r="D222" s="143"/>
      <c r="E222" s="10"/>
      <c r="F222" s="10"/>
      <c r="G222" s="10"/>
      <c r="H222" s="10"/>
      <c r="I222" s="30"/>
      <c r="J222" s="28"/>
      <c r="K222" s="150"/>
      <c r="L222" s="10"/>
      <c r="M222" s="10"/>
      <c r="N222" s="10"/>
    </row>
    <row r="223" spans="1:25" ht="17.399999999999999">
      <c r="D223" s="143"/>
      <c r="E223" s="10"/>
      <c r="F223" s="10"/>
      <c r="G223" s="10"/>
      <c r="H223" s="10"/>
      <c r="I223" s="30"/>
      <c r="J223" s="29"/>
      <c r="K223" s="150"/>
      <c r="L223" s="10"/>
      <c r="M223" s="10"/>
      <c r="N223" s="10"/>
    </row>
    <row r="224" spans="1:25" ht="17.399999999999999">
      <c r="D224" s="143"/>
      <c r="E224" s="10"/>
      <c r="F224" s="10"/>
      <c r="G224" s="10"/>
      <c r="H224" s="10"/>
      <c r="I224" s="10"/>
      <c r="J224" s="10"/>
      <c r="K224" s="150"/>
      <c r="L224" s="10"/>
      <c r="M224" s="10"/>
      <c r="N224" s="10"/>
    </row>
    <row r="225" spans="4:14" ht="17.399999999999999">
      <c r="D225" s="143"/>
      <c r="E225" s="10"/>
      <c r="F225" s="813"/>
      <c r="G225" s="10"/>
      <c r="H225" s="10"/>
      <c r="I225" s="10"/>
      <c r="J225" s="15"/>
      <c r="K225" s="150"/>
      <c r="L225" s="18"/>
      <c r="M225" s="15"/>
      <c r="N225" s="11"/>
    </row>
    <row r="226" spans="4:14" ht="17.399999999999999">
      <c r="D226" s="143"/>
      <c r="E226" s="10"/>
      <c r="F226" s="10"/>
      <c r="G226" s="10"/>
      <c r="H226" s="10"/>
      <c r="I226" s="10"/>
      <c r="J226" s="10"/>
      <c r="K226" s="150"/>
      <c r="L226" s="10"/>
      <c r="M226" s="10"/>
      <c r="N226" s="10"/>
    </row>
    <row r="227" spans="4:14" ht="17.399999999999999">
      <c r="D227" s="143"/>
      <c r="E227" s="10"/>
      <c r="F227" s="10"/>
      <c r="G227" s="10"/>
      <c r="H227" s="10"/>
      <c r="I227" s="10"/>
      <c r="J227" s="10"/>
      <c r="K227" s="150"/>
      <c r="L227" s="10"/>
      <c r="M227" s="10"/>
      <c r="N227" s="10"/>
    </row>
    <row r="228" spans="4:14" ht="17.399999999999999">
      <c r="D228" s="143"/>
      <c r="E228" s="10"/>
      <c r="F228" s="10"/>
      <c r="G228" s="10"/>
      <c r="H228" s="10"/>
      <c r="I228" s="10"/>
      <c r="J228" s="10"/>
      <c r="K228" s="150"/>
      <c r="L228" s="10"/>
      <c r="M228" s="10"/>
      <c r="N228" s="10"/>
    </row>
    <row r="229" spans="4:14" ht="17.399999999999999">
      <c r="D229" s="148"/>
      <c r="E229" s="11"/>
      <c r="F229" s="11"/>
      <c r="G229" s="11"/>
      <c r="H229" s="11"/>
      <c r="I229" s="10"/>
      <c r="J229" s="10"/>
      <c r="K229" s="150"/>
      <c r="L229" s="10"/>
      <c r="M229" s="10"/>
      <c r="N229" s="10"/>
    </row>
    <row r="230" spans="4:14" ht="17.399999999999999">
      <c r="D230" s="149"/>
      <c r="E230" s="48"/>
      <c r="F230" s="48"/>
      <c r="G230" s="11"/>
      <c r="H230" s="11"/>
      <c r="I230" s="10"/>
      <c r="J230" s="14"/>
      <c r="K230" s="150"/>
      <c r="L230" s="10"/>
      <c r="M230" s="10"/>
      <c r="N230" s="10"/>
    </row>
    <row r="231" spans="4:14" ht="17.399999999999999">
      <c r="D231" s="143"/>
      <c r="E231" s="10"/>
      <c r="F231" s="10"/>
      <c r="G231" s="10"/>
      <c r="H231" s="10"/>
      <c r="I231" s="10"/>
      <c r="J231" s="10"/>
      <c r="K231" s="150"/>
      <c r="L231" s="10"/>
      <c r="M231" s="10"/>
      <c r="N231" s="10"/>
    </row>
    <row r="232" spans="4:14" ht="17.399999999999999">
      <c r="D232" s="143"/>
      <c r="E232" s="10"/>
      <c r="F232" s="10"/>
      <c r="G232" s="10"/>
      <c r="H232" s="10"/>
      <c r="I232" s="10"/>
      <c r="J232" s="10"/>
      <c r="K232" s="150"/>
      <c r="L232" s="10"/>
      <c r="M232" s="10"/>
      <c r="N232" s="10"/>
    </row>
    <row r="233" spans="4:14" ht="17.399999999999999">
      <c r="D233" s="143"/>
      <c r="E233" s="10"/>
      <c r="F233" s="10"/>
      <c r="G233" s="10"/>
      <c r="H233" s="10"/>
      <c r="I233" s="10"/>
      <c r="J233" s="10"/>
      <c r="K233" s="150"/>
      <c r="L233" s="10"/>
      <c r="M233" s="10"/>
      <c r="N233" s="10"/>
    </row>
    <row r="234" spans="4:14" ht="17.399999999999999">
      <c r="D234" s="143"/>
      <c r="E234" s="10"/>
      <c r="F234" s="10"/>
      <c r="G234" s="10"/>
      <c r="H234" s="10"/>
      <c r="I234" s="10"/>
      <c r="J234" s="10"/>
      <c r="K234" s="150"/>
      <c r="L234" s="10"/>
      <c r="M234" s="10"/>
      <c r="N234" s="10"/>
    </row>
  </sheetData>
  <customSheetViews>
    <customSheetView guid="{B321D76C-CDE5-48BB-9CDE-80FF97D58FCF}" scale="85" colorId="22" showPageBreaks="1" showGridLines="0" printArea="1" hiddenColumns="1" view="pageBreakPreview" topLeftCell="B163">
      <selection activeCell="D33" sqref="D33"/>
      <rowBreaks count="1" manualBreakCount="1">
        <brk id="105" min="1" max="13" man="1"/>
      </rowBreaks>
      <colBreaks count="1" manualBreakCount="1">
        <brk id="17" max="1048575" man="1"/>
      </colBreaks>
      <pageMargins left="0.5" right="0.5" top="0.25" bottom="0.25" header="0" footer="0"/>
      <printOptions horizontalCentered="1"/>
      <pageSetup scale="50" orientation="portrait" r:id="rId1"/>
      <headerFooter alignWithMargins="0"/>
    </customSheetView>
  </customSheetViews>
  <mergeCells count="8">
    <mergeCell ref="R30:S30"/>
    <mergeCell ref="U30:V30"/>
    <mergeCell ref="B7:N7"/>
    <mergeCell ref="B10:N10"/>
    <mergeCell ref="B3:N3"/>
    <mergeCell ref="B4:N4"/>
    <mergeCell ref="B8:N8"/>
    <mergeCell ref="B5:N5"/>
  </mergeCells>
  <printOptions horizontalCentered="1"/>
  <pageMargins left="0.5" right="0.5" top="0.25" bottom="0.25" header="0" footer="0"/>
  <pageSetup scale="50" orientation="portrait" r:id="rId2"/>
  <headerFooter alignWithMargins="0"/>
  <rowBreaks count="1" manualBreakCount="1">
    <brk id="113" min="1" max="13" man="1"/>
  </rowBreaks>
  <colBreaks count="1" manualBreakCount="1">
    <brk id="19" max="1048575" man="1"/>
  </colBreak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0070C0"/>
    <pageSetUpPr fitToPage="1"/>
  </sheetPr>
  <dimension ref="A1:Y151"/>
  <sheetViews>
    <sheetView view="pageBreakPreview" topLeftCell="F1" zoomScale="80" zoomScaleNormal="100" zoomScaleSheetLayoutView="80" workbookViewId="0">
      <selection activeCell="P144" sqref="P144"/>
    </sheetView>
  </sheetViews>
  <sheetFormatPr defaultColWidth="19.33203125" defaultRowHeight="15.6"/>
  <cols>
    <col min="1" max="1" width="6.21875" style="191" hidden="1" customWidth="1"/>
    <col min="2" max="2" width="6.77734375" style="191" hidden="1" customWidth="1"/>
    <col min="3" max="3" width="16.5546875" style="192" hidden="1" customWidth="1"/>
    <col min="4" max="4" width="62.77734375" style="192" hidden="1" customWidth="1"/>
    <col min="5" max="5" width="10.21875" style="196" customWidth="1"/>
    <col min="6" max="6" width="22.109375" style="196" customWidth="1"/>
    <col min="7" max="7" width="5.77734375" style="196" customWidth="1"/>
    <col min="8" max="8" width="33.44140625" style="598" bestFit="1" customWidth="1"/>
    <col min="9" max="9" width="43.33203125" style="191" customWidth="1"/>
    <col min="10" max="10" width="2.21875" style="191" customWidth="1"/>
    <col min="11" max="11" width="29.109375" style="191" customWidth="1"/>
    <col min="12" max="12" width="21" style="191" customWidth="1"/>
    <col min="13" max="13" width="20.21875" style="191" customWidth="1"/>
    <col min="14" max="14" width="17.44140625" style="191" customWidth="1"/>
    <col min="15" max="15" width="16.33203125" style="191" bestFit="1" customWidth="1"/>
    <col min="16" max="16" width="20.77734375" style="191" customWidth="1"/>
    <col min="17" max="17" width="20.21875" style="191" bestFit="1" customWidth="1"/>
    <col min="18" max="18" width="17.44140625" style="114" customWidth="1"/>
    <col min="19" max="19" width="19.33203125" style="112" hidden="1" customWidth="1"/>
    <col min="20" max="20" width="2.21875" style="112" hidden="1" customWidth="1"/>
    <col min="21" max="21" width="19.33203125" style="112" hidden="1" customWidth="1"/>
    <col min="22" max="22" width="2.21875" style="112" hidden="1" customWidth="1"/>
    <col min="23" max="24" width="19.33203125" style="112" hidden="1" customWidth="1"/>
    <col min="25" max="248" width="19.33203125" style="112"/>
    <col min="249" max="249" width="6.44140625" style="112" customWidth="1"/>
    <col min="250" max="250" width="10.44140625" style="112" customWidth="1"/>
    <col min="251" max="251" width="6.21875" style="112" customWidth="1"/>
    <col min="252" max="252" width="35.44140625" style="112" customWidth="1"/>
    <col min="253" max="253" width="4.77734375" style="112" customWidth="1"/>
    <col min="254" max="254" width="39" style="112" customWidth="1"/>
    <col min="255" max="255" width="5" style="112" customWidth="1"/>
    <col min="256" max="256" width="19.33203125" style="112" customWidth="1"/>
    <col min="257" max="257" width="2.33203125" style="112" customWidth="1"/>
    <col min="258" max="258" width="19.33203125" style="112" customWidth="1"/>
    <col min="259" max="259" width="2.33203125" style="112" customWidth="1"/>
    <col min="260" max="260" width="19.33203125" style="112" customWidth="1"/>
    <col min="261" max="261" width="19.33203125" style="112"/>
    <col min="262" max="262" width="6.44140625" style="112" customWidth="1"/>
    <col min="263" max="263" width="19.33203125" style="112" customWidth="1"/>
    <col min="264" max="264" width="2.33203125" style="112" customWidth="1"/>
    <col min="265" max="265" width="19.33203125" style="112" customWidth="1"/>
    <col min="266" max="266" width="2.33203125" style="112" customWidth="1"/>
    <col min="267" max="267" width="19.33203125" style="112"/>
    <col min="268" max="268" width="6.44140625" style="112" customWidth="1"/>
    <col min="269" max="269" width="19.33203125" style="112" customWidth="1"/>
    <col min="270" max="270" width="2.33203125" style="112" customWidth="1"/>
    <col min="271" max="271" width="19.33203125" style="112" customWidth="1"/>
    <col min="272" max="272" width="2.33203125" style="112" customWidth="1"/>
    <col min="273" max="273" width="19.33203125" style="112" customWidth="1"/>
    <col min="274" max="274" width="6.33203125" style="112" customWidth="1"/>
    <col min="275" max="275" width="19.33203125" style="112" customWidth="1"/>
    <col min="276" max="276" width="2.21875" style="112" customWidth="1"/>
    <col min="277" max="277" width="19.33203125" style="112"/>
    <col min="278" max="278" width="2.21875" style="112" customWidth="1"/>
    <col min="279" max="504" width="19.33203125" style="112"/>
    <col min="505" max="505" width="6.44140625" style="112" customWidth="1"/>
    <col min="506" max="506" width="10.44140625" style="112" customWidth="1"/>
    <col min="507" max="507" width="6.21875" style="112" customWidth="1"/>
    <col min="508" max="508" width="35.44140625" style="112" customWidth="1"/>
    <col min="509" max="509" width="4.77734375" style="112" customWidth="1"/>
    <col min="510" max="510" width="39" style="112" customWidth="1"/>
    <col min="511" max="511" width="5" style="112" customWidth="1"/>
    <col min="512" max="512" width="19.33203125" style="112" customWidth="1"/>
    <col min="513" max="513" width="2.33203125" style="112" customWidth="1"/>
    <col min="514" max="514" width="19.33203125" style="112" customWidth="1"/>
    <col min="515" max="515" width="2.33203125" style="112" customWidth="1"/>
    <col min="516" max="516" width="19.33203125" style="112" customWidth="1"/>
    <col min="517" max="517" width="19.33203125" style="112"/>
    <col min="518" max="518" width="6.44140625" style="112" customWidth="1"/>
    <col min="519" max="519" width="19.33203125" style="112" customWidth="1"/>
    <col min="520" max="520" width="2.33203125" style="112" customWidth="1"/>
    <col min="521" max="521" width="19.33203125" style="112" customWidth="1"/>
    <col min="522" max="522" width="2.33203125" style="112" customWidth="1"/>
    <col min="523" max="523" width="19.33203125" style="112"/>
    <col min="524" max="524" width="6.44140625" style="112" customWidth="1"/>
    <col min="525" max="525" width="19.33203125" style="112" customWidth="1"/>
    <col min="526" max="526" width="2.33203125" style="112" customWidth="1"/>
    <col min="527" max="527" width="19.33203125" style="112" customWidth="1"/>
    <col min="528" max="528" width="2.33203125" style="112" customWidth="1"/>
    <col min="529" max="529" width="19.33203125" style="112" customWidth="1"/>
    <col min="530" max="530" width="6.33203125" style="112" customWidth="1"/>
    <col min="531" max="531" width="19.33203125" style="112" customWidth="1"/>
    <col min="532" max="532" width="2.21875" style="112" customWidth="1"/>
    <col min="533" max="533" width="19.33203125" style="112"/>
    <col min="534" max="534" width="2.21875" style="112" customWidth="1"/>
    <col min="535" max="760" width="19.33203125" style="112"/>
    <col min="761" max="761" width="6.44140625" style="112" customWidth="1"/>
    <col min="762" max="762" width="10.44140625" style="112" customWidth="1"/>
    <col min="763" max="763" width="6.21875" style="112" customWidth="1"/>
    <col min="764" max="764" width="35.44140625" style="112" customWidth="1"/>
    <col min="765" max="765" width="4.77734375" style="112" customWidth="1"/>
    <col min="766" max="766" width="39" style="112" customWidth="1"/>
    <col min="767" max="767" width="5" style="112" customWidth="1"/>
    <col min="768" max="768" width="19.33203125" style="112" customWidth="1"/>
    <col min="769" max="769" width="2.33203125" style="112" customWidth="1"/>
    <col min="770" max="770" width="19.33203125" style="112" customWidth="1"/>
    <col min="771" max="771" width="2.33203125" style="112" customWidth="1"/>
    <col min="772" max="772" width="19.33203125" style="112" customWidth="1"/>
    <col min="773" max="773" width="19.33203125" style="112"/>
    <col min="774" max="774" width="6.44140625" style="112" customWidth="1"/>
    <col min="775" max="775" width="19.33203125" style="112" customWidth="1"/>
    <col min="776" max="776" width="2.33203125" style="112" customWidth="1"/>
    <col min="777" max="777" width="19.33203125" style="112" customWidth="1"/>
    <col min="778" max="778" width="2.33203125" style="112" customWidth="1"/>
    <col min="779" max="779" width="19.33203125" style="112"/>
    <col min="780" max="780" width="6.44140625" style="112" customWidth="1"/>
    <col min="781" max="781" width="19.33203125" style="112" customWidth="1"/>
    <col min="782" max="782" width="2.33203125" style="112" customWidth="1"/>
    <col min="783" max="783" width="19.33203125" style="112" customWidth="1"/>
    <col min="784" max="784" width="2.33203125" style="112" customWidth="1"/>
    <col min="785" max="785" width="19.33203125" style="112" customWidth="1"/>
    <col min="786" max="786" width="6.33203125" style="112" customWidth="1"/>
    <col min="787" max="787" width="19.33203125" style="112" customWidth="1"/>
    <col min="788" max="788" width="2.21875" style="112" customWidth="1"/>
    <col min="789" max="789" width="19.33203125" style="112"/>
    <col min="790" max="790" width="2.21875" style="112" customWidth="1"/>
    <col min="791" max="1016" width="19.33203125" style="112"/>
    <col min="1017" max="1017" width="6.44140625" style="112" customWidth="1"/>
    <col min="1018" max="1018" width="10.44140625" style="112" customWidth="1"/>
    <col min="1019" max="1019" width="6.21875" style="112" customWidth="1"/>
    <col min="1020" max="1020" width="35.44140625" style="112" customWidth="1"/>
    <col min="1021" max="1021" width="4.77734375" style="112" customWidth="1"/>
    <col min="1022" max="1022" width="39" style="112" customWidth="1"/>
    <col min="1023" max="1023" width="5" style="112" customWidth="1"/>
    <col min="1024" max="1024" width="19.33203125" style="112" customWidth="1"/>
    <col min="1025" max="1025" width="2.33203125" style="112" customWidth="1"/>
    <col min="1026" max="1026" width="19.33203125" style="112" customWidth="1"/>
    <col min="1027" max="1027" width="2.33203125" style="112" customWidth="1"/>
    <col min="1028" max="1028" width="19.33203125" style="112" customWidth="1"/>
    <col min="1029" max="1029" width="19.33203125" style="112"/>
    <col min="1030" max="1030" width="6.44140625" style="112" customWidth="1"/>
    <col min="1031" max="1031" width="19.33203125" style="112" customWidth="1"/>
    <col min="1032" max="1032" width="2.33203125" style="112" customWidth="1"/>
    <col min="1033" max="1033" width="19.33203125" style="112" customWidth="1"/>
    <col min="1034" max="1034" width="2.33203125" style="112" customWidth="1"/>
    <col min="1035" max="1035" width="19.33203125" style="112"/>
    <col min="1036" max="1036" width="6.44140625" style="112" customWidth="1"/>
    <col min="1037" max="1037" width="19.33203125" style="112" customWidth="1"/>
    <col min="1038" max="1038" width="2.33203125" style="112" customWidth="1"/>
    <col min="1039" max="1039" width="19.33203125" style="112" customWidth="1"/>
    <col min="1040" max="1040" width="2.33203125" style="112" customWidth="1"/>
    <col min="1041" max="1041" width="19.33203125" style="112" customWidth="1"/>
    <col min="1042" max="1042" width="6.33203125" style="112" customWidth="1"/>
    <col min="1043" max="1043" width="19.33203125" style="112" customWidth="1"/>
    <col min="1044" max="1044" width="2.21875" style="112" customWidth="1"/>
    <col min="1045" max="1045" width="19.33203125" style="112"/>
    <col min="1046" max="1046" width="2.21875" style="112" customWidth="1"/>
    <col min="1047" max="1272" width="19.33203125" style="112"/>
    <col min="1273" max="1273" width="6.44140625" style="112" customWidth="1"/>
    <col min="1274" max="1274" width="10.44140625" style="112" customWidth="1"/>
    <col min="1275" max="1275" width="6.21875" style="112" customWidth="1"/>
    <col min="1276" max="1276" width="35.44140625" style="112" customWidth="1"/>
    <col min="1277" max="1277" width="4.77734375" style="112" customWidth="1"/>
    <col min="1278" max="1278" width="39" style="112" customWidth="1"/>
    <col min="1279" max="1279" width="5" style="112" customWidth="1"/>
    <col min="1280" max="1280" width="19.33203125" style="112" customWidth="1"/>
    <col min="1281" max="1281" width="2.33203125" style="112" customWidth="1"/>
    <col min="1282" max="1282" width="19.33203125" style="112" customWidth="1"/>
    <col min="1283" max="1283" width="2.33203125" style="112" customWidth="1"/>
    <col min="1284" max="1284" width="19.33203125" style="112" customWidth="1"/>
    <col min="1285" max="1285" width="19.33203125" style="112"/>
    <col min="1286" max="1286" width="6.44140625" style="112" customWidth="1"/>
    <col min="1287" max="1287" width="19.33203125" style="112" customWidth="1"/>
    <col min="1288" max="1288" width="2.33203125" style="112" customWidth="1"/>
    <col min="1289" max="1289" width="19.33203125" style="112" customWidth="1"/>
    <col min="1290" max="1290" width="2.33203125" style="112" customWidth="1"/>
    <col min="1291" max="1291" width="19.33203125" style="112"/>
    <col min="1292" max="1292" width="6.44140625" style="112" customWidth="1"/>
    <col min="1293" max="1293" width="19.33203125" style="112" customWidth="1"/>
    <col min="1294" max="1294" width="2.33203125" style="112" customWidth="1"/>
    <col min="1295" max="1295" width="19.33203125" style="112" customWidth="1"/>
    <col min="1296" max="1296" width="2.33203125" style="112" customWidth="1"/>
    <col min="1297" max="1297" width="19.33203125" style="112" customWidth="1"/>
    <col min="1298" max="1298" width="6.33203125" style="112" customWidth="1"/>
    <col min="1299" max="1299" width="19.33203125" style="112" customWidth="1"/>
    <col min="1300" max="1300" width="2.21875" style="112" customWidth="1"/>
    <col min="1301" max="1301" width="19.33203125" style="112"/>
    <col min="1302" max="1302" width="2.21875" style="112" customWidth="1"/>
    <col min="1303" max="1528" width="19.33203125" style="112"/>
    <col min="1529" max="1529" width="6.44140625" style="112" customWidth="1"/>
    <col min="1530" max="1530" width="10.44140625" style="112" customWidth="1"/>
    <col min="1531" max="1531" width="6.21875" style="112" customWidth="1"/>
    <col min="1532" max="1532" width="35.44140625" style="112" customWidth="1"/>
    <col min="1533" max="1533" width="4.77734375" style="112" customWidth="1"/>
    <col min="1534" max="1534" width="39" style="112" customWidth="1"/>
    <col min="1535" max="1535" width="5" style="112" customWidth="1"/>
    <col min="1536" max="1536" width="19.33203125" style="112" customWidth="1"/>
    <col min="1537" max="1537" width="2.33203125" style="112" customWidth="1"/>
    <col min="1538" max="1538" width="19.33203125" style="112" customWidth="1"/>
    <col min="1539" max="1539" width="2.33203125" style="112" customWidth="1"/>
    <col min="1540" max="1540" width="19.33203125" style="112" customWidth="1"/>
    <col min="1541" max="1541" width="19.33203125" style="112"/>
    <col min="1542" max="1542" width="6.44140625" style="112" customWidth="1"/>
    <col min="1543" max="1543" width="19.33203125" style="112" customWidth="1"/>
    <col min="1544" max="1544" width="2.33203125" style="112" customWidth="1"/>
    <col min="1545" max="1545" width="19.33203125" style="112" customWidth="1"/>
    <col min="1546" max="1546" width="2.33203125" style="112" customWidth="1"/>
    <col min="1547" max="1547" width="19.33203125" style="112"/>
    <col min="1548" max="1548" width="6.44140625" style="112" customWidth="1"/>
    <col min="1549" max="1549" width="19.33203125" style="112" customWidth="1"/>
    <col min="1550" max="1550" width="2.33203125" style="112" customWidth="1"/>
    <col min="1551" max="1551" width="19.33203125" style="112" customWidth="1"/>
    <col min="1552" max="1552" width="2.33203125" style="112" customWidth="1"/>
    <col min="1553" max="1553" width="19.33203125" style="112" customWidth="1"/>
    <col min="1554" max="1554" width="6.33203125" style="112" customWidth="1"/>
    <col min="1555" max="1555" width="19.33203125" style="112" customWidth="1"/>
    <col min="1556" max="1556" width="2.21875" style="112" customWidth="1"/>
    <col min="1557" max="1557" width="19.33203125" style="112"/>
    <col min="1558" max="1558" width="2.21875" style="112" customWidth="1"/>
    <col min="1559" max="1784" width="19.33203125" style="112"/>
    <col min="1785" max="1785" width="6.44140625" style="112" customWidth="1"/>
    <col min="1786" max="1786" width="10.44140625" style="112" customWidth="1"/>
    <col min="1787" max="1787" width="6.21875" style="112" customWidth="1"/>
    <col min="1788" max="1788" width="35.44140625" style="112" customWidth="1"/>
    <col min="1789" max="1789" width="4.77734375" style="112" customWidth="1"/>
    <col min="1790" max="1790" width="39" style="112" customWidth="1"/>
    <col min="1791" max="1791" width="5" style="112" customWidth="1"/>
    <col min="1792" max="1792" width="19.33203125" style="112" customWidth="1"/>
    <col min="1793" max="1793" width="2.33203125" style="112" customWidth="1"/>
    <col min="1794" max="1794" width="19.33203125" style="112" customWidth="1"/>
    <col min="1795" max="1795" width="2.33203125" style="112" customWidth="1"/>
    <col min="1796" max="1796" width="19.33203125" style="112" customWidth="1"/>
    <col min="1797" max="1797" width="19.33203125" style="112"/>
    <col min="1798" max="1798" width="6.44140625" style="112" customWidth="1"/>
    <col min="1799" max="1799" width="19.33203125" style="112" customWidth="1"/>
    <col min="1800" max="1800" width="2.33203125" style="112" customWidth="1"/>
    <col min="1801" max="1801" width="19.33203125" style="112" customWidth="1"/>
    <col min="1802" max="1802" width="2.33203125" style="112" customWidth="1"/>
    <col min="1803" max="1803" width="19.33203125" style="112"/>
    <col min="1804" max="1804" width="6.44140625" style="112" customWidth="1"/>
    <col min="1805" max="1805" width="19.33203125" style="112" customWidth="1"/>
    <col min="1806" max="1806" width="2.33203125" style="112" customWidth="1"/>
    <col min="1807" max="1807" width="19.33203125" style="112" customWidth="1"/>
    <col min="1808" max="1808" width="2.33203125" style="112" customWidth="1"/>
    <col min="1809" max="1809" width="19.33203125" style="112" customWidth="1"/>
    <col min="1810" max="1810" width="6.33203125" style="112" customWidth="1"/>
    <col min="1811" max="1811" width="19.33203125" style="112" customWidth="1"/>
    <col min="1812" max="1812" width="2.21875" style="112" customWidth="1"/>
    <col min="1813" max="1813" width="19.33203125" style="112"/>
    <col min="1814" max="1814" width="2.21875" style="112" customWidth="1"/>
    <col min="1815" max="2040" width="19.33203125" style="112"/>
    <col min="2041" max="2041" width="6.44140625" style="112" customWidth="1"/>
    <col min="2042" max="2042" width="10.44140625" style="112" customWidth="1"/>
    <col min="2043" max="2043" width="6.21875" style="112" customWidth="1"/>
    <col min="2044" max="2044" width="35.44140625" style="112" customWidth="1"/>
    <col min="2045" max="2045" width="4.77734375" style="112" customWidth="1"/>
    <col min="2046" max="2046" width="39" style="112" customWidth="1"/>
    <col min="2047" max="2047" width="5" style="112" customWidth="1"/>
    <col min="2048" max="2048" width="19.33203125" style="112" customWidth="1"/>
    <col min="2049" max="2049" width="2.33203125" style="112" customWidth="1"/>
    <col min="2050" max="2050" width="19.33203125" style="112" customWidth="1"/>
    <col min="2051" max="2051" width="2.33203125" style="112" customWidth="1"/>
    <col min="2052" max="2052" width="19.33203125" style="112" customWidth="1"/>
    <col min="2053" max="2053" width="19.33203125" style="112"/>
    <col min="2054" max="2054" width="6.44140625" style="112" customWidth="1"/>
    <col min="2055" max="2055" width="19.33203125" style="112" customWidth="1"/>
    <col min="2056" max="2056" width="2.33203125" style="112" customWidth="1"/>
    <col min="2057" max="2057" width="19.33203125" style="112" customWidth="1"/>
    <col min="2058" max="2058" width="2.33203125" style="112" customWidth="1"/>
    <col min="2059" max="2059" width="19.33203125" style="112"/>
    <col min="2060" max="2060" width="6.44140625" style="112" customWidth="1"/>
    <col min="2061" max="2061" width="19.33203125" style="112" customWidth="1"/>
    <col min="2062" max="2062" width="2.33203125" style="112" customWidth="1"/>
    <col min="2063" max="2063" width="19.33203125" style="112" customWidth="1"/>
    <col min="2064" max="2064" width="2.33203125" style="112" customWidth="1"/>
    <col min="2065" max="2065" width="19.33203125" style="112" customWidth="1"/>
    <col min="2066" max="2066" width="6.33203125" style="112" customWidth="1"/>
    <col min="2067" max="2067" width="19.33203125" style="112" customWidth="1"/>
    <col min="2068" max="2068" width="2.21875" style="112" customWidth="1"/>
    <col min="2069" max="2069" width="19.33203125" style="112"/>
    <col min="2070" max="2070" width="2.21875" style="112" customWidth="1"/>
    <col min="2071" max="2296" width="19.33203125" style="112"/>
    <col min="2297" max="2297" width="6.44140625" style="112" customWidth="1"/>
    <col min="2298" max="2298" width="10.44140625" style="112" customWidth="1"/>
    <col min="2299" max="2299" width="6.21875" style="112" customWidth="1"/>
    <col min="2300" max="2300" width="35.44140625" style="112" customWidth="1"/>
    <col min="2301" max="2301" width="4.77734375" style="112" customWidth="1"/>
    <col min="2302" max="2302" width="39" style="112" customWidth="1"/>
    <col min="2303" max="2303" width="5" style="112" customWidth="1"/>
    <col min="2304" max="2304" width="19.33203125" style="112" customWidth="1"/>
    <col min="2305" max="2305" width="2.33203125" style="112" customWidth="1"/>
    <col min="2306" max="2306" width="19.33203125" style="112" customWidth="1"/>
    <col min="2307" max="2307" width="2.33203125" style="112" customWidth="1"/>
    <col min="2308" max="2308" width="19.33203125" style="112" customWidth="1"/>
    <col min="2309" max="2309" width="19.33203125" style="112"/>
    <col min="2310" max="2310" width="6.44140625" style="112" customWidth="1"/>
    <col min="2311" max="2311" width="19.33203125" style="112" customWidth="1"/>
    <col min="2312" max="2312" width="2.33203125" style="112" customWidth="1"/>
    <col min="2313" max="2313" width="19.33203125" style="112" customWidth="1"/>
    <col min="2314" max="2314" width="2.33203125" style="112" customWidth="1"/>
    <col min="2315" max="2315" width="19.33203125" style="112"/>
    <col min="2316" max="2316" width="6.44140625" style="112" customWidth="1"/>
    <col min="2317" max="2317" width="19.33203125" style="112" customWidth="1"/>
    <col min="2318" max="2318" width="2.33203125" style="112" customWidth="1"/>
    <col min="2319" max="2319" width="19.33203125" style="112" customWidth="1"/>
    <col min="2320" max="2320" width="2.33203125" style="112" customWidth="1"/>
    <col min="2321" max="2321" width="19.33203125" style="112" customWidth="1"/>
    <col min="2322" max="2322" width="6.33203125" style="112" customWidth="1"/>
    <col min="2323" max="2323" width="19.33203125" style="112" customWidth="1"/>
    <col min="2324" max="2324" width="2.21875" style="112" customWidth="1"/>
    <col min="2325" max="2325" width="19.33203125" style="112"/>
    <col min="2326" max="2326" width="2.21875" style="112" customWidth="1"/>
    <col min="2327" max="2552" width="19.33203125" style="112"/>
    <col min="2553" max="2553" width="6.44140625" style="112" customWidth="1"/>
    <col min="2554" max="2554" width="10.44140625" style="112" customWidth="1"/>
    <col min="2555" max="2555" width="6.21875" style="112" customWidth="1"/>
    <col min="2556" max="2556" width="35.44140625" style="112" customWidth="1"/>
    <col min="2557" max="2557" width="4.77734375" style="112" customWidth="1"/>
    <col min="2558" max="2558" width="39" style="112" customWidth="1"/>
    <col min="2559" max="2559" width="5" style="112" customWidth="1"/>
    <col min="2560" max="2560" width="19.33203125" style="112" customWidth="1"/>
    <col min="2561" max="2561" width="2.33203125" style="112" customWidth="1"/>
    <col min="2562" max="2562" width="19.33203125" style="112" customWidth="1"/>
    <col min="2563" max="2563" width="2.33203125" style="112" customWidth="1"/>
    <col min="2564" max="2564" width="19.33203125" style="112" customWidth="1"/>
    <col min="2565" max="2565" width="19.33203125" style="112"/>
    <col min="2566" max="2566" width="6.44140625" style="112" customWidth="1"/>
    <col min="2567" max="2567" width="19.33203125" style="112" customWidth="1"/>
    <col min="2568" max="2568" width="2.33203125" style="112" customWidth="1"/>
    <col min="2569" max="2569" width="19.33203125" style="112" customWidth="1"/>
    <col min="2570" max="2570" width="2.33203125" style="112" customWidth="1"/>
    <col min="2571" max="2571" width="19.33203125" style="112"/>
    <col min="2572" max="2572" width="6.44140625" style="112" customWidth="1"/>
    <col min="2573" max="2573" width="19.33203125" style="112" customWidth="1"/>
    <col min="2574" max="2574" width="2.33203125" style="112" customWidth="1"/>
    <col min="2575" max="2575" width="19.33203125" style="112" customWidth="1"/>
    <col min="2576" max="2576" width="2.33203125" style="112" customWidth="1"/>
    <col min="2577" max="2577" width="19.33203125" style="112" customWidth="1"/>
    <col min="2578" max="2578" width="6.33203125" style="112" customWidth="1"/>
    <col min="2579" max="2579" width="19.33203125" style="112" customWidth="1"/>
    <col min="2580" max="2580" width="2.21875" style="112" customWidth="1"/>
    <col min="2581" max="2581" width="19.33203125" style="112"/>
    <col min="2582" max="2582" width="2.21875" style="112" customWidth="1"/>
    <col min="2583" max="2808" width="19.33203125" style="112"/>
    <col min="2809" max="2809" width="6.44140625" style="112" customWidth="1"/>
    <col min="2810" max="2810" width="10.44140625" style="112" customWidth="1"/>
    <col min="2811" max="2811" width="6.21875" style="112" customWidth="1"/>
    <col min="2812" max="2812" width="35.44140625" style="112" customWidth="1"/>
    <col min="2813" max="2813" width="4.77734375" style="112" customWidth="1"/>
    <col min="2814" max="2814" width="39" style="112" customWidth="1"/>
    <col min="2815" max="2815" width="5" style="112" customWidth="1"/>
    <col min="2816" max="2816" width="19.33203125" style="112" customWidth="1"/>
    <col min="2817" max="2817" width="2.33203125" style="112" customWidth="1"/>
    <col min="2818" max="2818" width="19.33203125" style="112" customWidth="1"/>
    <col min="2819" max="2819" width="2.33203125" style="112" customWidth="1"/>
    <col min="2820" max="2820" width="19.33203125" style="112" customWidth="1"/>
    <col min="2821" max="2821" width="19.33203125" style="112"/>
    <col min="2822" max="2822" width="6.44140625" style="112" customWidth="1"/>
    <col min="2823" max="2823" width="19.33203125" style="112" customWidth="1"/>
    <col min="2824" max="2824" width="2.33203125" style="112" customWidth="1"/>
    <col min="2825" max="2825" width="19.33203125" style="112" customWidth="1"/>
    <col min="2826" max="2826" width="2.33203125" style="112" customWidth="1"/>
    <col min="2827" max="2827" width="19.33203125" style="112"/>
    <col min="2828" max="2828" width="6.44140625" style="112" customWidth="1"/>
    <col min="2829" max="2829" width="19.33203125" style="112" customWidth="1"/>
    <col min="2830" max="2830" width="2.33203125" style="112" customWidth="1"/>
    <col min="2831" max="2831" width="19.33203125" style="112" customWidth="1"/>
    <col min="2832" max="2832" width="2.33203125" style="112" customWidth="1"/>
    <col min="2833" max="2833" width="19.33203125" style="112" customWidth="1"/>
    <col min="2834" max="2834" width="6.33203125" style="112" customWidth="1"/>
    <col min="2835" max="2835" width="19.33203125" style="112" customWidth="1"/>
    <col min="2836" max="2836" width="2.21875" style="112" customWidth="1"/>
    <col min="2837" max="2837" width="19.33203125" style="112"/>
    <col min="2838" max="2838" width="2.21875" style="112" customWidth="1"/>
    <col min="2839" max="3064" width="19.33203125" style="112"/>
    <col min="3065" max="3065" width="6.44140625" style="112" customWidth="1"/>
    <col min="3066" max="3066" width="10.44140625" style="112" customWidth="1"/>
    <col min="3067" max="3067" width="6.21875" style="112" customWidth="1"/>
    <col min="3068" max="3068" width="35.44140625" style="112" customWidth="1"/>
    <col min="3069" max="3069" width="4.77734375" style="112" customWidth="1"/>
    <col min="3070" max="3070" width="39" style="112" customWidth="1"/>
    <col min="3071" max="3071" width="5" style="112" customWidth="1"/>
    <col min="3072" max="3072" width="19.33203125" style="112" customWidth="1"/>
    <col min="3073" max="3073" width="2.33203125" style="112" customWidth="1"/>
    <col min="3074" max="3074" width="19.33203125" style="112" customWidth="1"/>
    <col min="3075" max="3075" width="2.33203125" style="112" customWidth="1"/>
    <col min="3076" max="3076" width="19.33203125" style="112" customWidth="1"/>
    <col min="3077" max="3077" width="19.33203125" style="112"/>
    <col min="3078" max="3078" width="6.44140625" style="112" customWidth="1"/>
    <col min="3079" max="3079" width="19.33203125" style="112" customWidth="1"/>
    <col min="3080" max="3080" width="2.33203125" style="112" customWidth="1"/>
    <col min="3081" max="3081" width="19.33203125" style="112" customWidth="1"/>
    <col min="3082" max="3082" width="2.33203125" style="112" customWidth="1"/>
    <col min="3083" max="3083" width="19.33203125" style="112"/>
    <col min="3084" max="3084" width="6.44140625" style="112" customWidth="1"/>
    <col min="3085" max="3085" width="19.33203125" style="112" customWidth="1"/>
    <col min="3086" max="3086" width="2.33203125" style="112" customWidth="1"/>
    <col min="3087" max="3087" width="19.33203125" style="112" customWidth="1"/>
    <col min="3088" max="3088" width="2.33203125" style="112" customWidth="1"/>
    <col min="3089" max="3089" width="19.33203125" style="112" customWidth="1"/>
    <col min="3090" max="3090" width="6.33203125" style="112" customWidth="1"/>
    <col min="3091" max="3091" width="19.33203125" style="112" customWidth="1"/>
    <col min="3092" max="3092" width="2.21875" style="112" customWidth="1"/>
    <col min="3093" max="3093" width="19.33203125" style="112"/>
    <col min="3094" max="3094" width="2.21875" style="112" customWidth="1"/>
    <col min="3095" max="3320" width="19.33203125" style="112"/>
    <col min="3321" max="3321" width="6.44140625" style="112" customWidth="1"/>
    <col min="3322" max="3322" width="10.44140625" style="112" customWidth="1"/>
    <col min="3323" max="3323" width="6.21875" style="112" customWidth="1"/>
    <col min="3324" max="3324" width="35.44140625" style="112" customWidth="1"/>
    <col min="3325" max="3325" width="4.77734375" style="112" customWidth="1"/>
    <col min="3326" max="3326" width="39" style="112" customWidth="1"/>
    <col min="3327" max="3327" width="5" style="112" customWidth="1"/>
    <col min="3328" max="3328" width="19.33203125" style="112" customWidth="1"/>
    <col min="3329" max="3329" width="2.33203125" style="112" customWidth="1"/>
    <col min="3330" max="3330" width="19.33203125" style="112" customWidth="1"/>
    <col min="3331" max="3331" width="2.33203125" style="112" customWidth="1"/>
    <col min="3332" max="3332" width="19.33203125" style="112" customWidth="1"/>
    <col min="3333" max="3333" width="19.33203125" style="112"/>
    <col min="3334" max="3334" width="6.44140625" style="112" customWidth="1"/>
    <col min="3335" max="3335" width="19.33203125" style="112" customWidth="1"/>
    <col min="3336" max="3336" width="2.33203125" style="112" customWidth="1"/>
    <col min="3337" max="3337" width="19.33203125" style="112" customWidth="1"/>
    <col min="3338" max="3338" width="2.33203125" style="112" customWidth="1"/>
    <col min="3339" max="3339" width="19.33203125" style="112"/>
    <col min="3340" max="3340" width="6.44140625" style="112" customWidth="1"/>
    <col min="3341" max="3341" width="19.33203125" style="112" customWidth="1"/>
    <col min="3342" max="3342" width="2.33203125" style="112" customWidth="1"/>
    <col min="3343" max="3343" width="19.33203125" style="112" customWidth="1"/>
    <col min="3344" max="3344" width="2.33203125" style="112" customWidth="1"/>
    <col min="3345" max="3345" width="19.33203125" style="112" customWidth="1"/>
    <col min="3346" max="3346" width="6.33203125" style="112" customWidth="1"/>
    <col min="3347" max="3347" width="19.33203125" style="112" customWidth="1"/>
    <col min="3348" max="3348" width="2.21875" style="112" customWidth="1"/>
    <col min="3349" max="3349" width="19.33203125" style="112"/>
    <col min="3350" max="3350" width="2.21875" style="112" customWidth="1"/>
    <col min="3351" max="3576" width="19.33203125" style="112"/>
    <col min="3577" max="3577" width="6.44140625" style="112" customWidth="1"/>
    <col min="3578" max="3578" width="10.44140625" style="112" customWidth="1"/>
    <col min="3579" max="3579" width="6.21875" style="112" customWidth="1"/>
    <col min="3580" max="3580" width="35.44140625" style="112" customWidth="1"/>
    <col min="3581" max="3581" width="4.77734375" style="112" customWidth="1"/>
    <col min="3582" max="3582" width="39" style="112" customWidth="1"/>
    <col min="3583" max="3583" width="5" style="112" customWidth="1"/>
    <col min="3584" max="3584" width="19.33203125" style="112" customWidth="1"/>
    <col min="3585" max="3585" width="2.33203125" style="112" customWidth="1"/>
    <col min="3586" max="3586" width="19.33203125" style="112" customWidth="1"/>
    <col min="3587" max="3587" width="2.33203125" style="112" customWidth="1"/>
    <col min="3588" max="3588" width="19.33203125" style="112" customWidth="1"/>
    <col min="3589" max="3589" width="19.33203125" style="112"/>
    <col min="3590" max="3590" width="6.44140625" style="112" customWidth="1"/>
    <col min="3591" max="3591" width="19.33203125" style="112" customWidth="1"/>
    <col min="3592" max="3592" width="2.33203125" style="112" customWidth="1"/>
    <col min="3593" max="3593" width="19.33203125" style="112" customWidth="1"/>
    <col min="3594" max="3594" width="2.33203125" style="112" customWidth="1"/>
    <col min="3595" max="3595" width="19.33203125" style="112"/>
    <col min="3596" max="3596" width="6.44140625" style="112" customWidth="1"/>
    <col min="3597" max="3597" width="19.33203125" style="112" customWidth="1"/>
    <col min="3598" max="3598" width="2.33203125" style="112" customWidth="1"/>
    <col min="3599" max="3599" width="19.33203125" style="112" customWidth="1"/>
    <col min="3600" max="3600" width="2.33203125" style="112" customWidth="1"/>
    <col min="3601" max="3601" width="19.33203125" style="112" customWidth="1"/>
    <col min="3602" max="3602" width="6.33203125" style="112" customWidth="1"/>
    <col min="3603" max="3603" width="19.33203125" style="112" customWidth="1"/>
    <col min="3604" max="3604" width="2.21875" style="112" customWidth="1"/>
    <col min="3605" max="3605" width="19.33203125" style="112"/>
    <col min="3606" max="3606" width="2.21875" style="112" customWidth="1"/>
    <col min="3607" max="3832" width="19.33203125" style="112"/>
    <col min="3833" max="3833" width="6.44140625" style="112" customWidth="1"/>
    <col min="3834" max="3834" width="10.44140625" style="112" customWidth="1"/>
    <col min="3835" max="3835" width="6.21875" style="112" customWidth="1"/>
    <col min="3836" max="3836" width="35.44140625" style="112" customWidth="1"/>
    <col min="3837" max="3837" width="4.77734375" style="112" customWidth="1"/>
    <col min="3838" max="3838" width="39" style="112" customWidth="1"/>
    <col min="3839" max="3839" width="5" style="112" customWidth="1"/>
    <col min="3840" max="3840" width="19.33203125" style="112" customWidth="1"/>
    <col min="3841" max="3841" width="2.33203125" style="112" customWidth="1"/>
    <col min="3842" max="3842" width="19.33203125" style="112" customWidth="1"/>
    <col min="3843" max="3843" width="2.33203125" style="112" customWidth="1"/>
    <col min="3844" max="3844" width="19.33203125" style="112" customWidth="1"/>
    <col min="3845" max="3845" width="19.33203125" style="112"/>
    <col min="3846" max="3846" width="6.44140625" style="112" customWidth="1"/>
    <col min="3847" max="3847" width="19.33203125" style="112" customWidth="1"/>
    <col min="3848" max="3848" width="2.33203125" style="112" customWidth="1"/>
    <col min="3849" max="3849" width="19.33203125" style="112" customWidth="1"/>
    <col min="3850" max="3850" width="2.33203125" style="112" customWidth="1"/>
    <col min="3851" max="3851" width="19.33203125" style="112"/>
    <col min="3852" max="3852" width="6.44140625" style="112" customWidth="1"/>
    <col min="3853" max="3853" width="19.33203125" style="112" customWidth="1"/>
    <col min="3854" max="3854" width="2.33203125" style="112" customWidth="1"/>
    <col min="3855" max="3855" width="19.33203125" style="112" customWidth="1"/>
    <col min="3856" max="3856" width="2.33203125" style="112" customWidth="1"/>
    <col min="3857" max="3857" width="19.33203125" style="112" customWidth="1"/>
    <col min="3858" max="3858" width="6.33203125" style="112" customWidth="1"/>
    <col min="3859" max="3859" width="19.33203125" style="112" customWidth="1"/>
    <col min="3860" max="3860" width="2.21875" style="112" customWidth="1"/>
    <col min="3861" max="3861" width="19.33203125" style="112"/>
    <col min="3862" max="3862" width="2.21875" style="112" customWidth="1"/>
    <col min="3863" max="4088" width="19.33203125" style="112"/>
    <col min="4089" max="4089" width="6.44140625" style="112" customWidth="1"/>
    <col min="4090" max="4090" width="10.44140625" style="112" customWidth="1"/>
    <col min="4091" max="4091" width="6.21875" style="112" customWidth="1"/>
    <col min="4092" max="4092" width="35.44140625" style="112" customWidth="1"/>
    <col min="4093" max="4093" width="4.77734375" style="112" customWidth="1"/>
    <col min="4094" max="4094" width="39" style="112" customWidth="1"/>
    <col min="4095" max="4095" width="5" style="112" customWidth="1"/>
    <col min="4096" max="4096" width="19.33203125" style="112" customWidth="1"/>
    <col min="4097" max="4097" width="2.33203125" style="112" customWidth="1"/>
    <col min="4098" max="4098" width="19.33203125" style="112" customWidth="1"/>
    <col min="4099" max="4099" width="2.33203125" style="112" customWidth="1"/>
    <col min="4100" max="4100" width="19.33203125" style="112" customWidth="1"/>
    <col min="4101" max="4101" width="19.33203125" style="112"/>
    <col min="4102" max="4102" width="6.44140625" style="112" customWidth="1"/>
    <col min="4103" max="4103" width="19.33203125" style="112" customWidth="1"/>
    <col min="4104" max="4104" width="2.33203125" style="112" customWidth="1"/>
    <col min="4105" max="4105" width="19.33203125" style="112" customWidth="1"/>
    <col min="4106" max="4106" width="2.33203125" style="112" customWidth="1"/>
    <col min="4107" max="4107" width="19.33203125" style="112"/>
    <col min="4108" max="4108" width="6.44140625" style="112" customWidth="1"/>
    <col min="4109" max="4109" width="19.33203125" style="112" customWidth="1"/>
    <col min="4110" max="4110" width="2.33203125" style="112" customWidth="1"/>
    <col min="4111" max="4111" width="19.33203125" style="112" customWidth="1"/>
    <col min="4112" max="4112" width="2.33203125" style="112" customWidth="1"/>
    <col min="4113" max="4113" width="19.33203125" style="112" customWidth="1"/>
    <col min="4114" max="4114" width="6.33203125" style="112" customWidth="1"/>
    <col min="4115" max="4115" width="19.33203125" style="112" customWidth="1"/>
    <col min="4116" max="4116" width="2.21875" style="112" customWidth="1"/>
    <col min="4117" max="4117" width="19.33203125" style="112"/>
    <col min="4118" max="4118" width="2.21875" style="112" customWidth="1"/>
    <col min="4119" max="4344" width="19.33203125" style="112"/>
    <col min="4345" max="4345" width="6.44140625" style="112" customWidth="1"/>
    <col min="4346" max="4346" width="10.44140625" style="112" customWidth="1"/>
    <col min="4347" max="4347" width="6.21875" style="112" customWidth="1"/>
    <col min="4348" max="4348" width="35.44140625" style="112" customWidth="1"/>
    <col min="4349" max="4349" width="4.77734375" style="112" customWidth="1"/>
    <col min="4350" max="4350" width="39" style="112" customWidth="1"/>
    <col min="4351" max="4351" width="5" style="112" customWidth="1"/>
    <col min="4352" max="4352" width="19.33203125" style="112" customWidth="1"/>
    <col min="4353" max="4353" width="2.33203125" style="112" customWidth="1"/>
    <col min="4354" max="4354" width="19.33203125" style="112" customWidth="1"/>
    <col min="4355" max="4355" width="2.33203125" style="112" customWidth="1"/>
    <col min="4356" max="4356" width="19.33203125" style="112" customWidth="1"/>
    <col min="4357" max="4357" width="19.33203125" style="112"/>
    <col min="4358" max="4358" width="6.44140625" style="112" customWidth="1"/>
    <col min="4359" max="4359" width="19.33203125" style="112" customWidth="1"/>
    <col min="4360" max="4360" width="2.33203125" style="112" customWidth="1"/>
    <col min="4361" max="4361" width="19.33203125" style="112" customWidth="1"/>
    <col min="4362" max="4362" width="2.33203125" style="112" customWidth="1"/>
    <col min="4363" max="4363" width="19.33203125" style="112"/>
    <col min="4364" max="4364" width="6.44140625" style="112" customWidth="1"/>
    <col min="4365" max="4365" width="19.33203125" style="112" customWidth="1"/>
    <col min="4366" max="4366" width="2.33203125" style="112" customWidth="1"/>
    <col min="4367" max="4367" width="19.33203125" style="112" customWidth="1"/>
    <col min="4368" max="4368" width="2.33203125" style="112" customWidth="1"/>
    <col min="4369" max="4369" width="19.33203125" style="112" customWidth="1"/>
    <col min="4370" max="4370" width="6.33203125" style="112" customWidth="1"/>
    <col min="4371" max="4371" width="19.33203125" style="112" customWidth="1"/>
    <col min="4372" max="4372" width="2.21875" style="112" customWidth="1"/>
    <col min="4373" max="4373" width="19.33203125" style="112"/>
    <col min="4374" max="4374" width="2.21875" style="112" customWidth="1"/>
    <col min="4375" max="4600" width="19.33203125" style="112"/>
    <col min="4601" max="4601" width="6.44140625" style="112" customWidth="1"/>
    <col min="4602" max="4602" width="10.44140625" style="112" customWidth="1"/>
    <col min="4603" max="4603" width="6.21875" style="112" customWidth="1"/>
    <col min="4604" max="4604" width="35.44140625" style="112" customWidth="1"/>
    <col min="4605" max="4605" width="4.77734375" style="112" customWidth="1"/>
    <col min="4606" max="4606" width="39" style="112" customWidth="1"/>
    <col min="4607" max="4607" width="5" style="112" customWidth="1"/>
    <col min="4608" max="4608" width="19.33203125" style="112" customWidth="1"/>
    <col min="4609" max="4609" width="2.33203125" style="112" customWidth="1"/>
    <col min="4610" max="4610" width="19.33203125" style="112" customWidth="1"/>
    <col min="4611" max="4611" width="2.33203125" style="112" customWidth="1"/>
    <col min="4612" max="4612" width="19.33203125" style="112" customWidth="1"/>
    <col min="4613" max="4613" width="19.33203125" style="112"/>
    <col min="4614" max="4614" width="6.44140625" style="112" customWidth="1"/>
    <col min="4615" max="4615" width="19.33203125" style="112" customWidth="1"/>
    <col min="4616" max="4616" width="2.33203125" style="112" customWidth="1"/>
    <col min="4617" max="4617" width="19.33203125" style="112" customWidth="1"/>
    <col min="4618" max="4618" width="2.33203125" style="112" customWidth="1"/>
    <col min="4619" max="4619" width="19.33203125" style="112"/>
    <col min="4620" max="4620" width="6.44140625" style="112" customWidth="1"/>
    <col min="4621" max="4621" width="19.33203125" style="112" customWidth="1"/>
    <col min="4622" max="4622" width="2.33203125" style="112" customWidth="1"/>
    <col min="4623" max="4623" width="19.33203125" style="112" customWidth="1"/>
    <col min="4624" max="4624" width="2.33203125" style="112" customWidth="1"/>
    <col min="4625" max="4625" width="19.33203125" style="112" customWidth="1"/>
    <col min="4626" max="4626" width="6.33203125" style="112" customWidth="1"/>
    <col min="4627" max="4627" width="19.33203125" style="112" customWidth="1"/>
    <col min="4628" max="4628" width="2.21875" style="112" customWidth="1"/>
    <col min="4629" max="4629" width="19.33203125" style="112"/>
    <col min="4630" max="4630" width="2.21875" style="112" customWidth="1"/>
    <col min="4631" max="4856" width="19.33203125" style="112"/>
    <col min="4857" max="4857" width="6.44140625" style="112" customWidth="1"/>
    <col min="4858" max="4858" width="10.44140625" style="112" customWidth="1"/>
    <col min="4859" max="4859" width="6.21875" style="112" customWidth="1"/>
    <col min="4860" max="4860" width="35.44140625" style="112" customWidth="1"/>
    <col min="4861" max="4861" width="4.77734375" style="112" customWidth="1"/>
    <col min="4862" max="4862" width="39" style="112" customWidth="1"/>
    <col min="4863" max="4863" width="5" style="112" customWidth="1"/>
    <col min="4864" max="4864" width="19.33203125" style="112" customWidth="1"/>
    <col min="4865" max="4865" width="2.33203125" style="112" customWidth="1"/>
    <col min="4866" max="4866" width="19.33203125" style="112" customWidth="1"/>
    <col min="4867" max="4867" width="2.33203125" style="112" customWidth="1"/>
    <col min="4868" max="4868" width="19.33203125" style="112" customWidth="1"/>
    <col min="4869" max="4869" width="19.33203125" style="112"/>
    <col min="4870" max="4870" width="6.44140625" style="112" customWidth="1"/>
    <col min="4871" max="4871" width="19.33203125" style="112" customWidth="1"/>
    <col min="4872" max="4872" width="2.33203125" style="112" customWidth="1"/>
    <col min="4873" max="4873" width="19.33203125" style="112" customWidth="1"/>
    <col min="4874" max="4874" width="2.33203125" style="112" customWidth="1"/>
    <col min="4875" max="4875" width="19.33203125" style="112"/>
    <col min="4876" max="4876" width="6.44140625" style="112" customWidth="1"/>
    <col min="4877" max="4877" width="19.33203125" style="112" customWidth="1"/>
    <col min="4878" max="4878" width="2.33203125" style="112" customWidth="1"/>
    <col min="4879" max="4879" width="19.33203125" style="112" customWidth="1"/>
    <col min="4880" max="4880" width="2.33203125" style="112" customWidth="1"/>
    <col min="4881" max="4881" width="19.33203125" style="112" customWidth="1"/>
    <col min="4882" max="4882" width="6.33203125" style="112" customWidth="1"/>
    <col min="4883" max="4883" width="19.33203125" style="112" customWidth="1"/>
    <col min="4884" max="4884" width="2.21875" style="112" customWidth="1"/>
    <col min="4885" max="4885" width="19.33203125" style="112"/>
    <col min="4886" max="4886" width="2.21875" style="112" customWidth="1"/>
    <col min="4887" max="5112" width="19.33203125" style="112"/>
    <col min="5113" max="5113" width="6.44140625" style="112" customWidth="1"/>
    <col min="5114" max="5114" width="10.44140625" style="112" customWidth="1"/>
    <col min="5115" max="5115" width="6.21875" style="112" customWidth="1"/>
    <col min="5116" max="5116" width="35.44140625" style="112" customWidth="1"/>
    <col min="5117" max="5117" width="4.77734375" style="112" customWidth="1"/>
    <col min="5118" max="5118" width="39" style="112" customWidth="1"/>
    <col min="5119" max="5119" width="5" style="112" customWidth="1"/>
    <col min="5120" max="5120" width="19.33203125" style="112" customWidth="1"/>
    <col min="5121" max="5121" width="2.33203125" style="112" customWidth="1"/>
    <col min="5122" max="5122" width="19.33203125" style="112" customWidth="1"/>
    <col min="5123" max="5123" width="2.33203125" style="112" customWidth="1"/>
    <col min="5124" max="5124" width="19.33203125" style="112" customWidth="1"/>
    <col min="5125" max="5125" width="19.33203125" style="112"/>
    <col min="5126" max="5126" width="6.44140625" style="112" customWidth="1"/>
    <col min="5127" max="5127" width="19.33203125" style="112" customWidth="1"/>
    <col min="5128" max="5128" width="2.33203125" style="112" customWidth="1"/>
    <col min="5129" max="5129" width="19.33203125" style="112" customWidth="1"/>
    <col min="5130" max="5130" width="2.33203125" style="112" customWidth="1"/>
    <col min="5131" max="5131" width="19.33203125" style="112"/>
    <col min="5132" max="5132" width="6.44140625" style="112" customWidth="1"/>
    <col min="5133" max="5133" width="19.33203125" style="112" customWidth="1"/>
    <col min="5134" max="5134" width="2.33203125" style="112" customWidth="1"/>
    <col min="5135" max="5135" width="19.33203125" style="112" customWidth="1"/>
    <col min="5136" max="5136" width="2.33203125" style="112" customWidth="1"/>
    <col min="5137" max="5137" width="19.33203125" style="112" customWidth="1"/>
    <col min="5138" max="5138" width="6.33203125" style="112" customWidth="1"/>
    <col min="5139" max="5139" width="19.33203125" style="112" customWidth="1"/>
    <col min="5140" max="5140" width="2.21875" style="112" customWidth="1"/>
    <col min="5141" max="5141" width="19.33203125" style="112"/>
    <col min="5142" max="5142" width="2.21875" style="112" customWidth="1"/>
    <col min="5143" max="5368" width="19.33203125" style="112"/>
    <col min="5369" max="5369" width="6.44140625" style="112" customWidth="1"/>
    <col min="5370" max="5370" width="10.44140625" style="112" customWidth="1"/>
    <col min="5371" max="5371" width="6.21875" style="112" customWidth="1"/>
    <col min="5372" max="5372" width="35.44140625" style="112" customWidth="1"/>
    <col min="5373" max="5373" width="4.77734375" style="112" customWidth="1"/>
    <col min="5374" max="5374" width="39" style="112" customWidth="1"/>
    <col min="5375" max="5375" width="5" style="112" customWidth="1"/>
    <col min="5376" max="5376" width="19.33203125" style="112" customWidth="1"/>
    <col min="5377" max="5377" width="2.33203125" style="112" customWidth="1"/>
    <col min="5378" max="5378" width="19.33203125" style="112" customWidth="1"/>
    <col min="5379" max="5379" width="2.33203125" style="112" customWidth="1"/>
    <col min="5380" max="5380" width="19.33203125" style="112" customWidth="1"/>
    <col min="5381" max="5381" width="19.33203125" style="112"/>
    <col min="5382" max="5382" width="6.44140625" style="112" customWidth="1"/>
    <col min="5383" max="5383" width="19.33203125" style="112" customWidth="1"/>
    <col min="5384" max="5384" width="2.33203125" style="112" customWidth="1"/>
    <col min="5385" max="5385" width="19.33203125" style="112" customWidth="1"/>
    <col min="5386" max="5386" width="2.33203125" style="112" customWidth="1"/>
    <col min="5387" max="5387" width="19.33203125" style="112"/>
    <col min="5388" max="5388" width="6.44140625" style="112" customWidth="1"/>
    <col min="5389" max="5389" width="19.33203125" style="112" customWidth="1"/>
    <col min="5390" max="5390" width="2.33203125" style="112" customWidth="1"/>
    <col min="5391" max="5391" width="19.33203125" style="112" customWidth="1"/>
    <col min="5392" max="5392" width="2.33203125" style="112" customWidth="1"/>
    <col min="5393" max="5393" width="19.33203125" style="112" customWidth="1"/>
    <col min="5394" max="5394" width="6.33203125" style="112" customWidth="1"/>
    <col min="5395" max="5395" width="19.33203125" style="112" customWidth="1"/>
    <col min="5396" max="5396" width="2.21875" style="112" customWidth="1"/>
    <col min="5397" max="5397" width="19.33203125" style="112"/>
    <col min="5398" max="5398" width="2.21875" style="112" customWidth="1"/>
    <col min="5399" max="5624" width="19.33203125" style="112"/>
    <col min="5625" max="5625" width="6.44140625" style="112" customWidth="1"/>
    <col min="5626" max="5626" width="10.44140625" style="112" customWidth="1"/>
    <col min="5627" max="5627" width="6.21875" style="112" customWidth="1"/>
    <col min="5628" max="5628" width="35.44140625" style="112" customWidth="1"/>
    <col min="5629" max="5629" width="4.77734375" style="112" customWidth="1"/>
    <col min="5630" max="5630" width="39" style="112" customWidth="1"/>
    <col min="5631" max="5631" width="5" style="112" customWidth="1"/>
    <col min="5632" max="5632" width="19.33203125" style="112" customWidth="1"/>
    <col min="5633" max="5633" width="2.33203125" style="112" customWidth="1"/>
    <col min="5634" max="5634" width="19.33203125" style="112" customWidth="1"/>
    <col min="5635" max="5635" width="2.33203125" style="112" customWidth="1"/>
    <col min="5636" max="5636" width="19.33203125" style="112" customWidth="1"/>
    <col min="5637" max="5637" width="19.33203125" style="112"/>
    <col min="5638" max="5638" width="6.44140625" style="112" customWidth="1"/>
    <col min="5639" max="5639" width="19.33203125" style="112" customWidth="1"/>
    <col min="5640" max="5640" width="2.33203125" style="112" customWidth="1"/>
    <col min="5641" max="5641" width="19.33203125" style="112" customWidth="1"/>
    <col min="5642" max="5642" width="2.33203125" style="112" customWidth="1"/>
    <col min="5643" max="5643" width="19.33203125" style="112"/>
    <col min="5644" max="5644" width="6.44140625" style="112" customWidth="1"/>
    <col min="5645" max="5645" width="19.33203125" style="112" customWidth="1"/>
    <col min="5646" max="5646" width="2.33203125" style="112" customWidth="1"/>
    <col min="5647" max="5647" width="19.33203125" style="112" customWidth="1"/>
    <col min="5648" max="5648" width="2.33203125" style="112" customWidth="1"/>
    <col min="5649" max="5649" width="19.33203125" style="112" customWidth="1"/>
    <col min="5650" max="5650" width="6.33203125" style="112" customWidth="1"/>
    <col min="5651" max="5651" width="19.33203125" style="112" customWidth="1"/>
    <col min="5652" max="5652" width="2.21875" style="112" customWidth="1"/>
    <col min="5653" max="5653" width="19.33203125" style="112"/>
    <col min="5654" max="5654" width="2.21875" style="112" customWidth="1"/>
    <col min="5655" max="5880" width="19.33203125" style="112"/>
    <col min="5881" max="5881" width="6.44140625" style="112" customWidth="1"/>
    <col min="5882" max="5882" width="10.44140625" style="112" customWidth="1"/>
    <col min="5883" max="5883" width="6.21875" style="112" customWidth="1"/>
    <col min="5884" max="5884" width="35.44140625" style="112" customWidth="1"/>
    <col min="5885" max="5885" width="4.77734375" style="112" customWidth="1"/>
    <col min="5886" max="5886" width="39" style="112" customWidth="1"/>
    <col min="5887" max="5887" width="5" style="112" customWidth="1"/>
    <col min="5888" max="5888" width="19.33203125" style="112" customWidth="1"/>
    <col min="5889" max="5889" width="2.33203125" style="112" customWidth="1"/>
    <col min="5890" max="5890" width="19.33203125" style="112" customWidth="1"/>
    <col min="5891" max="5891" width="2.33203125" style="112" customWidth="1"/>
    <col min="5892" max="5892" width="19.33203125" style="112" customWidth="1"/>
    <col min="5893" max="5893" width="19.33203125" style="112"/>
    <col min="5894" max="5894" width="6.44140625" style="112" customWidth="1"/>
    <col min="5895" max="5895" width="19.33203125" style="112" customWidth="1"/>
    <col min="5896" max="5896" width="2.33203125" style="112" customWidth="1"/>
    <col min="5897" max="5897" width="19.33203125" style="112" customWidth="1"/>
    <col min="5898" max="5898" width="2.33203125" style="112" customWidth="1"/>
    <col min="5899" max="5899" width="19.33203125" style="112"/>
    <col min="5900" max="5900" width="6.44140625" style="112" customWidth="1"/>
    <col min="5901" max="5901" width="19.33203125" style="112" customWidth="1"/>
    <col min="5902" max="5902" width="2.33203125" style="112" customWidth="1"/>
    <col min="5903" max="5903" width="19.33203125" style="112" customWidth="1"/>
    <col min="5904" max="5904" width="2.33203125" style="112" customWidth="1"/>
    <col min="5905" max="5905" width="19.33203125" style="112" customWidth="1"/>
    <col min="5906" max="5906" width="6.33203125" style="112" customWidth="1"/>
    <col min="5907" max="5907" width="19.33203125" style="112" customWidth="1"/>
    <col min="5908" max="5908" width="2.21875" style="112" customWidth="1"/>
    <col min="5909" max="5909" width="19.33203125" style="112"/>
    <col min="5910" max="5910" width="2.21875" style="112" customWidth="1"/>
    <col min="5911" max="6136" width="19.33203125" style="112"/>
    <col min="6137" max="6137" width="6.44140625" style="112" customWidth="1"/>
    <col min="6138" max="6138" width="10.44140625" style="112" customWidth="1"/>
    <col min="6139" max="6139" width="6.21875" style="112" customWidth="1"/>
    <col min="6140" max="6140" width="35.44140625" style="112" customWidth="1"/>
    <col min="6141" max="6141" width="4.77734375" style="112" customWidth="1"/>
    <col min="6142" max="6142" width="39" style="112" customWidth="1"/>
    <col min="6143" max="6143" width="5" style="112" customWidth="1"/>
    <col min="6144" max="6144" width="19.33203125" style="112" customWidth="1"/>
    <col min="6145" max="6145" width="2.33203125" style="112" customWidth="1"/>
    <col min="6146" max="6146" width="19.33203125" style="112" customWidth="1"/>
    <col min="6147" max="6147" width="2.33203125" style="112" customWidth="1"/>
    <col min="6148" max="6148" width="19.33203125" style="112" customWidth="1"/>
    <col min="6149" max="6149" width="19.33203125" style="112"/>
    <col min="6150" max="6150" width="6.44140625" style="112" customWidth="1"/>
    <col min="6151" max="6151" width="19.33203125" style="112" customWidth="1"/>
    <col min="6152" max="6152" width="2.33203125" style="112" customWidth="1"/>
    <col min="6153" max="6153" width="19.33203125" style="112" customWidth="1"/>
    <col min="6154" max="6154" width="2.33203125" style="112" customWidth="1"/>
    <col min="6155" max="6155" width="19.33203125" style="112"/>
    <col min="6156" max="6156" width="6.44140625" style="112" customWidth="1"/>
    <col min="6157" max="6157" width="19.33203125" style="112" customWidth="1"/>
    <col min="6158" max="6158" width="2.33203125" style="112" customWidth="1"/>
    <col min="6159" max="6159" width="19.33203125" style="112" customWidth="1"/>
    <col min="6160" max="6160" width="2.33203125" style="112" customWidth="1"/>
    <col min="6161" max="6161" width="19.33203125" style="112" customWidth="1"/>
    <col min="6162" max="6162" width="6.33203125" style="112" customWidth="1"/>
    <col min="6163" max="6163" width="19.33203125" style="112" customWidth="1"/>
    <col min="6164" max="6164" width="2.21875" style="112" customWidth="1"/>
    <col min="6165" max="6165" width="19.33203125" style="112"/>
    <col min="6166" max="6166" width="2.21875" style="112" customWidth="1"/>
    <col min="6167" max="6392" width="19.33203125" style="112"/>
    <col min="6393" max="6393" width="6.44140625" style="112" customWidth="1"/>
    <col min="6394" max="6394" width="10.44140625" style="112" customWidth="1"/>
    <col min="6395" max="6395" width="6.21875" style="112" customWidth="1"/>
    <col min="6396" max="6396" width="35.44140625" style="112" customWidth="1"/>
    <col min="6397" max="6397" width="4.77734375" style="112" customWidth="1"/>
    <col min="6398" max="6398" width="39" style="112" customWidth="1"/>
    <col min="6399" max="6399" width="5" style="112" customWidth="1"/>
    <col min="6400" max="6400" width="19.33203125" style="112" customWidth="1"/>
    <col min="6401" max="6401" width="2.33203125" style="112" customWidth="1"/>
    <col min="6402" max="6402" width="19.33203125" style="112" customWidth="1"/>
    <col min="6403" max="6403" width="2.33203125" style="112" customWidth="1"/>
    <col min="6404" max="6404" width="19.33203125" style="112" customWidth="1"/>
    <col min="6405" max="6405" width="19.33203125" style="112"/>
    <col min="6406" max="6406" width="6.44140625" style="112" customWidth="1"/>
    <col min="6407" max="6407" width="19.33203125" style="112" customWidth="1"/>
    <col min="6408" max="6408" width="2.33203125" style="112" customWidth="1"/>
    <col min="6409" max="6409" width="19.33203125" style="112" customWidth="1"/>
    <col min="6410" max="6410" width="2.33203125" style="112" customWidth="1"/>
    <col min="6411" max="6411" width="19.33203125" style="112"/>
    <col min="6412" max="6412" width="6.44140625" style="112" customWidth="1"/>
    <col min="6413" max="6413" width="19.33203125" style="112" customWidth="1"/>
    <col min="6414" max="6414" width="2.33203125" style="112" customWidth="1"/>
    <col min="6415" max="6415" width="19.33203125" style="112" customWidth="1"/>
    <col min="6416" max="6416" width="2.33203125" style="112" customWidth="1"/>
    <col min="6417" max="6417" width="19.33203125" style="112" customWidth="1"/>
    <col min="6418" max="6418" width="6.33203125" style="112" customWidth="1"/>
    <col min="6419" max="6419" width="19.33203125" style="112" customWidth="1"/>
    <col min="6420" max="6420" width="2.21875" style="112" customWidth="1"/>
    <col min="6421" max="6421" width="19.33203125" style="112"/>
    <col min="6422" max="6422" width="2.21875" style="112" customWidth="1"/>
    <col min="6423" max="6648" width="19.33203125" style="112"/>
    <col min="6649" max="6649" width="6.44140625" style="112" customWidth="1"/>
    <col min="6650" max="6650" width="10.44140625" style="112" customWidth="1"/>
    <col min="6651" max="6651" width="6.21875" style="112" customWidth="1"/>
    <col min="6652" max="6652" width="35.44140625" style="112" customWidth="1"/>
    <col min="6653" max="6653" width="4.77734375" style="112" customWidth="1"/>
    <col min="6654" max="6654" width="39" style="112" customWidth="1"/>
    <col min="6655" max="6655" width="5" style="112" customWidth="1"/>
    <col min="6656" max="6656" width="19.33203125" style="112" customWidth="1"/>
    <col min="6657" max="6657" width="2.33203125" style="112" customWidth="1"/>
    <col min="6658" max="6658" width="19.33203125" style="112" customWidth="1"/>
    <col min="6659" max="6659" width="2.33203125" style="112" customWidth="1"/>
    <col min="6660" max="6660" width="19.33203125" style="112" customWidth="1"/>
    <col min="6661" max="6661" width="19.33203125" style="112"/>
    <col min="6662" max="6662" width="6.44140625" style="112" customWidth="1"/>
    <col min="6663" max="6663" width="19.33203125" style="112" customWidth="1"/>
    <col min="6664" max="6664" width="2.33203125" style="112" customWidth="1"/>
    <col min="6665" max="6665" width="19.33203125" style="112" customWidth="1"/>
    <col min="6666" max="6666" width="2.33203125" style="112" customWidth="1"/>
    <col min="6667" max="6667" width="19.33203125" style="112"/>
    <col min="6668" max="6668" width="6.44140625" style="112" customWidth="1"/>
    <col min="6669" max="6669" width="19.33203125" style="112" customWidth="1"/>
    <col min="6670" max="6670" width="2.33203125" style="112" customWidth="1"/>
    <col min="6671" max="6671" width="19.33203125" style="112" customWidth="1"/>
    <col min="6672" max="6672" width="2.33203125" style="112" customWidth="1"/>
    <col min="6673" max="6673" width="19.33203125" style="112" customWidth="1"/>
    <col min="6674" max="6674" width="6.33203125" style="112" customWidth="1"/>
    <col min="6675" max="6675" width="19.33203125" style="112" customWidth="1"/>
    <col min="6676" max="6676" width="2.21875" style="112" customWidth="1"/>
    <col min="6677" max="6677" width="19.33203125" style="112"/>
    <col min="6678" max="6678" width="2.21875" style="112" customWidth="1"/>
    <col min="6679" max="6904" width="19.33203125" style="112"/>
    <col min="6905" max="6905" width="6.44140625" style="112" customWidth="1"/>
    <col min="6906" max="6906" width="10.44140625" style="112" customWidth="1"/>
    <col min="6907" max="6907" width="6.21875" style="112" customWidth="1"/>
    <col min="6908" max="6908" width="35.44140625" style="112" customWidth="1"/>
    <col min="6909" max="6909" width="4.77734375" style="112" customWidth="1"/>
    <col min="6910" max="6910" width="39" style="112" customWidth="1"/>
    <col min="6911" max="6911" width="5" style="112" customWidth="1"/>
    <col min="6912" max="6912" width="19.33203125" style="112" customWidth="1"/>
    <col min="6913" max="6913" width="2.33203125" style="112" customWidth="1"/>
    <col min="6914" max="6914" width="19.33203125" style="112" customWidth="1"/>
    <col min="6915" max="6915" width="2.33203125" style="112" customWidth="1"/>
    <col min="6916" max="6916" width="19.33203125" style="112" customWidth="1"/>
    <col min="6917" max="6917" width="19.33203125" style="112"/>
    <col min="6918" max="6918" width="6.44140625" style="112" customWidth="1"/>
    <col min="6919" max="6919" width="19.33203125" style="112" customWidth="1"/>
    <col min="6920" max="6920" width="2.33203125" style="112" customWidth="1"/>
    <col min="6921" max="6921" width="19.33203125" style="112" customWidth="1"/>
    <col min="6922" max="6922" width="2.33203125" style="112" customWidth="1"/>
    <col min="6923" max="6923" width="19.33203125" style="112"/>
    <col min="6924" max="6924" width="6.44140625" style="112" customWidth="1"/>
    <col min="6925" max="6925" width="19.33203125" style="112" customWidth="1"/>
    <col min="6926" max="6926" width="2.33203125" style="112" customWidth="1"/>
    <col min="6927" max="6927" width="19.33203125" style="112" customWidth="1"/>
    <col min="6928" max="6928" width="2.33203125" style="112" customWidth="1"/>
    <col min="6929" max="6929" width="19.33203125" style="112" customWidth="1"/>
    <col min="6930" max="6930" width="6.33203125" style="112" customWidth="1"/>
    <col min="6931" max="6931" width="19.33203125" style="112" customWidth="1"/>
    <col min="6932" max="6932" width="2.21875" style="112" customWidth="1"/>
    <col min="6933" max="6933" width="19.33203125" style="112"/>
    <col min="6934" max="6934" width="2.21875" style="112" customWidth="1"/>
    <col min="6935" max="7160" width="19.33203125" style="112"/>
    <col min="7161" max="7161" width="6.44140625" style="112" customWidth="1"/>
    <col min="7162" max="7162" width="10.44140625" style="112" customWidth="1"/>
    <col min="7163" max="7163" width="6.21875" style="112" customWidth="1"/>
    <col min="7164" max="7164" width="35.44140625" style="112" customWidth="1"/>
    <col min="7165" max="7165" width="4.77734375" style="112" customWidth="1"/>
    <col min="7166" max="7166" width="39" style="112" customWidth="1"/>
    <col min="7167" max="7167" width="5" style="112" customWidth="1"/>
    <col min="7168" max="7168" width="19.33203125" style="112" customWidth="1"/>
    <col min="7169" max="7169" width="2.33203125" style="112" customWidth="1"/>
    <col min="7170" max="7170" width="19.33203125" style="112" customWidth="1"/>
    <col min="7171" max="7171" width="2.33203125" style="112" customWidth="1"/>
    <col min="7172" max="7172" width="19.33203125" style="112" customWidth="1"/>
    <col min="7173" max="7173" width="19.33203125" style="112"/>
    <col min="7174" max="7174" width="6.44140625" style="112" customWidth="1"/>
    <col min="7175" max="7175" width="19.33203125" style="112" customWidth="1"/>
    <col min="7176" max="7176" width="2.33203125" style="112" customWidth="1"/>
    <col min="7177" max="7177" width="19.33203125" style="112" customWidth="1"/>
    <col min="7178" max="7178" width="2.33203125" style="112" customWidth="1"/>
    <col min="7179" max="7179" width="19.33203125" style="112"/>
    <col min="7180" max="7180" width="6.44140625" style="112" customWidth="1"/>
    <col min="7181" max="7181" width="19.33203125" style="112" customWidth="1"/>
    <col min="7182" max="7182" width="2.33203125" style="112" customWidth="1"/>
    <col min="7183" max="7183" width="19.33203125" style="112" customWidth="1"/>
    <col min="7184" max="7184" width="2.33203125" style="112" customWidth="1"/>
    <col min="7185" max="7185" width="19.33203125" style="112" customWidth="1"/>
    <col min="7186" max="7186" width="6.33203125" style="112" customWidth="1"/>
    <col min="7187" max="7187" width="19.33203125" style="112" customWidth="1"/>
    <col min="7188" max="7188" width="2.21875" style="112" customWidth="1"/>
    <col min="7189" max="7189" width="19.33203125" style="112"/>
    <col min="7190" max="7190" width="2.21875" style="112" customWidth="1"/>
    <col min="7191" max="7416" width="19.33203125" style="112"/>
    <col min="7417" max="7417" width="6.44140625" style="112" customWidth="1"/>
    <col min="7418" max="7418" width="10.44140625" style="112" customWidth="1"/>
    <col min="7419" max="7419" width="6.21875" style="112" customWidth="1"/>
    <col min="7420" max="7420" width="35.44140625" style="112" customWidth="1"/>
    <col min="7421" max="7421" width="4.77734375" style="112" customWidth="1"/>
    <col min="7422" max="7422" width="39" style="112" customWidth="1"/>
    <col min="7423" max="7423" width="5" style="112" customWidth="1"/>
    <col min="7424" max="7424" width="19.33203125" style="112" customWidth="1"/>
    <col min="7425" max="7425" width="2.33203125" style="112" customWidth="1"/>
    <col min="7426" max="7426" width="19.33203125" style="112" customWidth="1"/>
    <col min="7427" max="7427" width="2.33203125" style="112" customWidth="1"/>
    <col min="7428" max="7428" width="19.33203125" style="112" customWidth="1"/>
    <col min="7429" max="7429" width="19.33203125" style="112"/>
    <col min="7430" max="7430" width="6.44140625" style="112" customWidth="1"/>
    <col min="7431" max="7431" width="19.33203125" style="112" customWidth="1"/>
    <col min="7432" max="7432" width="2.33203125" style="112" customWidth="1"/>
    <col min="7433" max="7433" width="19.33203125" style="112" customWidth="1"/>
    <col min="7434" max="7434" width="2.33203125" style="112" customWidth="1"/>
    <col min="7435" max="7435" width="19.33203125" style="112"/>
    <col min="7436" max="7436" width="6.44140625" style="112" customWidth="1"/>
    <col min="7437" max="7437" width="19.33203125" style="112" customWidth="1"/>
    <col min="7438" max="7438" width="2.33203125" style="112" customWidth="1"/>
    <col min="7439" max="7439" width="19.33203125" style="112" customWidth="1"/>
    <col min="7440" max="7440" width="2.33203125" style="112" customWidth="1"/>
    <col min="7441" max="7441" width="19.33203125" style="112" customWidth="1"/>
    <col min="7442" max="7442" width="6.33203125" style="112" customWidth="1"/>
    <col min="7443" max="7443" width="19.33203125" style="112" customWidth="1"/>
    <col min="7444" max="7444" width="2.21875" style="112" customWidth="1"/>
    <col min="7445" max="7445" width="19.33203125" style="112"/>
    <col min="7446" max="7446" width="2.21875" style="112" customWidth="1"/>
    <col min="7447" max="7672" width="19.33203125" style="112"/>
    <col min="7673" max="7673" width="6.44140625" style="112" customWidth="1"/>
    <col min="7674" max="7674" width="10.44140625" style="112" customWidth="1"/>
    <col min="7675" max="7675" width="6.21875" style="112" customWidth="1"/>
    <col min="7676" max="7676" width="35.44140625" style="112" customWidth="1"/>
    <col min="7677" max="7677" width="4.77734375" style="112" customWidth="1"/>
    <col min="7678" max="7678" width="39" style="112" customWidth="1"/>
    <col min="7679" max="7679" width="5" style="112" customWidth="1"/>
    <col min="7680" max="7680" width="19.33203125" style="112" customWidth="1"/>
    <col min="7681" max="7681" width="2.33203125" style="112" customWidth="1"/>
    <col min="7682" max="7682" width="19.33203125" style="112" customWidth="1"/>
    <col min="7683" max="7683" width="2.33203125" style="112" customWidth="1"/>
    <col min="7684" max="7684" width="19.33203125" style="112" customWidth="1"/>
    <col min="7685" max="7685" width="19.33203125" style="112"/>
    <col min="7686" max="7686" width="6.44140625" style="112" customWidth="1"/>
    <col min="7687" max="7687" width="19.33203125" style="112" customWidth="1"/>
    <col min="7688" max="7688" width="2.33203125" style="112" customWidth="1"/>
    <col min="7689" max="7689" width="19.33203125" style="112" customWidth="1"/>
    <col min="7690" max="7690" width="2.33203125" style="112" customWidth="1"/>
    <col min="7691" max="7691" width="19.33203125" style="112"/>
    <col min="7692" max="7692" width="6.44140625" style="112" customWidth="1"/>
    <col min="7693" max="7693" width="19.33203125" style="112" customWidth="1"/>
    <col min="7694" max="7694" width="2.33203125" style="112" customWidth="1"/>
    <col min="7695" max="7695" width="19.33203125" style="112" customWidth="1"/>
    <col min="7696" max="7696" width="2.33203125" style="112" customWidth="1"/>
    <col min="7697" max="7697" width="19.33203125" style="112" customWidth="1"/>
    <col min="7698" max="7698" width="6.33203125" style="112" customWidth="1"/>
    <col min="7699" max="7699" width="19.33203125" style="112" customWidth="1"/>
    <col min="7700" max="7700" width="2.21875" style="112" customWidth="1"/>
    <col min="7701" max="7701" width="19.33203125" style="112"/>
    <col min="7702" max="7702" width="2.21875" style="112" customWidth="1"/>
    <col min="7703" max="7928" width="19.33203125" style="112"/>
    <col min="7929" max="7929" width="6.44140625" style="112" customWidth="1"/>
    <col min="7930" max="7930" width="10.44140625" style="112" customWidth="1"/>
    <col min="7931" max="7931" width="6.21875" style="112" customWidth="1"/>
    <col min="7932" max="7932" width="35.44140625" style="112" customWidth="1"/>
    <col min="7933" max="7933" width="4.77734375" style="112" customWidth="1"/>
    <col min="7934" max="7934" width="39" style="112" customWidth="1"/>
    <col min="7935" max="7935" width="5" style="112" customWidth="1"/>
    <col min="7936" max="7936" width="19.33203125" style="112" customWidth="1"/>
    <col min="7937" max="7937" width="2.33203125" style="112" customWidth="1"/>
    <col min="7938" max="7938" width="19.33203125" style="112" customWidth="1"/>
    <col min="7939" max="7939" width="2.33203125" style="112" customWidth="1"/>
    <col min="7940" max="7940" width="19.33203125" style="112" customWidth="1"/>
    <col min="7941" max="7941" width="19.33203125" style="112"/>
    <col min="7942" max="7942" width="6.44140625" style="112" customWidth="1"/>
    <col min="7943" max="7943" width="19.33203125" style="112" customWidth="1"/>
    <col min="7944" max="7944" width="2.33203125" style="112" customWidth="1"/>
    <col min="7945" max="7945" width="19.33203125" style="112" customWidth="1"/>
    <col min="7946" max="7946" width="2.33203125" style="112" customWidth="1"/>
    <col min="7947" max="7947" width="19.33203125" style="112"/>
    <col min="7948" max="7948" width="6.44140625" style="112" customWidth="1"/>
    <col min="7949" max="7949" width="19.33203125" style="112" customWidth="1"/>
    <col min="7950" max="7950" width="2.33203125" style="112" customWidth="1"/>
    <col min="7951" max="7951" width="19.33203125" style="112" customWidth="1"/>
    <col min="7952" max="7952" width="2.33203125" style="112" customWidth="1"/>
    <col min="7953" max="7953" width="19.33203125" style="112" customWidth="1"/>
    <col min="7954" max="7954" width="6.33203125" style="112" customWidth="1"/>
    <col min="7955" max="7955" width="19.33203125" style="112" customWidth="1"/>
    <col min="7956" max="7956" width="2.21875" style="112" customWidth="1"/>
    <col min="7957" max="7957" width="19.33203125" style="112"/>
    <col min="7958" max="7958" width="2.21875" style="112" customWidth="1"/>
    <col min="7959" max="8184" width="19.33203125" style="112"/>
    <col min="8185" max="8185" width="6.44140625" style="112" customWidth="1"/>
    <col min="8186" max="8186" width="10.44140625" style="112" customWidth="1"/>
    <col min="8187" max="8187" width="6.21875" style="112" customWidth="1"/>
    <col min="8188" max="8188" width="35.44140625" style="112" customWidth="1"/>
    <col min="8189" max="8189" width="4.77734375" style="112" customWidth="1"/>
    <col min="8190" max="8190" width="39" style="112" customWidth="1"/>
    <col min="8191" max="8191" width="5" style="112" customWidth="1"/>
    <col min="8192" max="8192" width="19.33203125" style="112" customWidth="1"/>
    <col min="8193" max="8193" width="2.33203125" style="112" customWidth="1"/>
    <col min="8194" max="8194" width="19.33203125" style="112" customWidth="1"/>
    <col min="8195" max="8195" width="2.33203125" style="112" customWidth="1"/>
    <col min="8196" max="8196" width="19.33203125" style="112" customWidth="1"/>
    <col min="8197" max="8197" width="19.33203125" style="112"/>
    <col min="8198" max="8198" width="6.44140625" style="112" customWidth="1"/>
    <col min="8199" max="8199" width="19.33203125" style="112" customWidth="1"/>
    <col min="8200" max="8200" width="2.33203125" style="112" customWidth="1"/>
    <col min="8201" max="8201" width="19.33203125" style="112" customWidth="1"/>
    <col min="8202" max="8202" width="2.33203125" style="112" customWidth="1"/>
    <col min="8203" max="8203" width="19.33203125" style="112"/>
    <col min="8204" max="8204" width="6.44140625" style="112" customWidth="1"/>
    <col min="8205" max="8205" width="19.33203125" style="112" customWidth="1"/>
    <col min="8206" max="8206" width="2.33203125" style="112" customWidth="1"/>
    <col min="8207" max="8207" width="19.33203125" style="112" customWidth="1"/>
    <col min="8208" max="8208" width="2.33203125" style="112" customWidth="1"/>
    <col min="8209" max="8209" width="19.33203125" style="112" customWidth="1"/>
    <col min="8210" max="8210" width="6.33203125" style="112" customWidth="1"/>
    <col min="8211" max="8211" width="19.33203125" style="112" customWidth="1"/>
    <col min="8212" max="8212" width="2.21875" style="112" customWidth="1"/>
    <col min="8213" max="8213" width="19.33203125" style="112"/>
    <col min="8214" max="8214" width="2.21875" style="112" customWidth="1"/>
    <col min="8215" max="8440" width="19.33203125" style="112"/>
    <col min="8441" max="8441" width="6.44140625" style="112" customWidth="1"/>
    <col min="8442" max="8442" width="10.44140625" style="112" customWidth="1"/>
    <col min="8443" max="8443" width="6.21875" style="112" customWidth="1"/>
    <col min="8444" max="8444" width="35.44140625" style="112" customWidth="1"/>
    <col min="8445" max="8445" width="4.77734375" style="112" customWidth="1"/>
    <col min="8446" max="8446" width="39" style="112" customWidth="1"/>
    <col min="8447" max="8447" width="5" style="112" customWidth="1"/>
    <col min="8448" max="8448" width="19.33203125" style="112" customWidth="1"/>
    <col min="8449" max="8449" width="2.33203125" style="112" customWidth="1"/>
    <col min="8450" max="8450" width="19.33203125" style="112" customWidth="1"/>
    <col min="8451" max="8451" width="2.33203125" style="112" customWidth="1"/>
    <col min="8452" max="8452" width="19.33203125" style="112" customWidth="1"/>
    <col min="8453" max="8453" width="19.33203125" style="112"/>
    <col min="8454" max="8454" width="6.44140625" style="112" customWidth="1"/>
    <col min="8455" max="8455" width="19.33203125" style="112" customWidth="1"/>
    <col min="8456" max="8456" width="2.33203125" style="112" customWidth="1"/>
    <col min="8457" max="8457" width="19.33203125" style="112" customWidth="1"/>
    <col min="8458" max="8458" width="2.33203125" style="112" customWidth="1"/>
    <col min="8459" max="8459" width="19.33203125" style="112"/>
    <col min="8460" max="8460" width="6.44140625" style="112" customWidth="1"/>
    <col min="8461" max="8461" width="19.33203125" style="112" customWidth="1"/>
    <col min="8462" max="8462" width="2.33203125" style="112" customWidth="1"/>
    <col min="8463" max="8463" width="19.33203125" style="112" customWidth="1"/>
    <col min="8464" max="8464" width="2.33203125" style="112" customWidth="1"/>
    <col min="8465" max="8465" width="19.33203125" style="112" customWidth="1"/>
    <col min="8466" max="8466" width="6.33203125" style="112" customWidth="1"/>
    <col min="8467" max="8467" width="19.33203125" style="112" customWidth="1"/>
    <col min="8468" max="8468" width="2.21875" style="112" customWidth="1"/>
    <col min="8469" max="8469" width="19.33203125" style="112"/>
    <col min="8470" max="8470" width="2.21875" style="112" customWidth="1"/>
    <col min="8471" max="8696" width="19.33203125" style="112"/>
    <col min="8697" max="8697" width="6.44140625" style="112" customWidth="1"/>
    <col min="8698" max="8698" width="10.44140625" style="112" customWidth="1"/>
    <col min="8699" max="8699" width="6.21875" style="112" customWidth="1"/>
    <col min="8700" max="8700" width="35.44140625" style="112" customWidth="1"/>
    <col min="8701" max="8701" width="4.77734375" style="112" customWidth="1"/>
    <col min="8702" max="8702" width="39" style="112" customWidth="1"/>
    <col min="8703" max="8703" width="5" style="112" customWidth="1"/>
    <col min="8704" max="8704" width="19.33203125" style="112" customWidth="1"/>
    <col min="8705" max="8705" width="2.33203125" style="112" customWidth="1"/>
    <col min="8706" max="8706" width="19.33203125" style="112" customWidth="1"/>
    <col min="8707" max="8707" width="2.33203125" style="112" customWidth="1"/>
    <col min="8708" max="8708" width="19.33203125" style="112" customWidth="1"/>
    <col min="8709" max="8709" width="19.33203125" style="112"/>
    <col min="8710" max="8710" width="6.44140625" style="112" customWidth="1"/>
    <col min="8711" max="8711" width="19.33203125" style="112" customWidth="1"/>
    <col min="8712" max="8712" width="2.33203125" style="112" customWidth="1"/>
    <col min="8713" max="8713" width="19.33203125" style="112" customWidth="1"/>
    <col min="8714" max="8714" width="2.33203125" style="112" customWidth="1"/>
    <col min="8715" max="8715" width="19.33203125" style="112"/>
    <col min="8716" max="8716" width="6.44140625" style="112" customWidth="1"/>
    <col min="8717" max="8717" width="19.33203125" style="112" customWidth="1"/>
    <col min="8718" max="8718" width="2.33203125" style="112" customWidth="1"/>
    <col min="8719" max="8719" width="19.33203125" style="112" customWidth="1"/>
    <col min="8720" max="8720" width="2.33203125" style="112" customWidth="1"/>
    <col min="8721" max="8721" width="19.33203125" style="112" customWidth="1"/>
    <col min="8722" max="8722" width="6.33203125" style="112" customWidth="1"/>
    <col min="8723" max="8723" width="19.33203125" style="112" customWidth="1"/>
    <col min="8724" max="8724" width="2.21875" style="112" customWidth="1"/>
    <col min="8725" max="8725" width="19.33203125" style="112"/>
    <col min="8726" max="8726" width="2.21875" style="112" customWidth="1"/>
    <col min="8727" max="8952" width="19.33203125" style="112"/>
    <col min="8953" max="8953" width="6.44140625" style="112" customWidth="1"/>
    <col min="8954" max="8954" width="10.44140625" style="112" customWidth="1"/>
    <col min="8955" max="8955" width="6.21875" style="112" customWidth="1"/>
    <col min="8956" max="8956" width="35.44140625" style="112" customWidth="1"/>
    <col min="8957" max="8957" width="4.77734375" style="112" customWidth="1"/>
    <col min="8958" max="8958" width="39" style="112" customWidth="1"/>
    <col min="8959" max="8959" width="5" style="112" customWidth="1"/>
    <col min="8960" max="8960" width="19.33203125" style="112" customWidth="1"/>
    <col min="8961" max="8961" width="2.33203125" style="112" customWidth="1"/>
    <col min="8962" max="8962" width="19.33203125" style="112" customWidth="1"/>
    <col min="8963" max="8963" width="2.33203125" style="112" customWidth="1"/>
    <col min="8964" max="8964" width="19.33203125" style="112" customWidth="1"/>
    <col min="8965" max="8965" width="19.33203125" style="112"/>
    <col min="8966" max="8966" width="6.44140625" style="112" customWidth="1"/>
    <col min="8967" max="8967" width="19.33203125" style="112" customWidth="1"/>
    <col min="8968" max="8968" width="2.33203125" style="112" customWidth="1"/>
    <col min="8969" max="8969" width="19.33203125" style="112" customWidth="1"/>
    <col min="8970" max="8970" width="2.33203125" style="112" customWidth="1"/>
    <col min="8971" max="8971" width="19.33203125" style="112"/>
    <col min="8972" max="8972" width="6.44140625" style="112" customWidth="1"/>
    <col min="8973" max="8973" width="19.33203125" style="112" customWidth="1"/>
    <col min="8974" max="8974" width="2.33203125" style="112" customWidth="1"/>
    <col min="8975" max="8975" width="19.33203125" style="112" customWidth="1"/>
    <col min="8976" max="8976" width="2.33203125" style="112" customWidth="1"/>
    <col min="8977" max="8977" width="19.33203125" style="112" customWidth="1"/>
    <col min="8978" max="8978" width="6.33203125" style="112" customWidth="1"/>
    <col min="8979" max="8979" width="19.33203125" style="112" customWidth="1"/>
    <col min="8980" max="8980" width="2.21875" style="112" customWidth="1"/>
    <col min="8981" max="8981" width="19.33203125" style="112"/>
    <col min="8982" max="8982" width="2.21875" style="112" customWidth="1"/>
    <col min="8983" max="9208" width="19.33203125" style="112"/>
    <col min="9209" max="9209" width="6.44140625" style="112" customWidth="1"/>
    <col min="9210" max="9210" width="10.44140625" style="112" customWidth="1"/>
    <col min="9211" max="9211" width="6.21875" style="112" customWidth="1"/>
    <col min="9212" max="9212" width="35.44140625" style="112" customWidth="1"/>
    <col min="9213" max="9213" width="4.77734375" style="112" customWidth="1"/>
    <col min="9214" max="9214" width="39" style="112" customWidth="1"/>
    <col min="9215" max="9215" width="5" style="112" customWidth="1"/>
    <col min="9216" max="9216" width="19.33203125" style="112" customWidth="1"/>
    <col min="9217" max="9217" width="2.33203125" style="112" customWidth="1"/>
    <col min="9218" max="9218" width="19.33203125" style="112" customWidth="1"/>
    <col min="9219" max="9219" width="2.33203125" style="112" customWidth="1"/>
    <col min="9220" max="9220" width="19.33203125" style="112" customWidth="1"/>
    <col min="9221" max="9221" width="19.33203125" style="112"/>
    <col min="9222" max="9222" width="6.44140625" style="112" customWidth="1"/>
    <col min="9223" max="9223" width="19.33203125" style="112" customWidth="1"/>
    <col min="9224" max="9224" width="2.33203125" style="112" customWidth="1"/>
    <col min="9225" max="9225" width="19.33203125" style="112" customWidth="1"/>
    <col min="9226" max="9226" width="2.33203125" style="112" customWidth="1"/>
    <col min="9227" max="9227" width="19.33203125" style="112"/>
    <col min="9228" max="9228" width="6.44140625" style="112" customWidth="1"/>
    <col min="9229" max="9229" width="19.33203125" style="112" customWidth="1"/>
    <col min="9230" max="9230" width="2.33203125" style="112" customWidth="1"/>
    <col min="9231" max="9231" width="19.33203125" style="112" customWidth="1"/>
    <col min="9232" max="9232" width="2.33203125" style="112" customWidth="1"/>
    <col min="9233" max="9233" width="19.33203125" style="112" customWidth="1"/>
    <col min="9234" max="9234" width="6.33203125" style="112" customWidth="1"/>
    <col min="9235" max="9235" width="19.33203125" style="112" customWidth="1"/>
    <col min="9236" max="9236" width="2.21875" style="112" customWidth="1"/>
    <col min="9237" max="9237" width="19.33203125" style="112"/>
    <col min="9238" max="9238" width="2.21875" style="112" customWidth="1"/>
    <col min="9239" max="9464" width="19.33203125" style="112"/>
    <col min="9465" max="9465" width="6.44140625" style="112" customWidth="1"/>
    <col min="9466" max="9466" width="10.44140625" style="112" customWidth="1"/>
    <col min="9467" max="9467" width="6.21875" style="112" customWidth="1"/>
    <col min="9468" max="9468" width="35.44140625" style="112" customWidth="1"/>
    <col min="9469" max="9469" width="4.77734375" style="112" customWidth="1"/>
    <col min="9470" max="9470" width="39" style="112" customWidth="1"/>
    <col min="9471" max="9471" width="5" style="112" customWidth="1"/>
    <col min="9472" max="9472" width="19.33203125" style="112" customWidth="1"/>
    <col min="9473" max="9473" width="2.33203125" style="112" customWidth="1"/>
    <col min="9474" max="9474" width="19.33203125" style="112" customWidth="1"/>
    <col min="9475" max="9475" width="2.33203125" style="112" customWidth="1"/>
    <col min="9476" max="9476" width="19.33203125" style="112" customWidth="1"/>
    <col min="9477" max="9477" width="19.33203125" style="112"/>
    <col min="9478" max="9478" width="6.44140625" style="112" customWidth="1"/>
    <col min="9479" max="9479" width="19.33203125" style="112" customWidth="1"/>
    <col min="9480" max="9480" width="2.33203125" style="112" customWidth="1"/>
    <col min="9481" max="9481" width="19.33203125" style="112" customWidth="1"/>
    <col min="9482" max="9482" width="2.33203125" style="112" customWidth="1"/>
    <col min="9483" max="9483" width="19.33203125" style="112"/>
    <col min="9484" max="9484" width="6.44140625" style="112" customWidth="1"/>
    <col min="9485" max="9485" width="19.33203125" style="112" customWidth="1"/>
    <col min="9486" max="9486" width="2.33203125" style="112" customWidth="1"/>
    <col min="9487" max="9487" width="19.33203125" style="112" customWidth="1"/>
    <col min="9488" max="9488" width="2.33203125" style="112" customWidth="1"/>
    <col min="9489" max="9489" width="19.33203125" style="112" customWidth="1"/>
    <col min="9490" max="9490" width="6.33203125" style="112" customWidth="1"/>
    <col min="9491" max="9491" width="19.33203125" style="112" customWidth="1"/>
    <col min="9492" max="9492" width="2.21875" style="112" customWidth="1"/>
    <col min="9493" max="9493" width="19.33203125" style="112"/>
    <col min="9494" max="9494" width="2.21875" style="112" customWidth="1"/>
    <col min="9495" max="9720" width="19.33203125" style="112"/>
    <col min="9721" max="9721" width="6.44140625" style="112" customWidth="1"/>
    <col min="9722" max="9722" width="10.44140625" style="112" customWidth="1"/>
    <col min="9723" max="9723" width="6.21875" style="112" customWidth="1"/>
    <col min="9724" max="9724" width="35.44140625" style="112" customWidth="1"/>
    <col min="9725" max="9725" width="4.77734375" style="112" customWidth="1"/>
    <col min="9726" max="9726" width="39" style="112" customWidth="1"/>
    <col min="9727" max="9727" width="5" style="112" customWidth="1"/>
    <col min="9728" max="9728" width="19.33203125" style="112" customWidth="1"/>
    <col min="9729" max="9729" width="2.33203125" style="112" customWidth="1"/>
    <col min="9730" max="9730" width="19.33203125" style="112" customWidth="1"/>
    <col min="9731" max="9731" width="2.33203125" style="112" customWidth="1"/>
    <col min="9732" max="9732" width="19.33203125" style="112" customWidth="1"/>
    <col min="9733" max="9733" width="19.33203125" style="112"/>
    <col min="9734" max="9734" width="6.44140625" style="112" customWidth="1"/>
    <col min="9735" max="9735" width="19.33203125" style="112" customWidth="1"/>
    <col min="9736" max="9736" width="2.33203125" style="112" customWidth="1"/>
    <col min="9737" max="9737" width="19.33203125" style="112" customWidth="1"/>
    <col min="9738" max="9738" width="2.33203125" style="112" customWidth="1"/>
    <col min="9739" max="9739" width="19.33203125" style="112"/>
    <col min="9740" max="9740" width="6.44140625" style="112" customWidth="1"/>
    <col min="9741" max="9741" width="19.33203125" style="112" customWidth="1"/>
    <col min="9742" max="9742" width="2.33203125" style="112" customWidth="1"/>
    <col min="9743" max="9743" width="19.33203125" style="112" customWidth="1"/>
    <col min="9744" max="9744" width="2.33203125" style="112" customWidth="1"/>
    <col min="9745" max="9745" width="19.33203125" style="112" customWidth="1"/>
    <col min="9746" max="9746" width="6.33203125" style="112" customWidth="1"/>
    <col min="9747" max="9747" width="19.33203125" style="112" customWidth="1"/>
    <col min="9748" max="9748" width="2.21875" style="112" customWidth="1"/>
    <col min="9749" max="9749" width="19.33203125" style="112"/>
    <col min="9750" max="9750" width="2.21875" style="112" customWidth="1"/>
    <col min="9751" max="9976" width="19.33203125" style="112"/>
    <col min="9977" max="9977" width="6.44140625" style="112" customWidth="1"/>
    <col min="9978" max="9978" width="10.44140625" style="112" customWidth="1"/>
    <col min="9979" max="9979" width="6.21875" style="112" customWidth="1"/>
    <col min="9980" max="9980" width="35.44140625" style="112" customWidth="1"/>
    <col min="9981" max="9981" width="4.77734375" style="112" customWidth="1"/>
    <col min="9982" max="9982" width="39" style="112" customWidth="1"/>
    <col min="9983" max="9983" width="5" style="112" customWidth="1"/>
    <col min="9984" max="9984" width="19.33203125" style="112" customWidth="1"/>
    <col min="9985" max="9985" width="2.33203125" style="112" customWidth="1"/>
    <col min="9986" max="9986" width="19.33203125" style="112" customWidth="1"/>
    <col min="9987" max="9987" width="2.33203125" style="112" customWidth="1"/>
    <col min="9988" max="9988" width="19.33203125" style="112" customWidth="1"/>
    <col min="9989" max="9989" width="19.33203125" style="112"/>
    <col min="9990" max="9990" width="6.44140625" style="112" customWidth="1"/>
    <col min="9991" max="9991" width="19.33203125" style="112" customWidth="1"/>
    <col min="9992" max="9992" width="2.33203125" style="112" customWidth="1"/>
    <col min="9993" max="9993" width="19.33203125" style="112" customWidth="1"/>
    <col min="9994" max="9994" width="2.33203125" style="112" customWidth="1"/>
    <col min="9995" max="9995" width="19.33203125" style="112"/>
    <col min="9996" max="9996" width="6.44140625" style="112" customWidth="1"/>
    <col min="9997" max="9997" width="19.33203125" style="112" customWidth="1"/>
    <col min="9998" max="9998" width="2.33203125" style="112" customWidth="1"/>
    <col min="9999" max="9999" width="19.33203125" style="112" customWidth="1"/>
    <col min="10000" max="10000" width="2.33203125" style="112" customWidth="1"/>
    <col min="10001" max="10001" width="19.33203125" style="112" customWidth="1"/>
    <col min="10002" max="10002" width="6.33203125" style="112" customWidth="1"/>
    <col min="10003" max="10003" width="19.33203125" style="112" customWidth="1"/>
    <col min="10004" max="10004" width="2.21875" style="112" customWidth="1"/>
    <col min="10005" max="10005" width="19.33203125" style="112"/>
    <col min="10006" max="10006" width="2.21875" style="112" customWidth="1"/>
    <col min="10007" max="10232" width="19.33203125" style="112"/>
    <col min="10233" max="10233" width="6.44140625" style="112" customWidth="1"/>
    <col min="10234" max="10234" width="10.44140625" style="112" customWidth="1"/>
    <col min="10235" max="10235" width="6.21875" style="112" customWidth="1"/>
    <col min="10236" max="10236" width="35.44140625" style="112" customWidth="1"/>
    <col min="10237" max="10237" width="4.77734375" style="112" customWidth="1"/>
    <col min="10238" max="10238" width="39" style="112" customWidth="1"/>
    <col min="10239" max="10239" width="5" style="112" customWidth="1"/>
    <col min="10240" max="10240" width="19.33203125" style="112" customWidth="1"/>
    <col min="10241" max="10241" width="2.33203125" style="112" customWidth="1"/>
    <col min="10242" max="10242" width="19.33203125" style="112" customWidth="1"/>
    <col min="10243" max="10243" width="2.33203125" style="112" customWidth="1"/>
    <col min="10244" max="10244" width="19.33203125" style="112" customWidth="1"/>
    <col min="10245" max="10245" width="19.33203125" style="112"/>
    <col min="10246" max="10246" width="6.44140625" style="112" customWidth="1"/>
    <col min="10247" max="10247" width="19.33203125" style="112" customWidth="1"/>
    <col min="10248" max="10248" width="2.33203125" style="112" customWidth="1"/>
    <col min="10249" max="10249" width="19.33203125" style="112" customWidth="1"/>
    <col min="10250" max="10250" width="2.33203125" style="112" customWidth="1"/>
    <col min="10251" max="10251" width="19.33203125" style="112"/>
    <col min="10252" max="10252" width="6.44140625" style="112" customWidth="1"/>
    <col min="10253" max="10253" width="19.33203125" style="112" customWidth="1"/>
    <col min="10254" max="10254" width="2.33203125" style="112" customWidth="1"/>
    <col min="10255" max="10255" width="19.33203125" style="112" customWidth="1"/>
    <col min="10256" max="10256" width="2.33203125" style="112" customWidth="1"/>
    <col min="10257" max="10257" width="19.33203125" style="112" customWidth="1"/>
    <col min="10258" max="10258" width="6.33203125" style="112" customWidth="1"/>
    <col min="10259" max="10259" width="19.33203125" style="112" customWidth="1"/>
    <col min="10260" max="10260" width="2.21875" style="112" customWidth="1"/>
    <col min="10261" max="10261" width="19.33203125" style="112"/>
    <col min="10262" max="10262" width="2.21875" style="112" customWidth="1"/>
    <col min="10263" max="10488" width="19.33203125" style="112"/>
    <col min="10489" max="10489" width="6.44140625" style="112" customWidth="1"/>
    <col min="10490" max="10490" width="10.44140625" style="112" customWidth="1"/>
    <col min="10491" max="10491" width="6.21875" style="112" customWidth="1"/>
    <col min="10492" max="10492" width="35.44140625" style="112" customWidth="1"/>
    <col min="10493" max="10493" width="4.77734375" style="112" customWidth="1"/>
    <col min="10494" max="10494" width="39" style="112" customWidth="1"/>
    <col min="10495" max="10495" width="5" style="112" customWidth="1"/>
    <col min="10496" max="10496" width="19.33203125" style="112" customWidth="1"/>
    <col min="10497" max="10497" width="2.33203125" style="112" customWidth="1"/>
    <col min="10498" max="10498" width="19.33203125" style="112" customWidth="1"/>
    <col min="10499" max="10499" width="2.33203125" style="112" customWidth="1"/>
    <col min="10500" max="10500" width="19.33203125" style="112" customWidth="1"/>
    <col min="10501" max="10501" width="19.33203125" style="112"/>
    <col min="10502" max="10502" width="6.44140625" style="112" customWidth="1"/>
    <col min="10503" max="10503" width="19.33203125" style="112" customWidth="1"/>
    <col min="10504" max="10504" width="2.33203125" style="112" customWidth="1"/>
    <col min="10505" max="10505" width="19.33203125" style="112" customWidth="1"/>
    <col min="10506" max="10506" width="2.33203125" style="112" customWidth="1"/>
    <col min="10507" max="10507" width="19.33203125" style="112"/>
    <col min="10508" max="10508" width="6.44140625" style="112" customWidth="1"/>
    <col min="10509" max="10509" width="19.33203125" style="112" customWidth="1"/>
    <col min="10510" max="10510" width="2.33203125" style="112" customWidth="1"/>
    <col min="10511" max="10511" width="19.33203125" style="112" customWidth="1"/>
    <col min="10512" max="10512" width="2.33203125" style="112" customWidth="1"/>
    <col min="10513" max="10513" width="19.33203125" style="112" customWidth="1"/>
    <col min="10514" max="10514" width="6.33203125" style="112" customWidth="1"/>
    <col min="10515" max="10515" width="19.33203125" style="112" customWidth="1"/>
    <col min="10516" max="10516" width="2.21875" style="112" customWidth="1"/>
    <col min="10517" max="10517" width="19.33203125" style="112"/>
    <col min="10518" max="10518" width="2.21875" style="112" customWidth="1"/>
    <col min="10519" max="10744" width="19.33203125" style="112"/>
    <col min="10745" max="10745" width="6.44140625" style="112" customWidth="1"/>
    <col min="10746" max="10746" width="10.44140625" style="112" customWidth="1"/>
    <col min="10747" max="10747" width="6.21875" style="112" customWidth="1"/>
    <col min="10748" max="10748" width="35.44140625" style="112" customWidth="1"/>
    <col min="10749" max="10749" width="4.77734375" style="112" customWidth="1"/>
    <col min="10750" max="10750" width="39" style="112" customWidth="1"/>
    <col min="10751" max="10751" width="5" style="112" customWidth="1"/>
    <col min="10752" max="10752" width="19.33203125" style="112" customWidth="1"/>
    <col min="10753" max="10753" width="2.33203125" style="112" customWidth="1"/>
    <col min="10754" max="10754" width="19.33203125" style="112" customWidth="1"/>
    <col min="10755" max="10755" width="2.33203125" style="112" customWidth="1"/>
    <col min="10756" max="10756" width="19.33203125" style="112" customWidth="1"/>
    <col min="10757" max="10757" width="19.33203125" style="112"/>
    <col min="10758" max="10758" width="6.44140625" style="112" customWidth="1"/>
    <col min="10759" max="10759" width="19.33203125" style="112" customWidth="1"/>
    <col min="10760" max="10760" width="2.33203125" style="112" customWidth="1"/>
    <col min="10761" max="10761" width="19.33203125" style="112" customWidth="1"/>
    <col min="10762" max="10762" width="2.33203125" style="112" customWidth="1"/>
    <col min="10763" max="10763" width="19.33203125" style="112"/>
    <col min="10764" max="10764" width="6.44140625" style="112" customWidth="1"/>
    <col min="10765" max="10765" width="19.33203125" style="112" customWidth="1"/>
    <col min="10766" max="10766" width="2.33203125" style="112" customWidth="1"/>
    <col min="10767" max="10767" width="19.33203125" style="112" customWidth="1"/>
    <col min="10768" max="10768" width="2.33203125" style="112" customWidth="1"/>
    <col min="10769" max="10769" width="19.33203125" style="112" customWidth="1"/>
    <col min="10770" max="10770" width="6.33203125" style="112" customWidth="1"/>
    <col min="10771" max="10771" width="19.33203125" style="112" customWidth="1"/>
    <col min="10772" max="10772" width="2.21875" style="112" customWidth="1"/>
    <col min="10773" max="10773" width="19.33203125" style="112"/>
    <col min="10774" max="10774" width="2.21875" style="112" customWidth="1"/>
    <col min="10775" max="11000" width="19.33203125" style="112"/>
    <col min="11001" max="11001" width="6.44140625" style="112" customWidth="1"/>
    <col min="11002" max="11002" width="10.44140625" style="112" customWidth="1"/>
    <col min="11003" max="11003" width="6.21875" style="112" customWidth="1"/>
    <col min="11004" max="11004" width="35.44140625" style="112" customWidth="1"/>
    <col min="11005" max="11005" width="4.77734375" style="112" customWidth="1"/>
    <col min="11006" max="11006" width="39" style="112" customWidth="1"/>
    <col min="11007" max="11007" width="5" style="112" customWidth="1"/>
    <col min="11008" max="11008" width="19.33203125" style="112" customWidth="1"/>
    <col min="11009" max="11009" width="2.33203125" style="112" customWidth="1"/>
    <col min="11010" max="11010" width="19.33203125" style="112" customWidth="1"/>
    <col min="11011" max="11011" width="2.33203125" style="112" customWidth="1"/>
    <col min="11012" max="11012" width="19.33203125" style="112" customWidth="1"/>
    <col min="11013" max="11013" width="19.33203125" style="112"/>
    <col min="11014" max="11014" width="6.44140625" style="112" customWidth="1"/>
    <col min="11015" max="11015" width="19.33203125" style="112" customWidth="1"/>
    <col min="11016" max="11016" width="2.33203125" style="112" customWidth="1"/>
    <col min="11017" max="11017" width="19.33203125" style="112" customWidth="1"/>
    <col min="11018" max="11018" width="2.33203125" style="112" customWidth="1"/>
    <col min="11019" max="11019" width="19.33203125" style="112"/>
    <col min="11020" max="11020" width="6.44140625" style="112" customWidth="1"/>
    <col min="11021" max="11021" width="19.33203125" style="112" customWidth="1"/>
    <col min="11022" max="11022" width="2.33203125" style="112" customWidth="1"/>
    <col min="11023" max="11023" width="19.33203125" style="112" customWidth="1"/>
    <col min="11024" max="11024" width="2.33203125" style="112" customWidth="1"/>
    <col min="11025" max="11025" width="19.33203125" style="112" customWidth="1"/>
    <col min="11026" max="11026" width="6.33203125" style="112" customWidth="1"/>
    <col min="11027" max="11027" width="19.33203125" style="112" customWidth="1"/>
    <col min="11028" max="11028" width="2.21875" style="112" customWidth="1"/>
    <col min="11029" max="11029" width="19.33203125" style="112"/>
    <col min="11030" max="11030" width="2.21875" style="112" customWidth="1"/>
    <col min="11031" max="11256" width="19.33203125" style="112"/>
    <col min="11257" max="11257" width="6.44140625" style="112" customWidth="1"/>
    <col min="11258" max="11258" width="10.44140625" style="112" customWidth="1"/>
    <col min="11259" max="11259" width="6.21875" style="112" customWidth="1"/>
    <col min="11260" max="11260" width="35.44140625" style="112" customWidth="1"/>
    <col min="11261" max="11261" width="4.77734375" style="112" customWidth="1"/>
    <col min="11262" max="11262" width="39" style="112" customWidth="1"/>
    <col min="11263" max="11263" width="5" style="112" customWidth="1"/>
    <col min="11264" max="11264" width="19.33203125" style="112" customWidth="1"/>
    <col min="11265" max="11265" width="2.33203125" style="112" customWidth="1"/>
    <col min="11266" max="11266" width="19.33203125" style="112" customWidth="1"/>
    <col min="11267" max="11267" width="2.33203125" style="112" customWidth="1"/>
    <col min="11268" max="11268" width="19.33203125" style="112" customWidth="1"/>
    <col min="11269" max="11269" width="19.33203125" style="112"/>
    <col min="11270" max="11270" width="6.44140625" style="112" customWidth="1"/>
    <col min="11271" max="11271" width="19.33203125" style="112" customWidth="1"/>
    <col min="11272" max="11272" width="2.33203125" style="112" customWidth="1"/>
    <col min="11273" max="11273" width="19.33203125" style="112" customWidth="1"/>
    <col min="11274" max="11274" width="2.33203125" style="112" customWidth="1"/>
    <col min="11275" max="11275" width="19.33203125" style="112"/>
    <col min="11276" max="11276" width="6.44140625" style="112" customWidth="1"/>
    <col min="11277" max="11277" width="19.33203125" style="112" customWidth="1"/>
    <col min="11278" max="11278" width="2.33203125" style="112" customWidth="1"/>
    <col min="11279" max="11279" width="19.33203125" style="112" customWidth="1"/>
    <col min="11280" max="11280" width="2.33203125" style="112" customWidth="1"/>
    <col min="11281" max="11281" width="19.33203125" style="112" customWidth="1"/>
    <col min="11282" max="11282" width="6.33203125" style="112" customWidth="1"/>
    <col min="11283" max="11283" width="19.33203125" style="112" customWidth="1"/>
    <col min="11284" max="11284" width="2.21875" style="112" customWidth="1"/>
    <col min="11285" max="11285" width="19.33203125" style="112"/>
    <col min="11286" max="11286" width="2.21875" style="112" customWidth="1"/>
    <col min="11287" max="11512" width="19.33203125" style="112"/>
    <col min="11513" max="11513" width="6.44140625" style="112" customWidth="1"/>
    <col min="11514" max="11514" width="10.44140625" style="112" customWidth="1"/>
    <col min="11515" max="11515" width="6.21875" style="112" customWidth="1"/>
    <col min="11516" max="11516" width="35.44140625" style="112" customWidth="1"/>
    <col min="11517" max="11517" width="4.77734375" style="112" customWidth="1"/>
    <col min="11518" max="11518" width="39" style="112" customWidth="1"/>
    <col min="11519" max="11519" width="5" style="112" customWidth="1"/>
    <col min="11520" max="11520" width="19.33203125" style="112" customWidth="1"/>
    <col min="11521" max="11521" width="2.33203125" style="112" customWidth="1"/>
    <col min="11522" max="11522" width="19.33203125" style="112" customWidth="1"/>
    <col min="11523" max="11523" width="2.33203125" style="112" customWidth="1"/>
    <col min="11524" max="11524" width="19.33203125" style="112" customWidth="1"/>
    <col min="11525" max="11525" width="19.33203125" style="112"/>
    <col min="11526" max="11526" width="6.44140625" style="112" customWidth="1"/>
    <col min="11527" max="11527" width="19.33203125" style="112" customWidth="1"/>
    <col min="11528" max="11528" width="2.33203125" style="112" customWidth="1"/>
    <col min="11529" max="11529" width="19.33203125" style="112" customWidth="1"/>
    <col min="11530" max="11530" width="2.33203125" style="112" customWidth="1"/>
    <col min="11531" max="11531" width="19.33203125" style="112"/>
    <col min="11532" max="11532" width="6.44140625" style="112" customWidth="1"/>
    <col min="11533" max="11533" width="19.33203125" style="112" customWidth="1"/>
    <col min="11534" max="11534" width="2.33203125" style="112" customWidth="1"/>
    <col min="11535" max="11535" width="19.33203125" style="112" customWidth="1"/>
    <col min="11536" max="11536" width="2.33203125" style="112" customWidth="1"/>
    <col min="11537" max="11537" width="19.33203125" style="112" customWidth="1"/>
    <col min="11538" max="11538" width="6.33203125" style="112" customWidth="1"/>
    <col min="11539" max="11539" width="19.33203125" style="112" customWidth="1"/>
    <col min="11540" max="11540" width="2.21875" style="112" customWidth="1"/>
    <col min="11541" max="11541" width="19.33203125" style="112"/>
    <col min="11542" max="11542" width="2.21875" style="112" customWidth="1"/>
    <col min="11543" max="11768" width="19.33203125" style="112"/>
    <col min="11769" max="11769" width="6.44140625" style="112" customWidth="1"/>
    <col min="11770" max="11770" width="10.44140625" style="112" customWidth="1"/>
    <col min="11771" max="11771" width="6.21875" style="112" customWidth="1"/>
    <col min="11772" max="11772" width="35.44140625" style="112" customWidth="1"/>
    <col min="11773" max="11773" width="4.77734375" style="112" customWidth="1"/>
    <col min="11774" max="11774" width="39" style="112" customWidth="1"/>
    <col min="11775" max="11775" width="5" style="112" customWidth="1"/>
    <col min="11776" max="11776" width="19.33203125" style="112" customWidth="1"/>
    <col min="11777" max="11777" width="2.33203125" style="112" customWidth="1"/>
    <col min="11778" max="11778" width="19.33203125" style="112" customWidth="1"/>
    <col min="11779" max="11779" width="2.33203125" style="112" customWidth="1"/>
    <col min="11780" max="11780" width="19.33203125" style="112" customWidth="1"/>
    <col min="11781" max="11781" width="19.33203125" style="112"/>
    <col min="11782" max="11782" width="6.44140625" style="112" customWidth="1"/>
    <col min="11783" max="11783" width="19.33203125" style="112" customWidth="1"/>
    <col min="11784" max="11784" width="2.33203125" style="112" customWidth="1"/>
    <col min="11785" max="11785" width="19.33203125" style="112" customWidth="1"/>
    <col min="11786" max="11786" width="2.33203125" style="112" customWidth="1"/>
    <col min="11787" max="11787" width="19.33203125" style="112"/>
    <col min="11788" max="11788" width="6.44140625" style="112" customWidth="1"/>
    <col min="11789" max="11789" width="19.33203125" style="112" customWidth="1"/>
    <col min="11790" max="11790" width="2.33203125" style="112" customWidth="1"/>
    <col min="11791" max="11791" width="19.33203125" style="112" customWidth="1"/>
    <col min="11792" max="11792" width="2.33203125" style="112" customWidth="1"/>
    <col min="11793" max="11793" width="19.33203125" style="112" customWidth="1"/>
    <col min="11794" max="11794" width="6.33203125" style="112" customWidth="1"/>
    <col min="11795" max="11795" width="19.33203125" style="112" customWidth="1"/>
    <col min="11796" max="11796" width="2.21875" style="112" customWidth="1"/>
    <col min="11797" max="11797" width="19.33203125" style="112"/>
    <col min="11798" max="11798" width="2.21875" style="112" customWidth="1"/>
    <col min="11799" max="12024" width="19.33203125" style="112"/>
    <col min="12025" max="12025" width="6.44140625" style="112" customWidth="1"/>
    <col min="12026" max="12026" width="10.44140625" style="112" customWidth="1"/>
    <col min="12027" max="12027" width="6.21875" style="112" customWidth="1"/>
    <col min="12028" max="12028" width="35.44140625" style="112" customWidth="1"/>
    <col min="12029" max="12029" width="4.77734375" style="112" customWidth="1"/>
    <col min="12030" max="12030" width="39" style="112" customWidth="1"/>
    <col min="12031" max="12031" width="5" style="112" customWidth="1"/>
    <col min="12032" max="12032" width="19.33203125" style="112" customWidth="1"/>
    <col min="12033" max="12033" width="2.33203125" style="112" customWidth="1"/>
    <col min="12034" max="12034" width="19.33203125" style="112" customWidth="1"/>
    <col min="12035" max="12035" width="2.33203125" style="112" customWidth="1"/>
    <col min="12036" max="12036" width="19.33203125" style="112" customWidth="1"/>
    <col min="12037" max="12037" width="19.33203125" style="112"/>
    <col min="12038" max="12038" width="6.44140625" style="112" customWidth="1"/>
    <col min="12039" max="12039" width="19.33203125" style="112" customWidth="1"/>
    <col min="12040" max="12040" width="2.33203125" style="112" customWidth="1"/>
    <col min="12041" max="12041" width="19.33203125" style="112" customWidth="1"/>
    <col min="12042" max="12042" width="2.33203125" style="112" customWidth="1"/>
    <col min="12043" max="12043" width="19.33203125" style="112"/>
    <col min="12044" max="12044" width="6.44140625" style="112" customWidth="1"/>
    <col min="12045" max="12045" width="19.33203125" style="112" customWidth="1"/>
    <col min="12046" max="12046" width="2.33203125" style="112" customWidth="1"/>
    <col min="12047" max="12047" width="19.33203125" style="112" customWidth="1"/>
    <col min="12048" max="12048" width="2.33203125" style="112" customWidth="1"/>
    <col min="12049" max="12049" width="19.33203125" style="112" customWidth="1"/>
    <col min="12050" max="12050" width="6.33203125" style="112" customWidth="1"/>
    <col min="12051" max="12051" width="19.33203125" style="112" customWidth="1"/>
    <col min="12052" max="12052" width="2.21875" style="112" customWidth="1"/>
    <col min="12053" max="12053" width="19.33203125" style="112"/>
    <col min="12054" max="12054" width="2.21875" style="112" customWidth="1"/>
    <col min="12055" max="12280" width="19.33203125" style="112"/>
    <col min="12281" max="12281" width="6.44140625" style="112" customWidth="1"/>
    <col min="12282" max="12282" width="10.44140625" style="112" customWidth="1"/>
    <col min="12283" max="12283" width="6.21875" style="112" customWidth="1"/>
    <col min="12284" max="12284" width="35.44140625" style="112" customWidth="1"/>
    <col min="12285" max="12285" width="4.77734375" style="112" customWidth="1"/>
    <col min="12286" max="12286" width="39" style="112" customWidth="1"/>
    <col min="12287" max="12287" width="5" style="112" customWidth="1"/>
    <col min="12288" max="12288" width="19.33203125" style="112" customWidth="1"/>
    <col min="12289" max="12289" width="2.33203125" style="112" customWidth="1"/>
    <col min="12290" max="12290" width="19.33203125" style="112" customWidth="1"/>
    <col min="12291" max="12291" width="2.33203125" style="112" customWidth="1"/>
    <col min="12292" max="12292" width="19.33203125" style="112" customWidth="1"/>
    <col min="12293" max="12293" width="19.33203125" style="112"/>
    <col min="12294" max="12294" width="6.44140625" style="112" customWidth="1"/>
    <col min="12295" max="12295" width="19.33203125" style="112" customWidth="1"/>
    <col min="12296" max="12296" width="2.33203125" style="112" customWidth="1"/>
    <col min="12297" max="12297" width="19.33203125" style="112" customWidth="1"/>
    <col min="12298" max="12298" width="2.33203125" style="112" customWidth="1"/>
    <col min="12299" max="12299" width="19.33203125" style="112"/>
    <col min="12300" max="12300" width="6.44140625" style="112" customWidth="1"/>
    <col min="12301" max="12301" width="19.33203125" style="112" customWidth="1"/>
    <col min="12302" max="12302" width="2.33203125" style="112" customWidth="1"/>
    <col min="12303" max="12303" width="19.33203125" style="112" customWidth="1"/>
    <col min="12304" max="12304" width="2.33203125" style="112" customWidth="1"/>
    <col min="12305" max="12305" width="19.33203125" style="112" customWidth="1"/>
    <col min="12306" max="12306" width="6.33203125" style="112" customWidth="1"/>
    <col min="12307" max="12307" width="19.33203125" style="112" customWidth="1"/>
    <col min="12308" max="12308" width="2.21875" style="112" customWidth="1"/>
    <col min="12309" max="12309" width="19.33203125" style="112"/>
    <col min="12310" max="12310" width="2.21875" style="112" customWidth="1"/>
    <col min="12311" max="12536" width="19.33203125" style="112"/>
    <col min="12537" max="12537" width="6.44140625" style="112" customWidth="1"/>
    <col min="12538" max="12538" width="10.44140625" style="112" customWidth="1"/>
    <col min="12539" max="12539" width="6.21875" style="112" customWidth="1"/>
    <col min="12540" max="12540" width="35.44140625" style="112" customWidth="1"/>
    <col min="12541" max="12541" width="4.77734375" style="112" customWidth="1"/>
    <col min="12542" max="12542" width="39" style="112" customWidth="1"/>
    <col min="12543" max="12543" width="5" style="112" customWidth="1"/>
    <col min="12544" max="12544" width="19.33203125" style="112" customWidth="1"/>
    <col min="12545" max="12545" width="2.33203125" style="112" customWidth="1"/>
    <col min="12546" max="12546" width="19.33203125" style="112" customWidth="1"/>
    <col min="12547" max="12547" width="2.33203125" style="112" customWidth="1"/>
    <col min="12548" max="12548" width="19.33203125" style="112" customWidth="1"/>
    <col min="12549" max="12549" width="19.33203125" style="112"/>
    <col min="12550" max="12550" width="6.44140625" style="112" customWidth="1"/>
    <col min="12551" max="12551" width="19.33203125" style="112" customWidth="1"/>
    <col min="12552" max="12552" width="2.33203125" style="112" customWidth="1"/>
    <col min="12553" max="12553" width="19.33203125" style="112" customWidth="1"/>
    <col min="12554" max="12554" width="2.33203125" style="112" customWidth="1"/>
    <col min="12555" max="12555" width="19.33203125" style="112"/>
    <col min="12556" max="12556" width="6.44140625" style="112" customWidth="1"/>
    <col min="12557" max="12557" width="19.33203125" style="112" customWidth="1"/>
    <col min="12558" max="12558" width="2.33203125" style="112" customWidth="1"/>
    <col min="12559" max="12559" width="19.33203125" style="112" customWidth="1"/>
    <col min="12560" max="12560" width="2.33203125" style="112" customWidth="1"/>
    <col min="12561" max="12561" width="19.33203125" style="112" customWidth="1"/>
    <col min="12562" max="12562" width="6.33203125" style="112" customWidth="1"/>
    <col min="12563" max="12563" width="19.33203125" style="112" customWidth="1"/>
    <col min="12564" max="12564" width="2.21875" style="112" customWidth="1"/>
    <col min="12565" max="12565" width="19.33203125" style="112"/>
    <col min="12566" max="12566" width="2.21875" style="112" customWidth="1"/>
    <col min="12567" max="12792" width="19.33203125" style="112"/>
    <col min="12793" max="12793" width="6.44140625" style="112" customWidth="1"/>
    <col min="12794" max="12794" width="10.44140625" style="112" customWidth="1"/>
    <col min="12795" max="12795" width="6.21875" style="112" customWidth="1"/>
    <col min="12796" max="12796" width="35.44140625" style="112" customWidth="1"/>
    <col min="12797" max="12797" width="4.77734375" style="112" customWidth="1"/>
    <col min="12798" max="12798" width="39" style="112" customWidth="1"/>
    <col min="12799" max="12799" width="5" style="112" customWidth="1"/>
    <col min="12800" max="12800" width="19.33203125" style="112" customWidth="1"/>
    <col min="12801" max="12801" width="2.33203125" style="112" customWidth="1"/>
    <col min="12802" max="12802" width="19.33203125" style="112" customWidth="1"/>
    <col min="12803" max="12803" width="2.33203125" style="112" customWidth="1"/>
    <col min="12804" max="12804" width="19.33203125" style="112" customWidth="1"/>
    <col min="12805" max="12805" width="19.33203125" style="112"/>
    <col min="12806" max="12806" width="6.44140625" style="112" customWidth="1"/>
    <col min="12807" max="12807" width="19.33203125" style="112" customWidth="1"/>
    <col min="12808" max="12808" width="2.33203125" style="112" customWidth="1"/>
    <col min="12809" max="12809" width="19.33203125" style="112" customWidth="1"/>
    <col min="12810" max="12810" width="2.33203125" style="112" customWidth="1"/>
    <col min="12811" max="12811" width="19.33203125" style="112"/>
    <col min="12812" max="12812" width="6.44140625" style="112" customWidth="1"/>
    <col min="12813" max="12813" width="19.33203125" style="112" customWidth="1"/>
    <col min="12814" max="12814" width="2.33203125" style="112" customWidth="1"/>
    <col min="12815" max="12815" width="19.33203125" style="112" customWidth="1"/>
    <col min="12816" max="12816" width="2.33203125" style="112" customWidth="1"/>
    <col min="12817" max="12817" width="19.33203125" style="112" customWidth="1"/>
    <col min="12818" max="12818" width="6.33203125" style="112" customWidth="1"/>
    <col min="12819" max="12819" width="19.33203125" style="112" customWidth="1"/>
    <col min="12820" max="12820" width="2.21875" style="112" customWidth="1"/>
    <col min="12821" max="12821" width="19.33203125" style="112"/>
    <col min="12822" max="12822" width="2.21875" style="112" customWidth="1"/>
    <col min="12823" max="13048" width="19.33203125" style="112"/>
    <col min="13049" max="13049" width="6.44140625" style="112" customWidth="1"/>
    <col min="13050" max="13050" width="10.44140625" style="112" customWidth="1"/>
    <col min="13051" max="13051" width="6.21875" style="112" customWidth="1"/>
    <col min="13052" max="13052" width="35.44140625" style="112" customWidth="1"/>
    <col min="13053" max="13053" width="4.77734375" style="112" customWidth="1"/>
    <col min="13054" max="13054" width="39" style="112" customWidth="1"/>
    <col min="13055" max="13055" width="5" style="112" customWidth="1"/>
    <col min="13056" max="13056" width="19.33203125" style="112" customWidth="1"/>
    <col min="13057" max="13057" width="2.33203125" style="112" customWidth="1"/>
    <col min="13058" max="13058" width="19.33203125" style="112" customWidth="1"/>
    <col min="13059" max="13059" width="2.33203125" style="112" customWidth="1"/>
    <col min="13060" max="13060" width="19.33203125" style="112" customWidth="1"/>
    <col min="13061" max="13061" width="19.33203125" style="112"/>
    <col min="13062" max="13062" width="6.44140625" style="112" customWidth="1"/>
    <col min="13063" max="13063" width="19.33203125" style="112" customWidth="1"/>
    <col min="13064" max="13064" width="2.33203125" style="112" customWidth="1"/>
    <col min="13065" max="13065" width="19.33203125" style="112" customWidth="1"/>
    <col min="13066" max="13066" width="2.33203125" style="112" customWidth="1"/>
    <col min="13067" max="13067" width="19.33203125" style="112"/>
    <col min="13068" max="13068" width="6.44140625" style="112" customWidth="1"/>
    <col min="13069" max="13069" width="19.33203125" style="112" customWidth="1"/>
    <col min="13070" max="13070" width="2.33203125" style="112" customWidth="1"/>
    <col min="13071" max="13071" width="19.33203125" style="112" customWidth="1"/>
    <col min="13072" max="13072" width="2.33203125" style="112" customWidth="1"/>
    <col min="13073" max="13073" width="19.33203125" style="112" customWidth="1"/>
    <col min="13074" max="13074" width="6.33203125" style="112" customWidth="1"/>
    <col min="13075" max="13075" width="19.33203125" style="112" customWidth="1"/>
    <col min="13076" max="13076" width="2.21875" style="112" customWidth="1"/>
    <col min="13077" max="13077" width="19.33203125" style="112"/>
    <col min="13078" max="13078" width="2.21875" style="112" customWidth="1"/>
    <col min="13079" max="13304" width="19.33203125" style="112"/>
    <col min="13305" max="13305" width="6.44140625" style="112" customWidth="1"/>
    <col min="13306" max="13306" width="10.44140625" style="112" customWidth="1"/>
    <col min="13307" max="13307" width="6.21875" style="112" customWidth="1"/>
    <col min="13308" max="13308" width="35.44140625" style="112" customWidth="1"/>
    <col min="13309" max="13309" width="4.77734375" style="112" customWidth="1"/>
    <col min="13310" max="13310" width="39" style="112" customWidth="1"/>
    <col min="13311" max="13311" width="5" style="112" customWidth="1"/>
    <col min="13312" max="13312" width="19.33203125" style="112" customWidth="1"/>
    <col min="13313" max="13313" width="2.33203125" style="112" customWidth="1"/>
    <col min="13314" max="13314" width="19.33203125" style="112" customWidth="1"/>
    <col min="13315" max="13315" width="2.33203125" style="112" customWidth="1"/>
    <col min="13316" max="13316" width="19.33203125" style="112" customWidth="1"/>
    <col min="13317" max="13317" width="19.33203125" style="112"/>
    <col min="13318" max="13318" width="6.44140625" style="112" customWidth="1"/>
    <col min="13319" max="13319" width="19.33203125" style="112" customWidth="1"/>
    <col min="13320" max="13320" width="2.33203125" style="112" customWidth="1"/>
    <col min="13321" max="13321" width="19.33203125" style="112" customWidth="1"/>
    <col min="13322" max="13322" width="2.33203125" style="112" customWidth="1"/>
    <col min="13323" max="13323" width="19.33203125" style="112"/>
    <col min="13324" max="13324" width="6.44140625" style="112" customWidth="1"/>
    <col min="13325" max="13325" width="19.33203125" style="112" customWidth="1"/>
    <col min="13326" max="13326" width="2.33203125" style="112" customWidth="1"/>
    <col min="13327" max="13327" width="19.33203125" style="112" customWidth="1"/>
    <col min="13328" max="13328" width="2.33203125" style="112" customWidth="1"/>
    <col min="13329" max="13329" width="19.33203125" style="112" customWidth="1"/>
    <col min="13330" max="13330" width="6.33203125" style="112" customWidth="1"/>
    <col min="13331" max="13331" width="19.33203125" style="112" customWidth="1"/>
    <col min="13332" max="13332" width="2.21875" style="112" customWidth="1"/>
    <col min="13333" max="13333" width="19.33203125" style="112"/>
    <col min="13334" max="13334" width="2.21875" style="112" customWidth="1"/>
    <col min="13335" max="13560" width="19.33203125" style="112"/>
    <col min="13561" max="13561" width="6.44140625" style="112" customWidth="1"/>
    <col min="13562" max="13562" width="10.44140625" style="112" customWidth="1"/>
    <col min="13563" max="13563" width="6.21875" style="112" customWidth="1"/>
    <col min="13564" max="13564" width="35.44140625" style="112" customWidth="1"/>
    <col min="13565" max="13565" width="4.77734375" style="112" customWidth="1"/>
    <col min="13566" max="13566" width="39" style="112" customWidth="1"/>
    <col min="13567" max="13567" width="5" style="112" customWidth="1"/>
    <col min="13568" max="13568" width="19.33203125" style="112" customWidth="1"/>
    <col min="13569" max="13569" width="2.33203125" style="112" customWidth="1"/>
    <col min="13570" max="13570" width="19.33203125" style="112" customWidth="1"/>
    <col min="13571" max="13571" width="2.33203125" style="112" customWidth="1"/>
    <col min="13572" max="13572" width="19.33203125" style="112" customWidth="1"/>
    <col min="13573" max="13573" width="19.33203125" style="112"/>
    <col min="13574" max="13574" width="6.44140625" style="112" customWidth="1"/>
    <col min="13575" max="13575" width="19.33203125" style="112" customWidth="1"/>
    <col min="13576" max="13576" width="2.33203125" style="112" customWidth="1"/>
    <col min="13577" max="13577" width="19.33203125" style="112" customWidth="1"/>
    <col min="13578" max="13578" width="2.33203125" style="112" customWidth="1"/>
    <col min="13579" max="13579" width="19.33203125" style="112"/>
    <col min="13580" max="13580" width="6.44140625" style="112" customWidth="1"/>
    <col min="13581" max="13581" width="19.33203125" style="112" customWidth="1"/>
    <col min="13582" max="13582" width="2.33203125" style="112" customWidth="1"/>
    <col min="13583" max="13583" width="19.33203125" style="112" customWidth="1"/>
    <col min="13584" max="13584" width="2.33203125" style="112" customWidth="1"/>
    <col min="13585" max="13585" width="19.33203125" style="112" customWidth="1"/>
    <col min="13586" max="13586" width="6.33203125" style="112" customWidth="1"/>
    <col min="13587" max="13587" width="19.33203125" style="112" customWidth="1"/>
    <col min="13588" max="13588" width="2.21875" style="112" customWidth="1"/>
    <col min="13589" max="13589" width="19.33203125" style="112"/>
    <col min="13590" max="13590" width="2.21875" style="112" customWidth="1"/>
    <col min="13591" max="13816" width="19.33203125" style="112"/>
    <col min="13817" max="13817" width="6.44140625" style="112" customWidth="1"/>
    <col min="13818" max="13818" width="10.44140625" style="112" customWidth="1"/>
    <col min="13819" max="13819" width="6.21875" style="112" customWidth="1"/>
    <col min="13820" max="13820" width="35.44140625" style="112" customWidth="1"/>
    <col min="13821" max="13821" width="4.77734375" style="112" customWidth="1"/>
    <col min="13822" max="13822" width="39" style="112" customWidth="1"/>
    <col min="13823" max="13823" width="5" style="112" customWidth="1"/>
    <col min="13824" max="13824" width="19.33203125" style="112" customWidth="1"/>
    <col min="13825" max="13825" width="2.33203125" style="112" customWidth="1"/>
    <col min="13826" max="13826" width="19.33203125" style="112" customWidth="1"/>
    <col min="13827" max="13827" width="2.33203125" style="112" customWidth="1"/>
    <col min="13828" max="13828" width="19.33203125" style="112" customWidth="1"/>
    <col min="13829" max="13829" width="19.33203125" style="112"/>
    <col min="13830" max="13830" width="6.44140625" style="112" customWidth="1"/>
    <col min="13831" max="13831" width="19.33203125" style="112" customWidth="1"/>
    <col min="13832" max="13832" width="2.33203125" style="112" customWidth="1"/>
    <col min="13833" max="13833" width="19.33203125" style="112" customWidth="1"/>
    <col min="13834" max="13834" width="2.33203125" style="112" customWidth="1"/>
    <col min="13835" max="13835" width="19.33203125" style="112"/>
    <col min="13836" max="13836" width="6.44140625" style="112" customWidth="1"/>
    <col min="13837" max="13837" width="19.33203125" style="112" customWidth="1"/>
    <col min="13838" max="13838" width="2.33203125" style="112" customWidth="1"/>
    <col min="13839" max="13839" width="19.33203125" style="112" customWidth="1"/>
    <col min="13840" max="13840" width="2.33203125" style="112" customWidth="1"/>
    <col min="13841" max="13841" width="19.33203125" style="112" customWidth="1"/>
    <col min="13842" max="13842" width="6.33203125" style="112" customWidth="1"/>
    <col min="13843" max="13843" width="19.33203125" style="112" customWidth="1"/>
    <col min="13844" max="13844" width="2.21875" style="112" customWidth="1"/>
    <col min="13845" max="13845" width="19.33203125" style="112"/>
    <col min="13846" max="13846" width="2.21875" style="112" customWidth="1"/>
    <col min="13847" max="14072" width="19.33203125" style="112"/>
    <col min="14073" max="14073" width="6.44140625" style="112" customWidth="1"/>
    <col min="14074" max="14074" width="10.44140625" style="112" customWidth="1"/>
    <col min="14075" max="14075" width="6.21875" style="112" customWidth="1"/>
    <col min="14076" max="14076" width="35.44140625" style="112" customWidth="1"/>
    <col min="14077" max="14077" width="4.77734375" style="112" customWidth="1"/>
    <col min="14078" max="14078" width="39" style="112" customWidth="1"/>
    <col min="14079" max="14079" width="5" style="112" customWidth="1"/>
    <col min="14080" max="14080" width="19.33203125" style="112" customWidth="1"/>
    <col min="14081" max="14081" width="2.33203125" style="112" customWidth="1"/>
    <col min="14082" max="14082" width="19.33203125" style="112" customWidth="1"/>
    <col min="14083" max="14083" width="2.33203125" style="112" customWidth="1"/>
    <col min="14084" max="14084" width="19.33203125" style="112" customWidth="1"/>
    <col min="14085" max="14085" width="19.33203125" style="112"/>
    <col min="14086" max="14086" width="6.44140625" style="112" customWidth="1"/>
    <col min="14087" max="14087" width="19.33203125" style="112" customWidth="1"/>
    <col min="14088" max="14088" width="2.33203125" style="112" customWidth="1"/>
    <col min="14089" max="14089" width="19.33203125" style="112" customWidth="1"/>
    <col min="14090" max="14090" width="2.33203125" style="112" customWidth="1"/>
    <col min="14091" max="14091" width="19.33203125" style="112"/>
    <col min="14092" max="14092" width="6.44140625" style="112" customWidth="1"/>
    <col min="14093" max="14093" width="19.33203125" style="112" customWidth="1"/>
    <col min="14094" max="14094" width="2.33203125" style="112" customWidth="1"/>
    <col min="14095" max="14095" width="19.33203125" style="112" customWidth="1"/>
    <col min="14096" max="14096" width="2.33203125" style="112" customWidth="1"/>
    <col min="14097" max="14097" width="19.33203125" style="112" customWidth="1"/>
    <col min="14098" max="14098" width="6.33203125" style="112" customWidth="1"/>
    <col min="14099" max="14099" width="19.33203125" style="112" customWidth="1"/>
    <col min="14100" max="14100" width="2.21875" style="112" customWidth="1"/>
    <col min="14101" max="14101" width="19.33203125" style="112"/>
    <col min="14102" max="14102" width="2.21875" style="112" customWidth="1"/>
    <col min="14103" max="14328" width="19.33203125" style="112"/>
    <col min="14329" max="14329" width="6.44140625" style="112" customWidth="1"/>
    <col min="14330" max="14330" width="10.44140625" style="112" customWidth="1"/>
    <col min="14331" max="14331" width="6.21875" style="112" customWidth="1"/>
    <col min="14332" max="14332" width="35.44140625" style="112" customWidth="1"/>
    <col min="14333" max="14333" width="4.77734375" style="112" customWidth="1"/>
    <col min="14334" max="14334" width="39" style="112" customWidth="1"/>
    <col min="14335" max="14335" width="5" style="112" customWidth="1"/>
    <col min="14336" max="14336" width="19.33203125" style="112" customWidth="1"/>
    <col min="14337" max="14337" width="2.33203125" style="112" customWidth="1"/>
    <col min="14338" max="14338" width="19.33203125" style="112" customWidth="1"/>
    <col min="14339" max="14339" width="2.33203125" style="112" customWidth="1"/>
    <col min="14340" max="14340" width="19.33203125" style="112" customWidth="1"/>
    <col min="14341" max="14341" width="19.33203125" style="112"/>
    <col min="14342" max="14342" width="6.44140625" style="112" customWidth="1"/>
    <col min="14343" max="14343" width="19.33203125" style="112" customWidth="1"/>
    <col min="14344" max="14344" width="2.33203125" style="112" customWidth="1"/>
    <col min="14345" max="14345" width="19.33203125" style="112" customWidth="1"/>
    <col min="14346" max="14346" width="2.33203125" style="112" customWidth="1"/>
    <col min="14347" max="14347" width="19.33203125" style="112"/>
    <col min="14348" max="14348" width="6.44140625" style="112" customWidth="1"/>
    <col min="14349" max="14349" width="19.33203125" style="112" customWidth="1"/>
    <col min="14350" max="14350" width="2.33203125" style="112" customWidth="1"/>
    <col min="14351" max="14351" width="19.33203125" style="112" customWidth="1"/>
    <col min="14352" max="14352" width="2.33203125" style="112" customWidth="1"/>
    <col min="14353" max="14353" width="19.33203125" style="112" customWidth="1"/>
    <col min="14354" max="14354" width="6.33203125" style="112" customWidth="1"/>
    <col min="14355" max="14355" width="19.33203125" style="112" customWidth="1"/>
    <col min="14356" max="14356" width="2.21875" style="112" customWidth="1"/>
    <col min="14357" max="14357" width="19.33203125" style="112"/>
    <col min="14358" max="14358" width="2.21875" style="112" customWidth="1"/>
    <col min="14359" max="14584" width="19.33203125" style="112"/>
    <col min="14585" max="14585" width="6.44140625" style="112" customWidth="1"/>
    <col min="14586" max="14586" width="10.44140625" style="112" customWidth="1"/>
    <col min="14587" max="14587" width="6.21875" style="112" customWidth="1"/>
    <col min="14588" max="14588" width="35.44140625" style="112" customWidth="1"/>
    <col min="14589" max="14589" width="4.77734375" style="112" customWidth="1"/>
    <col min="14590" max="14590" width="39" style="112" customWidth="1"/>
    <col min="14591" max="14591" width="5" style="112" customWidth="1"/>
    <col min="14592" max="14592" width="19.33203125" style="112" customWidth="1"/>
    <col min="14593" max="14593" width="2.33203125" style="112" customWidth="1"/>
    <col min="14594" max="14594" width="19.33203125" style="112" customWidth="1"/>
    <col min="14595" max="14595" width="2.33203125" style="112" customWidth="1"/>
    <col min="14596" max="14596" width="19.33203125" style="112" customWidth="1"/>
    <col min="14597" max="14597" width="19.33203125" style="112"/>
    <col min="14598" max="14598" width="6.44140625" style="112" customWidth="1"/>
    <col min="14599" max="14599" width="19.33203125" style="112" customWidth="1"/>
    <col min="14600" max="14600" width="2.33203125" style="112" customWidth="1"/>
    <col min="14601" max="14601" width="19.33203125" style="112" customWidth="1"/>
    <col min="14602" max="14602" width="2.33203125" style="112" customWidth="1"/>
    <col min="14603" max="14603" width="19.33203125" style="112"/>
    <col min="14604" max="14604" width="6.44140625" style="112" customWidth="1"/>
    <col min="14605" max="14605" width="19.33203125" style="112" customWidth="1"/>
    <col min="14606" max="14606" width="2.33203125" style="112" customWidth="1"/>
    <col min="14607" max="14607" width="19.33203125" style="112" customWidth="1"/>
    <col min="14608" max="14608" width="2.33203125" style="112" customWidth="1"/>
    <col min="14609" max="14609" width="19.33203125" style="112" customWidth="1"/>
    <col min="14610" max="14610" width="6.33203125" style="112" customWidth="1"/>
    <col min="14611" max="14611" width="19.33203125" style="112" customWidth="1"/>
    <col min="14612" max="14612" width="2.21875" style="112" customWidth="1"/>
    <col min="14613" max="14613" width="19.33203125" style="112"/>
    <col min="14614" max="14614" width="2.21875" style="112" customWidth="1"/>
    <col min="14615" max="14840" width="19.33203125" style="112"/>
    <col min="14841" max="14841" width="6.44140625" style="112" customWidth="1"/>
    <col min="14842" max="14842" width="10.44140625" style="112" customWidth="1"/>
    <col min="14843" max="14843" width="6.21875" style="112" customWidth="1"/>
    <col min="14844" max="14844" width="35.44140625" style="112" customWidth="1"/>
    <col min="14845" max="14845" width="4.77734375" style="112" customWidth="1"/>
    <col min="14846" max="14846" width="39" style="112" customWidth="1"/>
    <col min="14847" max="14847" width="5" style="112" customWidth="1"/>
    <col min="14848" max="14848" width="19.33203125" style="112" customWidth="1"/>
    <col min="14849" max="14849" width="2.33203125" style="112" customWidth="1"/>
    <col min="14850" max="14850" width="19.33203125" style="112" customWidth="1"/>
    <col min="14851" max="14851" width="2.33203125" style="112" customWidth="1"/>
    <col min="14852" max="14852" width="19.33203125" style="112" customWidth="1"/>
    <col min="14853" max="14853" width="19.33203125" style="112"/>
    <col min="14854" max="14854" width="6.44140625" style="112" customWidth="1"/>
    <col min="14855" max="14855" width="19.33203125" style="112" customWidth="1"/>
    <col min="14856" max="14856" width="2.33203125" style="112" customWidth="1"/>
    <col min="14857" max="14857" width="19.33203125" style="112" customWidth="1"/>
    <col min="14858" max="14858" width="2.33203125" style="112" customWidth="1"/>
    <col min="14859" max="14859" width="19.33203125" style="112"/>
    <col min="14860" max="14860" width="6.44140625" style="112" customWidth="1"/>
    <col min="14861" max="14861" width="19.33203125" style="112" customWidth="1"/>
    <col min="14862" max="14862" width="2.33203125" style="112" customWidth="1"/>
    <col min="14863" max="14863" width="19.33203125" style="112" customWidth="1"/>
    <col min="14864" max="14864" width="2.33203125" style="112" customWidth="1"/>
    <col min="14865" max="14865" width="19.33203125" style="112" customWidth="1"/>
    <col min="14866" max="14866" width="6.33203125" style="112" customWidth="1"/>
    <col min="14867" max="14867" width="19.33203125" style="112" customWidth="1"/>
    <col min="14868" max="14868" width="2.21875" style="112" customWidth="1"/>
    <col min="14869" max="14869" width="19.33203125" style="112"/>
    <col min="14870" max="14870" width="2.21875" style="112" customWidth="1"/>
    <col min="14871" max="15096" width="19.33203125" style="112"/>
    <col min="15097" max="15097" width="6.44140625" style="112" customWidth="1"/>
    <col min="15098" max="15098" width="10.44140625" style="112" customWidth="1"/>
    <col min="15099" max="15099" width="6.21875" style="112" customWidth="1"/>
    <col min="15100" max="15100" width="35.44140625" style="112" customWidth="1"/>
    <col min="15101" max="15101" width="4.77734375" style="112" customWidth="1"/>
    <col min="15102" max="15102" width="39" style="112" customWidth="1"/>
    <col min="15103" max="15103" width="5" style="112" customWidth="1"/>
    <col min="15104" max="15104" width="19.33203125" style="112" customWidth="1"/>
    <col min="15105" max="15105" width="2.33203125" style="112" customWidth="1"/>
    <col min="15106" max="15106" width="19.33203125" style="112" customWidth="1"/>
    <col min="15107" max="15107" width="2.33203125" style="112" customWidth="1"/>
    <col min="15108" max="15108" width="19.33203125" style="112" customWidth="1"/>
    <col min="15109" max="15109" width="19.33203125" style="112"/>
    <col min="15110" max="15110" width="6.44140625" style="112" customWidth="1"/>
    <col min="15111" max="15111" width="19.33203125" style="112" customWidth="1"/>
    <col min="15112" max="15112" width="2.33203125" style="112" customWidth="1"/>
    <col min="15113" max="15113" width="19.33203125" style="112" customWidth="1"/>
    <col min="15114" max="15114" width="2.33203125" style="112" customWidth="1"/>
    <col min="15115" max="15115" width="19.33203125" style="112"/>
    <col min="15116" max="15116" width="6.44140625" style="112" customWidth="1"/>
    <col min="15117" max="15117" width="19.33203125" style="112" customWidth="1"/>
    <col min="15118" max="15118" width="2.33203125" style="112" customWidth="1"/>
    <col min="15119" max="15119" width="19.33203125" style="112" customWidth="1"/>
    <col min="15120" max="15120" width="2.33203125" style="112" customWidth="1"/>
    <col min="15121" max="15121" width="19.33203125" style="112" customWidth="1"/>
    <col min="15122" max="15122" width="6.33203125" style="112" customWidth="1"/>
    <col min="15123" max="15123" width="19.33203125" style="112" customWidth="1"/>
    <col min="15124" max="15124" width="2.21875" style="112" customWidth="1"/>
    <col min="15125" max="15125" width="19.33203125" style="112"/>
    <col min="15126" max="15126" width="2.21875" style="112" customWidth="1"/>
    <col min="15127" max="15352" width="19.33203125" style="112"/>
    <col min="15353" max="15353" width="6.44140625" style="112" customWidth="1"/>
    <col min="15354" max="15354" width="10.44140625" style="112" customWidth="1"/>
    <col min="15355" max="15355" width="6.21875" style="112" customWidth="1"/>
    <col min="15356" max="15356" width="35.44140625" style="112" customWidth="1"/>
    <col min="15357" max="15357" width="4.77734375" style="112" customWidth="1"/>
    <col min="15358" max="15358" width="39" style="112" customWidth="1"/>
    <col min="15359" max="15359" width="5" style="112" customWidth="1"/>
    <col min="15360" max="15360" width="19.33203125" style="112" customWidth="1"/>
    <col min="15361" max="15361" width="2.33203125" style="112" customWidth="1"/>
    <col min="15362" max="15362" width="19.33203125" style="112" customWidth="1"/>
    <col min="15363" max="15363" width="2.33203125" style="112" customWidth="1"/>
    <col min="15364" max="15364" width="19.33203125" style="112" customWidth="1"/>
    <col min="15365" max="15365" width="19.33203125" style="112"/>
    <col min="15366" max="15366" width="6.44140625" style="112" customWidth="1"/>
    <col min="15367" max="15367" width="19.33203125" style="112" customWidth="1"/>
    <col min="15368" max="15368" width="2.33203125" style="112" customWidth="1"/>
    <col min="15369" max="15369" width="19.33203125" style="112" customWidth="1"/>
    <col min="15370" max="15370" width="2.33203125" style="112" customWidth="1"/>
    <col min="15371" max="15371" width="19.33203125" style="112"/>
    <col min="15372" max="15372" width="6.44140625" style="112" customWidth="1"/>
    <col min="15373" max="15373" width="19.33203125" style="112" customWidth="1"/>
    <col min="15374" max="15374" width="2.33203125" style="112" customWidth="1"/>
    <col min="15375" max="15375" width="19.33203125" style="112" customWidth="1"/>
    <col min="15376" max="15376" width="2.33203125" style="112" customWidth="1"/>
    <col min="15377" max="15377" width="19.33203125" style="112" customWidth="1"/>
    <col min="15378" max="15378" width="6.33203125" style="112" customWidth="1"/>
    <col min="15379" max="15379" width="19.33203125" style="112" customWidth="1"/>
    <col min="15380" max="15380" width="2.21875" style="112" customWidth="1"/>
    <col min="15381" max="15381" width="19.33203125" style="112"/>
    <col min="15382" max="15382" width="2.21875" style="112" customWidth="1"/>
    <col min="15383" max="15608" width="19.33203125" style="112"/>
    <col min="15609" max="15609" width="6.44140625" style="112" customWidth="1"/>
    <col min="15610" max="15610" width="10.44140625" style="112" customWidth="1"/>
    <col min="15611" max="15611" width="6.21875" style="112" customWidth="1"/>
    <col min="15612" max="15612" width="35.44140625" style="112" customWidth="1"/>
    <col min="15613" max="15613" width="4.77734375" style="112" customWidth="1"/>
    <col min="15614" max="15614" width="39" style="112" customWidth="1"/>
    <col min="15615" max="15615" width="5" style="112" customWidth="1"/>
    <col min="15616" max="15616" width="19.33203125" style="112" customWidth="1"/>
    <col min="15617" max="15617" width="2.33203125" style="112" customWidth="1"/>
    <col min="15618" max="15618" width="19.33203125" style="112" customWidth="1"/>
    <col min="15619" max="15619" width="2.33203125" style="112" customWidth="1"/>
    <col min="15620" max="15620" width="19.33203125" style="112" customWidth="1"/>
    <col min="15621" max="15621" width="19.33203125" style="112"/>
    <col min="15622" max="15622" width="6.44140625" style="112" customWidth="1"/>
    <col min="15623" max="15623" width="19.33203125" style="112" customWidth="1"/>
    <col min="15624" max="15624" width="2.33203125" style="112" customWidth="1"/>
    <col min="15625" max="15625" width="19.33203125" style="112" customWidth="1"/>
    <col min="15626" max="15626" width="2.33203125" style="112" customWidth="1"/>
    <col min="15627" max="15627" width="19.33203125" style="112"/>
    <col min="15628" max="15628" width="6.44140625" style="112" customWidth="1"/>
    <col min="15629" max="15629" width="19.33203125" style="112" customWidth="1"/>
    <col min="15630" max="15630" width="2.33203125" style="112" customWidth="1"/>
    <col min="15631" max="15631" width="19.33203125" style="112" customWidth="1"/>
    <col min="15632" max="15632" width="2.33203125" style="112" customWidth="1"/>
    <col min="15633" max="15633" width="19.33203125" style="112" customWidth="1"/>
    <col min="15634" max="15634" width="6.33203125" style="112" customWidth="1"/>
    <col min="15635" max="15635" width="19.33203125" style="112" customWidth="1"/>
    <col min="15636" max="15636" width="2.21875" style="112" customWidth="1"/>
    <col min="15637" max="15637" width="19.33203125" style="112"/>
    <col min="15638" max="15638" width="2.21875" style="112" customWidth="1"/>
    <col min="15639" max="15864" width="19.33203125" style="112"/>
    <col min="15865" max="15865" width="6.44140625" style="112" customWidth="1"/>
    <col min="15866" max="15866" width="10.44140625" style="112" customWidth="1"/>
    <col min="15867" max="15867" width="6.21875" style="112" customWidth="1"/>
    <col min="15868" max="15868" width="35.44140625" style="112" customWidth="1"/>
    <col min="15869" max="15869" width="4.77734375" style="112" customWidth="1"/>
    <col min="15870" max="15870" width="39" style="112" customWidth="1"/>
    <col min="15871" max="15871" width="5" style="112" customWidth="1"/>
    <col min="15872" max="15872" width="19.33203125" style="112" customWidth="1"/>
    <col min="15873" max="15873" width="2.33203125" style="112" customWidth="1"/>
    <col min="15874" max="15874" width="19.33203125" style="112" customWidth="1"/>
    <col min="15875" max="15875" width="2.33203125" style="112" customWidth="1"/>
    <col min="15876" max="15876" width="19.33203125" style="112" customWidth="1"/>
    <col min="15877" max="15877" width="19.33203125" style="112"/>
    <col min="15878" max="15878" width="6.44140625" style="112" customWidth="1"/>
    <col min="15879" max="15879" width="19.33203125" style="112" customWidth="1"/>
    <col min="15880" max="15880" width="2.33203125" style="112" customWidth="1"/>
    <col min="15881" max="15881" width="19.33203125" style="112" customWidth="1"/>
    <col min="15882" max="15882" width="2.33203125" style="112" customWidth="1"/>
    <col min="15883" max="15883" width="19.33203125" style="112"/>
    <col min="15884" max="15884" width="6.44140625" style="112" customWidth="1"/>
    <col min="15885" max="15885" width="19.33203125" style="112" customWidth="1"/>
    <col min="15886" max="15886" width="2.33203125" style="112" customWidth="1"/>
    <col min="15887" max="15887" width="19.33203125" style="112" customWidth="1"/>
    <col min="15888" max="15888" width="2.33203125" style="112" customWidth="1"/>
    <col min="15889" max="15889" width="19.33203125" style="112" customWidth="1"/>
    <col min="15890" max="15890" width="6.33203125" style="112" customWidth="1"/>
    <col min="15891" max="15891" width="19.33203125" style="112" customWidth="1"/>
    <col min="15892" max="15892" width="2.21875" style="112" customWidth="1"/>
    <col min="15893" max="15893" width="19.33203125" style="112"/>
    <col min="15894" max="15894" width="2.21875" style="112" customWidth="1"/>
    <col min="15895" max="16120" width="19.33203125" style="112"/>
    <col min="16121" max="16121" width="6.44140625" style="112" customWidth="1"/>
    <col min="16122" max="16122" width="10.44140625" style="112" customWidth="1"/>
    <col min="16123" max="16123" width="6.21875" style="112" customWidth="1"/>
    <col min="16124" max="16124" width="35.44140625" style="112" customWidth="1"/>
    <col min="16125" max="16125" width="4.77734375" style="112" customWidth="1"/>
    <col min="16126" max="16126" width="39" style="112" customWidth="1"/>
    <col min="16127" max="16127" width="5" style="112" customWidth="1"/>
    <col min="16128" max="16128" width="19.33203125" style="112" customWidth="1"/>
    <col min="16129" max="16129" width="2.33203125" style="112" customWidth="1"/>
    <col min="16130" max="16130" width="19.33203125" style="112" customWidth="1"/>
    <col min="16131" max="16131" width="2.33203125" style="112" customWidth="1"/>
    <col min="16132" max="16132" width="19.33203125" style="112" customWidth="1"/>
    <col min="16133" max="16133" width="19.33203125" style="112"/>
    <col min="16134" max="16134" width="6.44140625" style="112" customWidth="1"/>
    <col min="16135" max="16135" width="19.33203125" style="112" customWidth="1"/>
    <col min="16136" max="16136" width="2.33203125" style="112" customWidth="1"/>
    <col min="16137" max="16137" width="19.33203125" style="112" customWidth="1"/>
    <col min="16138" max="16138" width="2.33203125" style="112" customWidth="1"/>
    <col min="16139" max="16139" width="19.33203125" style="112"/>
    <col min="16140" max="16140" width="6.44140625" style="112" customWidth="1"/>
    <col min="16141" max="16141" width="19.33203125" style="112" customWidth="1"/>
    <col min="16142" max="16142" width="2.33203125" style="112" customWidth="1"/>
    <col min="16143" max="16143" width="19.33203125" style="112" customWidth="1"/>
    <col min="16144" max="16144" width="2.33203125" style="112" customWidth="1"/>
    <col min="16145" max="16145" width="19.33203125" style="112" customWidth="1"/>
    <col min="16146" max="16146" width="6.33203125" style="112" customWidth="1"/>
    <col min="16147" max="16147" width="19.33203125" style="112" customWidth="1"/>
    <col min="16148" max="16148" width="2.21875" style="112" customWidth="1"/>
    <col min="16149" max="16149" width="19.33203125" style="112"/>
    <col min="16150" max="16150" width="2.21875" style="112" customWidth="1"/>
    <col min="16151" max="16384" width="19.33203125" style="112"/>
  </cols>
  <sheetData>
    <row r="1" spans="1:23" s="113" customFormat="1">
      <c r="A1" s="191"/>
      <c r="B1" s="191"/>
      <c r="C1" s="192"/>
      <c r="D1" s="192"/>
      <c r="E1" s="196"/>
      <c r="F1" s="196"/>
      <c r="G1" s="184" t="s">
        <v>963</v>
      </c>
      <c r="H1" s="191"/>
      <c r="I1" s="191"/>
      <c r="J1" s="191"/>
      <c r="K1" s="369"/>
      <c r="L1" s="369"/>
      <c r="M1" s="369"/>
      <c r="N1" s="369"/>
      <c r="O1" s="369"/>
      <c r="P1" s="369"/>
      <c r="Q1" s="369"/>
      <c r="R1" s="369"/>
    </row>
    <row r="2" spans="1:23" s="113" customFormat="1">
      <c r="A2" s="191"/>
      <c r="B2" s="191"/>
      <c r="C2" s="192"/>
      <c r="D2" s="192"/>
      <c r="E2" s="196"/>
      <c r="F2" s="196"/>
      <c r="G2" s="163"/>
      <c r="H2" s="191"/>
      <c r="I2" s="191"/>
      <c r="J2" s="191"/>
      <c r="K2" s="369"/>
      <c r="L2" s="369"/>
      <c r="M2" s="369"/>
      <c r="N2" s="369"/>
      <c r="O2" s="369"/>
      <c r="P2" s="369"/>
      <c r="Q2" s="369"/>
      <c r="R2" s="369"/>
    </row>
    <row r="3" spans="1:23" s="113" customFormat="1">
      <c r="A3" s="191"/>
      <c r="B3" s="191"/>
      <c r="C3" s="192"/>
      <c r="D3" s="192"/>
      <c r="E3" s="196"/>
      <c r="F3" s="196"/>
      <c r="G3" s="191"/>
      <c r="H3" s="193"/>
      <c r="I3" s="193"/>
      <c r="J3" s="191"/>
      <c r="K3" s="369"/>
      <c r="L3" s="369"/>
      <c r="M3" s="369"/>
      <c r="N3" s="369"/>
      <c r="O3" s="369"/>
      <c r="P3" s="369"/>
      <c r="Q3" s="369"/>
      <c r="R3" s="369"/>
    </row>
    <row r="4" spans="1:23" s="12" customFormat="1" ht="17.399999999999999">
      <c r="A4" s="194"/>
      <c r="B4" s="194"/>
      <c r="C4" s="194"/>
      <c r="D4" s="194"/>
      <c r="E4" s="613"/>
      <c r="F4" s="613"/>
      <c r="G4" s="2044" t="s">
        <v>200</v>
      </c>
      <c r="H4" s="2044"/>
      <c r="I4" s="2044"/>
      <c r="J4" s="2044"/>
      <c r="K4" s="2044"/>
      <c r="L4" s="2044"/>
      <c r="M4" s="2044"/>
      <c r="N4" s="2044"/>
      <c r="O4" s="2044"/>
      <c r="P4" s="2044"/>
      <c r="Q4" s="2044"/>
    </row>
    <row r="5" spans="1:23" s="12" customFormat="1" ht="17.399999999999999">
      <c r="A5" s="194"/>
      <c r="B5" s="194"/>
      <c r="C5" s="194"/>
      <c r="D5" s="194"/>
      <c r="E5" s="613"/>
      <c r="F5" s="613"/>
      <c r="G5" s="2044" t="s">
        <v>103</v>
      </c>
      <c r="H5" s="2044"/>
      <c r="I5" s="2044"/>
      <c r="J5" s="2044"/>
      <c r="K5" s="2044"/>
      <c r="L5" s="2044"/>
      <c r="M5" s="2044"/>
      <c r="N5" s="2044"/>
      <c r="O5" s="2044"/>
      <c r="P5" s="2044"/>
      <c r="Q5" s="2044"/>
    </row>
    <row r="6" spans="1:23" s="12" customFormat="1" ht="17.399999999999999">
      <c r="A6" s="194"/>
      <c r="B6" s="194"/>
      <c r="C6" s="194"/>
      <c r="D6" s="194"/>
      <c r="E6" s="613"/>
      <c r="F6" s="613"/>
      <c r="G6" s="1985" t="str">
        <f>SUMMARY!A7</f>
        <v>YEAR ENDING DECEMBER 31, 2021</v>
      </c>
      <c r="H6" s="1985"/>
      <c r="I6" s="1985"/>
      <c r="J6" s="1985"/>
      <c r="K6" s="1985"/>
      <c r="L6" s="1985"/>
      <c r="M6" s="1985"/>
      <c r="N6" s="1985"/>
      <c r="O6" s="1985"/>
      <c r="P6" s="1985"/>
      <c r="Q6" s="1985"/>
    </row>
    <row r="7" spans="1:23" s="12" customFormat="1" ht="12" customHeight="1">
      <c r="A7" s="187"/>
      <c r="B7" s="188"/>
      <c r="C7" s="187"/>
      <c r="D7" s="187"/>
      <c r="E7" s="614"/>
      <c r="F7" s="614"/>
      <c r="G7" s="187"/>
      <c r="H7" s="187"/>
      <c r="I7" s="187"/>
      <c r="J7" s="163"/>
      <c r="K7" s="365"/>
      <c r="L7" s="365"/>
      <c r="M7" s="365"/>
      <c r="N7" s="365"/>
      <c r="O7" s="365"/>
      <c r="P7" s="365"/>
      <c r="Q7" s="365"/>
    </row>
    <row r="8" spans="1:23" s="12" customFormat="1" ht="17.399999999999999">
      <c r="A8" s="195"/>
      <c r="B8" s="195"/>
      <c r="C8" s="195"/>
      <c r="D8" s="195"/>
      <c r="E8" s="615"/>
      <c r="F8" s="615"/>
      <c r="G8" s="2045" t="s">
        <v>962</v>
      </c>
      <c r="H8" s="2045"/>
      <c r="I8" s="2045"/>
      <c r="J8" s="2045"/>
      <c r="K8" s="2045"/>
      <c r="L8" s="2045"/>
      <c r="M8" s="2045"/>
      <c r="N8" s="2045"/>
      <c r="O8" s="2045"/>
      <c r="P8" s="2045"/>
      <c r="Q8" s="2045"/>
    </row>
    <row r="9" spans="1:23" s="163" customFormat="1" ht="17.399999999999999">
      <c r="A9" s="194"/>
      <c r="B9" s="194"/>
      <c r="C9" s="194"/>
      <c r="D9" s="194"/>
      <c r="E9" s="613"/>
      <c r="F9" s="613"/>
      <c r="G9" s="2044" t="s">
        <v>2040</v>
      </c>
      <c r="H9" s="2044"/>
      <c r="I9" s="2044"/>
      <c r="J9" s="2044"/>
      <c r="K9" s="2044"/>
      <c r="L9" s="2044"/>
      <c r="M9" s="2044"/>
      <c r="N9" s="2044"/>
      <c r="O9" s="2044"/>
      <c r="P9" s="2044"/>
      <c r="Q9" s="2044"/>
    </row>
    <row r="10" spans="1:23" s="12" customFormat="1" ht="17.399999999999999">
      <c r="A10" s="822"/>
      <c r="B10" s="822"/>
      <c r="C10" s="822"/>
      <c r="D10" s="822"/>
      <c r="E10" s="613"/>
      <c r="F10" s="613"/>
      <c r="G10" s="593" t="s">
        <v>192</v>
      </c>
      <c r="H10" s="593" t="s">
        <v>193</v>
      </c>
      <c r="I10" s="593" t="s">
        <v>194</v>
      </c>
      <c r="J10" s="593"/>
      <c r="K10" s="593" t="s">
        <v>195</v>
      </c>
      <c r="L10" s="593" t="s">
        <v>196</v>
      </c>
      <c r="M10" s="593" t="s">
        <v>371</v>
      </c>
      <c r="N10" s="593" t="s">
        <v>372</v>
      </c>
      <c r="O10" s="593" t="s">
        <v>900</v>
      </c>
      <c r="P10" s="593" t="s">
        <v>901</v>
      </c>
      <c r="Q10" s="593" t="s">
        <v>902</v>
      </c>
      <c r="R10" s="593" t="s">
        <v>903</v>
      </c>
    </row>
    <row r="11" spans="1:23" s="12" customFormat="1" ht="17.399999999999999">
      <c r="A11" s="822"/>
      <c r="B11" s="822"/>
      <c r="C11" s="822"/>
      <c r="D11" s="822"/>
      <c r="E11" s="613"/>
      <c r="F11" s="613"/>
      <c r="G11" s="822"/>
      <c r="H11" s="822"/>
      <c r="I11" s="822"/>
      <c r="J11" s="163"/>
      <c r="K11" s="365"/>
      <c r="L11" s="365"/>
      <c r="M11" s="365"/>
      <c r="N11" s="365"/>
      <c r="O11" s="365"/>
      <c r="P11" s="365"/>
      <c r="Q11" s="365"/>
    </row>
    <row r="12" spans="1:23" s="12" customFormat="1" ht="17.399999999999999">
      <c r="A12" s="822"/>
      <c r="B12" s="822"/>
      <c r="C12" s="822"/>
      <c r="D12" s="822"/>
      <c r="E12" s="613"/>
      <c r="F12" s="613"/>
      <c r="G12" s="822"/>
      <c r="H12" s="822"/>
      <c r="I12" s="822"/>
      <c r="J12" s="163"/>
      <c r="K12" s="365"/>
      <c r="L12" s="365"/>
      <c r="M12" s="365"/>
      <c r="N12" s="365"/>
      <c r="O12" s="365"/>
      <c r="P12" s="365"/>
      <c r="Q12" s="365"/>
    </row>
    <row r="13" spans="1:23" s="12" customFormat="1" ht="17.399999999999999">
      <c r="A13" s="822"/>
      <c r="B13" s="822"/>
      <c r="C13" s="822"/>
      <c r="D13" s="822"/>
      <c r="E13" s="613"/>
      <c r="F13" s="613"/>
      <c r="G13" s="822"/>
      <c r="H13" s="822"/>
      <c r="I13" s="822"/>
      <c r="J13" s="163"/>
      <c r="K13" s="2041" t="s">
        <v>2015</v>
      </c>
      <c r="L13" s="2042"/>
      <c r="M13" s="2042"/>
      <c r="N13" s="2043"/>
      <c r="O13" s="2041" t="s">
        <v>2003</v>
      </c>
      <c r="P13" s="2042"/>
      <c r="Q13" s="2042"/>
      <c r="R13" s="2043"/>
      <c r="S13" s="168"/>
    </row>
    <row r="14" spans="1:23" s="155" customFormat="1" ht="15">
      <c r="A14" s="189"/>
      <c r="B14" s="190"/>
      <c r="C14" s="190"/>
      <c r="D14" s="190"/>
      <c r="E14" s="616"/>
      <c r="F14" s="616"/>
      <c r="G14" s="190"/>
      <c r="H14" s="190"/>
      <c r="I14" s="190"/>
      <c r="J14" s="190"/>
      <c r="K14" s="366"/>
      <c r="L14" s="366"/>
      <c r="M14" s="370"/>
      <c r="N14" s="370"/>
      <c r="O14" s="370"/>
      <c r="P14" s="370"/>
      <c r="Q14" s="370"/>
      <c r="R14" s="370"/>
    </row>
    <row r="15" spans="1:23" s="417" customFormat="1">
      <c r="A15" s="412"/>
      <c r="B15" s="412"/>
      <c r="C15" s="413"/>
      <c r="D15" s="413"/>
      <c r="E15" s="414"/>
      <c r="F15" s="414"/>
      <c r="G15" s="414"/>
      <c r="H15" s="412"/>
      <c r="I15" s="412"/>
      <c r="J15" s="412"/>
      <c r="K15" s="415" t="s">
        <v>105</v>
      </c>
      <c r="L15" s="366"/>
      <c r="M15" s="415" t="s">
        <v>105</v>
      </c>
      <c r="N15" s="415"/>
      <c r="O15" s="415" t="s">
        <v>105</v>
      </c>
      <c r="P15" s="366"/>
      <c r="Q15" s="415" t="s">
        <v>105</v>
      </c>
      <c r="R15" s="415"/>
      <c r="S15" s="416" t="s">
        <v>105</v>
      </c>
      <c r="W15" s="416" t="s">
        <v>105</v>
      </c>
    </row>
    <row r="16" spans="1:23" s="417" customFormat="1">
      <c r="A16" s="412"/>
      <c r="B16" s="412"/>
      <c r="C16" s="413"/>
      <c r="D16" s="413"/>
      <c r="E16" s="414"/>
      <c r="F16" s="414"/>
      <c r="G16" s="414"/>
      <c r="H16" s="418"/>
      <c r="I16" s="418"/>
      <c r="J16" s="412"/>
      <c r="K16" s="415" t="s">
        <v>234</v>
      </c>
      <c r="L16" s="415" t="s">
        <v>150</v>
      </c>
      <c r="M16" s="415" t="s">
        <v>234</v>
      </c>
      <c r="N16" s="415" t="s">
        <v>68</v>
      </c>
      <c r="O16" s="415" t="s">
        <v>234</v>
      </c>
      <c r="P16" s="415" t="s">
        <v>150</v>
      </c>
      <c r="Q16" s="415" t="s">
        <v>234</v>
      </c>
      <c r="R16" s="415" t="s">
        <v>68</v>
      </c>
      <c r="S16" s="416" t="s">
        <v>149</v>
      </c>
      <c r="U16" s="416" t="s">
        <v>150</v>
      </c>
      <c r="W16" s="416" t="s">
        <v>149</v>
      </c>
    </row>
    <row r="17" spans="1:25" s="417" customFormat="1" ht="16.2" thickBot="1">
      <c r="A17" s="412"/>
      <c r="B17" s="412"/>
      <c r="C17" s="413"/>
      <c r="D17" s="413"/>
      <c r="E17" s="414"/>
      <c r="F17" s="414"/>
      <c r="G17" s="414"/>
      <c r="H17" s="412"/>
      <c r="I17" s="412"/>
      <c r="J17" s="412"/>
      <c r="K17" s="419" t="s">
        <v>791</v>
      </c>
      <c r="L17" s="419" t="s">
        <v>280</v>
      </c>
      <c r="M17" s="419" t="s">
        <v>794</v>
      </c>
      <c r="N17" s="419" t="s">
        <v>793</v>
      </c>
      <c r="O17" s="419" t="s">
        <v>791</v>
      </c>
      <c r="P17" s="419" t="s">
        <v>280</v>
      </c>
      <c r="Q17" s="419" t="s">
        <v>794</v>
      </c>
      <c r="R17" s="419" t="s">
        <v>793</v>
      </c>
      <c r="S17" s="420" t="s">
        <v>151</v>
      </c>
      <c r="U17" s="420" t="s">
        <v>68</v>
      </c>
      <c r="W17" s="420" t="s">
        <v>152</v>
      </c>
    </row>
    <row r="18" spans="1:25" s="116" customFormat="1" ht="18">
      <c r="A18" s="197"/>
      <c r="B18" s="198"/>
      <c r="C18" s="199"/>
      <c r="D18" s="199"/>
      <c r="E18" s="617" t="s">
        <v>1</v>
      </c>
      <c r="F18" s="394" t="s">
        <v>35</v>
      </c>
      <c r="G18" s="200" t="s">
        <v>240</v>
      </c>
      <c r="H18" s="197"/>
      <c r="I18" s="197"/>
      <c r="J18" s="197"/>
      <c r="K18" s="371"/>
      <c r="L18" s="371"/>
      <c r="M18" s="369"/>
      <c r="N18" s="369"/>
      <c r="O18" s="371"/>
      <c r="P18" s="371"/>
      <c r="Q18" s="369"/>
      <c r="R18" s="369"/>
      <c r="S18" s="125"/>
      <c r="T18" s="123"/>
      <c r="U18" s="125"/>
      <c r="V18" s="123"/>
      <c r="W18" s="125"/>
    </row>
    <row r="19" spans="1:25" s="116" customFormat="1" ht="12.75" customHeight="1">
      <c r="A19" s="197"/>
      <c r="B19" s="198"/>
      <c r="C19" s="201"/>
      <c r="D19" s="367"/>
      <c r="E19" s="617">
        <v>1</v>
      </c>
      <c r="F19" s="617"/>
      <c r="G19" s="809"/>
      <c r="H19" s="197"/>
      <c r="I19" s="197"/>
      <c r="J19" s="197"/>
      <c r="K19" s="371"/>
      <c r="L19" s="371"/>
      <c r="M19" s="369"/>
      <c r="N19" s="369"/>
      <c r="O19" s="371"/>
      <c r="P19" s="371"/>
      <c r="Q19" s="369"/>
      <c r="R19" s="369"/>
      <c r="S19" s="125"/>
      <c r="T19" s="123"/>
      <c r="U19" s="125"/>
      <c r="V19" s="123"/>
      <c r="W19" s="125"/>
    </row>
    <row r="20" spans="1:25" s="407" customFormat="1">
      <c r="A20" s="185" t="s">
        <v>148</v>
      </c>
      <c r="B20" s="409" t="s">
        <v>241</v>
      </c>
      <c r="C20" s="398" t="s">
        <v>153</v>
      </c>
      <c r="D20" s="597" t="str">
        <f>CONCATENATE(H20,G20,I20)</f>
        <v>500mW C - C at Astoria353Station Equip - Transmission</v>
      </c>
      <c r="E20" s="620" t="s">
        <v>471</v>
      </c>
      <c r="F20" s="1294" t="str">
        <f>CONCATENATE("WP-BC, line ",VLOOKUP(D20,'WP-BC'!$A$18:$N$341,2,FALSE))</f>
        <v>WP-BC, line 10as</v>
      </c>
      <c r="G20" s="1295">
        <v>353</v>
      </c>
      <c r="H20" s="1296" t="s">
        <v>153</v>
      </c>
      <c r="I20" s="1297" t="s">
        <v>1839</v>
      </c>
      <c r="J20" s="185"/>
      <c r="K20" s="606">
        <f>VLOOKUP($D20,'WP-BC'!$A$1:$N$357,7,FALSE)</f>
        <v>87822364.659999996</v>
      </c>
      <c r="L20" s="606">
        <f>VLOOKUP($D20,'WP-BC'!$A$1:$N$357,8,FALSE)</f>
        <v>41984054.359999999</v>
      </c>
      <c r="M20" s="607">
        <f>+K20-L20</f>
        <v>45838310.299999997</v>
      </c>
      <c r="N20" s="606">
        <f>VLOOKUP($D20,'WP-BC'!$A$1:$N$357,10,FALSE)</f>
        <v>2818673</v>
      </c>
      <c r="O20" s="606">
        <f>VLOOKUP($D20,'WP-BC'!$A$1:$N$357,11,FALSE)</f>
        <v>87822364.659999996</v>
      </c>
      <c r="P20" s="606">
        <f>VLOOKUP($D20,'WP-BC'!$A$1:$N$357,12,FALSE)</f>
        <v>39165381.359999999</v>
      </c>
      <c r="Q20" s="607">
        <f>+O20-P20</f>
        <v>48656983.299999997</v>
      </c>
      <c r="R20" s="606">
        <f>VLOOKUP($D20,'WP-BC'!$A$1:$N$357,14,FALSE)</f>
        <v>2817865.36</v>
      </c>
      <c r="S20" s="599">
        <v>71707767.760000005</v>
      </c>
      <c r="T20" s="599"/>
      <c r="U20" s="599">
        <v>9509690.2599999998</v>
      </c>
      <c r="V20" s="599"/>
      <c r="W20" s="599">
        <f>+S20-U20</f>
        <v>62198077.500000007</v>
      </c>
      <c r="X20" s="600"/>
      <c r="Y20" s="600"/>
    </row>
    <row r="21" spans="1:25" s="407" customFormat="1">
      <c r="A21" s="185"/>
      <c r="B21" s="409" t="s">
        <v>241</v>
      </c>
      <c r="C21" s="398" t="s">
        <v>153</v>
      </c>
      <c r="D21" s="597" t="str">
        <f>CONCATENATE(H21,G21,I21)</f>
        <v/>
      </c>
      <c r="E21" s="620" t="s">
        <v>541</v>
      </c>
      <c r="F21" s="1297"/>
      <c r="G21" s="1295"/>
      <c r="H21" s="1298"/>
      <c r="I21" s="1297"/>
      <c r="J21" s="185"/>
      <c r="K21" s="608" t="s">
        <v>1165</v>
      </c>
      <c r="L21" s="608" t="s">
        <v>1165</v>
      </c>
      <c r="M21" s="608" t="s">
        <v>1165</v>
      </c>
      <c r="N21" s="608" t="s">
        <v>1165</v>
      </c>
      <c r="O21" s="608" t="s">
        <v>1165</v>
      </c>
      <c r="P21" s="608" t="s">
        <v>1165</v>
      </c>
      <c r="Q21" s="608" t="s">
        <v>1165</v>
      </c>
      <c r="R21" s="608" t="s">
        <v>1165</v>
      </c>
      <c r="S21" s="599"/>
      <c r="T21" s="599"/>
      <c r="U21" s="599"/>
      <c r="V21" s="599"/>
      <c r="W21" s="599"/>
      <c r="X21" s="600"/>
      <c r="Y21" s="600"/>
    </row>
    <row r="22" spans="1:25" s="407" customFormat="1">
      <c r="A22" s="185"/>
      <c r="B22" s="409"/>
      <c r="C22" s="398"/>
      <c r="D22" s="597"/>
      <c r="E22" s="622"/>
      <c r="F22" s="395"/>
      <c r="G22" s="399"/>
      <c r="H22" s="396"/>
      <c r="I22" s="396"/>
      <c r="J22" s="185"/>
      <c r="K22" s="604"/>
      <c r="L22" s="604"/>
      <c r="M22" s="605"/>
      <c r="N22" s="604"/>
      <c r="O22" s="604"/>
      <c r="P22" s="604"/>
      <c r="Q22" s="605"/>
      <c r="R22" s="604"/>
      <c r="S22" s="599"/>
      <c r="T22" s="599"/>
      <c r="U22" s="599"/>
      <c r="V22" s="599"/>
      <c r="W22" s="599"/>
      <c r="X22" s="600"/>
      <c r="Y22" s="600"/>
    </row>
    <row r="23" spans="1:25" s="407" customFormat="1">
      <c r="A23" s="185"/>
      <c r="B23" s="409"/>
      <c r="C23" s="398"/>
      <c r="D23" s="597"/>
      <c r="E23" s="622">
        <v>2</v>
      </c>
      <c r="F23" s="395"/>
      <c r="G23" s="406" t="s">
        <v>1310</v>
      </c>
      <c r="H23" s="396"/>
      <c r="I23" s="396"/>
      <c r="J23" s="185"/>
      <c r="K23" s="604">
        <f>SUM(K20:K21)</f>
        <v>87822364.659999996</v>
      </c>
      <c r="L23" s="604">
        <f t="shared" ref="L23:R23" si="0">SUM(L20:L21)</f>
        <v>41984054.359999999</v>
      </c>
      <c r="M23" s="604">
        <f t="shared" si="0"/>
        <v>45838310.299999997</v>
      </c>
      <c r="N23" s="604">
        <f t="shared" si="0"/>
        <v>2818673</v>
      </c>
      <c r="O23" s="604">
        <f t="shared" si="0"/>
        <v>87822364.659999996</v>
      </c>
      <c r="P23" s="604">
        <f t="shared" si="0"/>
        <v>39165381.359999999</v>
      </c>
      <c r="Q23" s="604">
        <f t="shared" si="0"/>
        <v>48656983.299999997</v>
      </c>
      <c r="R23" s="604">
        <f t="shared" si="0"/>
        <v>2817865.36</v>
      </c>
      <c r="S23" s="599"/>
      <c r="T23" s="599"/>
      <c r="U23" s="599"/>
      <c r="V23" s="599"/>
      <c r="W23" s="599"/>
      <c r="X23" s="600"/>
      <c r="Y23" s="600"/>
    </row>
    <row r="24" spans="1:25" s="402" customFormat="1">
      <c r="A24" s="396"/>
      <c r="B24" s="397"/>
      <c r="C24" s="398"/>
      <c r="D24" s="597" t="str">
        <f t="shared" ref="D24:D113" si="1">CONCATENATE(H24,G24,I24)</f>
        <v/>
      </c>
      <c r="E24" s="635">
        <v>3</v>
      </c>
      <c r="F24" s="621"/>
      <c r="G24" s="399"/>
      <c r="H24" s="396"/>
      <c r="I24" s="396"/>
      <c r="J24" s="396"/>
      <c r="K24" s="606"/>
      <c r="L24" s="606"/>
      <c r="M24" s="607"/>
      <c r="N24" s="606"/>
      <c r="O24" s="604"/>
      <c r="P24" s="604"/>
      <c r="Q24" s="605"/>
      <c r="R24" s="604"/>
      <c r="S24" s="601"/>
      <c r="T24" s="601"/>
      <c r="U24" s="601"/>
      <c r="V24" s="601"/>
      <c r="W24" s="601"/>
      <c r="X24" s="602"/>
      <c r="Y24" s="602"/>
    </row>
    <row r="25" spans="1:25" s="402" customFormat="1">
      <c r="A25" s="396" t="s">
        <v>148</v>
      </c>
      <c r="B25" s="397" t="s">
        <v>241</v>
      </c>
      <c r="C25" s="398" t="s">
        <v>448</v>
      </c>
      <c r="D25" s="597" t="str">
        <f t="shared" si="1"/>
        <v>Astoria 2 (AE-II) Substation350Land &amp; Land Rights</v>
      </c>
      <c r="E25" s="163" t="s">
        <v>1276</v>
      </c>
      <c r="F25" s="1224" t="str">
        <f>CONCATENATE("WP-BC, line ",VLOOKUP(D25,'WP-BC'!$A$18:$N$341,2,FALSE))</f>
        <v>WP-BC, line 1o</v>
      </c>
      <c r="G25" s="1295">
        <v>350</v>
      </c>
      <c r="H25" s="1299" t="s">
        <v>448</v>
      </c>
      <c r="I25" s="1297" t="s">
        <v>1890</v>
      </c>
      <c r="J25" s="396"/>
      <c r="K25" s="606">
        <f>VLOOKUP($D25,'WP-BC'!$A$1:$N$357,7,FALSE)</f>
        <v>0</v>
      </c>
      <c r="L25" s="606">
        <f>VLOOKUP($D25,'WP-BC'!$A$1:$N$357,8,FALSE)</f>
        <v>0</v>
      </c>
      <c r="M25" s="607">
        <f t="shared" ref="M25:M32" si="2">+K25-L25</f>
        <v>0</v>
      </c>
      <c r="N25" s="606">
        <f>VLOOKUP($D25,'WP-BC'!$A$1:$N$357,10,FALSE)</f>
        <v>0</v>
      </c>
      <c r="O25" s="604">
        <f>VLOOKUP($D25,'WP-BC'!$A$1:$N$357,11,FALSE)</f>
        <v>0</v>
      </c>
      <c r="P25" s="604">
        <f>VLOOKUP($D25,'WP-BC'!$A$1:$N$357,12,FALSE)</f>
        <v>0</v>
      </c>
      <c r="Q25" s="605">
        <f t="shared" ref="Q25:Q32" si="3">+O25-P25</f>
        <v>0</v>
      </c>
      <c r="R25" s="604">
        <f>VLOOKUP($D25,'WP-BC'!$A$1:$N$357,14,FALSE)</f>
        <v>0</v>
      </c>
      <c r="S25" s="601"/>
      <c r="T25" s="601"/>
      <c r="U25" s="601"/>
      <c r="V25" s="601"/>
      <c r="W25" s="601"/>
      <c r="X25" s="602"/>
      <c r="Y25" s="602"/>
    </row>
    <row r="26" spans="1:25" s="402" customFormat="1">
      <c r="A26" s="396" t="s">
        <v>148</v>
      </c>
      <c r="B26" s="397" t="s">
        <v>241</v>
      </c>
      <c r="C26" s="398" t="s">
        <v>448</v>
      </c>
      <c r="D26" s="597" t="str">
        <f t="shared" si="1"/>
        <v>Astoria 2 (AE-II) Substation352Structures &amp; Improvements</v>
      </c>
      <c r="E26" s="163" t="s">
        <v>1277</v>
      </c>
      <c r="F26" s="1224" t="str">
        <f>CONCATENATE("WP-BC, line ",VLOOKUP(D26,'WP-BC'!$A$18:$N$341,2,FALSE))</f>
        <v>WP-BC, line 10at</v>
      </c>
      <c r="G26" s="1295">
        <v>352</v>
      </c>
      <c r="H26" s="1299" t="s">
        <v>448</v>
      </c>
      <c r="I26" s="1297" t="s">
        <v>69</v>
      </c>
      <c r="J26" s="396"/>
      <c r="K26" s="606">
        <f>VLOOKUP($D26,'WP-BC'!$A$1:$N$357,7,FALSE)</f>
        <v>0</v>
      </c>
      <c r="L26" s="606">
        <f>VLOOKUP($D26,'WP-BC'!$A$1:$N$357,8,FALSE)</f>
        <v>0</v>
      </c>
      <c r="M26" s="607">
        <f t="shared" si="2"/>
        <v>0</v>
      </c>
      <c r="N26" s="606">
        <f>VLOOKUP($D26,'WP-BC'!$A$1:$N$357,10,FALSE)</f>
        <v>0</v>
      </c>
      <c r="O26" s="606">
        <f>VLOOKUP($D26,'WP-BC'!$A$1:$N$357,11,FALSE)</f>
        <v>0</v>
      </c>
      <c r="P26" s="606">
        <f>VLOOKUP($D26,'WP-BC'!$A$1:$N$357,12,FALSE)</f>
        <v>0</v>
      </c>
      <c r="Q26" s="607">
        <f t="shared" si="3"/>
        <v>0</v>
      </c>
      <c r="R26" s="606">
        <f>VLOOKUP($D26,'WP-BC'!$A$1:$N$357,14,FALSE)</f>
        <v>0</v>
      </c>
      <c r="S26" s="601"/>
      <c r="T26" s="601"/>
      <c r="U26" s="601"/>
      <c r="V26" s="601"/>
      <c r="W26" s="601"/>
      <c r="X26" s="602"/>
      <c r="Y26" s="602"/>
    </row>
    <row r="27" spans="1:25" s="402" customFormat="1">
      <c r="A27" s="396" t="s">
        <v>148</v>
      </c>
      <c r="B27" s="397" t="s">
        <v>241</v>
      </c>
      <c r="C27" s="398" t="s">
        <v>448</v>
      </c>
      <c r="D27" s="597" t="str">
        <f t="shared" si="1"/>
        <v>Astoria 2 (AE-II) Substation353Station Equipment</v>
      </c>
      <c r="E27" s="163" t="s">
        <v>1278</v>
      </c>
      <c r="F27" s="1224" t="str">
        <f>CONCATENATE("WP-BC, line ",VLOOKUP(D27,'WP-BC'!$A$18:$N$341,2,FALSE))</f>
        <v>WP-BC, line 10au</v>
      </c>
      <c r="G27" s="1295">
        <v>353</v>
      </c>
      <c r="H27" s="1299" t="s">
        <v>448</v>
      </c>
      <c r="I27" s="1297" t="s">
        <v>20</v>
      </c>
      <c r="J27" s="396"/>
      <c r="K27" s="606">
        <f>VLOOKUP($D27,'WP-BC'!$A$1:$N$357,7,FALSE)</f>
        <v>60481915</v>
      </c>
      <c r="L27" s="606">
        <f>VLOOKUP($D27,'WP-BC'!$A$1:$N$357,8,FALSE)</f>
        <v>31676663</v>
      </c>
      <c r="M27" s="607">
        <f t="shared" si="2"/>
        <v>28805252</v>
      </c>
      <c r="N27" s="606">
        <f>VLOOKUP($D27,'WP-BC'!$A$1:$N$357,10,FALSE)</f>
        <v>3011360</v>
      </c>
      <c r="O27" s="606">
        <f>VLOOKUP($D27,'WP-BC'!$A$1:$N$357,11,FALSE)</f>
        <v>60481915</v>
      </c>
      <c r="P27" s="606">
        <f>VLOOKUP($D27,'WP-BC'!$A$1:$N$357,12,FALSE)</f>
        <v>28665303</v>
      </c>
      <c r="Q27" s="607">
        <f t="shared" si="3"/>
        <v>31816612</v>
      </c>
      <c r="R27" s="606">
        <f>VLOOKUP($D27,'WP-BC'!$A$1:$N$357,14,FALSE)</f>
        <v>3011360</v>
      </c>
      <c r="S27" s="601"/>
      <c r="T27" s="601"/>
      <c r="U27" s="601"/>
      <c r="V27" s="601"/>
      <c r="W27" s="601"/>
      <c r="X27" s="602"/>
      <c r="Y27" s="602"/>
    </row>
    <row r="28" spans="1:25" s="402" customFormat="1">
      <c r="A28" s="396" t="s">
        <v>148</v>
      </c>
      <c r="B28" s="397" t="s">
        <v>241</v>
      </c>
      <c r="C28" s="398" t="s">
        <v>448</v>
      </c>
      <c r="D28" s="597" t="str">
        <f t="shared" si="1"/>
        <v>Astoria 2 (AE-II) Substation354Towers &amp; Fixtures</v>
      </c>
      <c r="E28" s="163" t="s">
        <v>1279</v>
      </c>
      <c r="F28" s="1224" t="str">
        <f>CONCATENATE("WP-BC, line ",VLOOKUP(D28,'WP-BC'!$A$18:$N$341,2,FALSE))</f>
        <v>WP-BC, line 10av</v>
      </c>
      <c r="G28" s="1295">
        <v>354</v>
      </c>
      <c r="H28" s="1299" t="s">
        <v>448</v>
      </c>
      <c r="I28" s="1297" t="s">
        <v>70</v>
      </c>
      <c r="J28" s="396"/>
      <c r="K28" s="606">
        <f>VLOOKUP($D28,'WP-BC'!$A$1:$N$357,7,FALSE)</f>
        <v>0</v>
      </c>
      <c r="L28" s="606">
        <f>VLOOKUP($D28,'WP-BC'!$A$1:$N$357,8,FALSE)</f>
        <v>0</v>
      </c>
      <c r="M28" s="607">
        <f t="shared" si="2"/>
        <v>0</v>
      </c>
      <c r="N28" s="606">
        <f>VLOOKUP($D28,'WP-BC'!$A$1:$N$357,10,FALSE)</f>
        <v>0</v>
      </c>
      <c r="O28" s="606">
        <f>VLOOKUP($D28,'WP-BC'!$A$1:$N$357,11,FALSE)</f>
        <v>0</v>
      </c>
      <c r="P28" s="606">
        <f>VLOOKUP($D28,'WP-BC'!$A$1:$N$357,12,FALSE)</f>
        <v>0</v>
      </c>
      <c r="Q28" s="607">
        <f t="shared" si="3"/>
        <v>0</v>
      </c>
      <c r="R28" s="606">
        <f>VLOOKUP($D28,'WP-BC'!$A$1:$N$357,14,FALSE)</f>
        <v>0</v>
      </c>
      <c r="S28" s="601"/>
      <c r="T28" s="601"/>
      <c r="U28" s="601"/>
      <c r="V28" s="601"/>
      <c r="W28" s="601"/>
      <c r="X28" s="602"/>
      <c r="Y28" s="602"/>
    </row>
    <row r="29" spans="1:25" s="402" customFormat="1">
      <c r="A29" s="396" t="s">
        <v>148</v>
      </c>
      <c r="B29" s="397" t="s">
        <v>241</v>
      </c>
      <c r="C29" s="398" t="s">
        <v>448</v>
      </c>
      <c r="D29" s="597" t="str">
        <f t="shared" si="1"/>
        <v>Astoria 2 (AE-II) Substation355Poles &amp; Fixtures</v>
      </c>
      <c r="E29" s="163" t="s">
        <v>1280</v>
      </c>
      <c r="F29" s="1224" t="str">
        <f>CONCATENATE("WP-BC, line ",VLOOKUP(D29,'WP-BC'!$A$18:$N$341,2,FALSE))</f>
        <v>WP-BC, line 10aw</v>
      </c>
      <c r="G29" s="1295">
        <v>355</v>
      </c>
      <c r="H29" s="1299" t="s">
        <v>448</v>
      </c>
      <c r="I29" s="1297" t="s">
        <v>71</v>
      </c>
      <c r="J29" s="396"/>
      <c r="K29" s="606">
        <f>VLOOKUP($D29,'WP-BC'!$A$1:$N$357,7,FALSE)</f>
        <v>0</v>
      </c>
      <c r="L29" s="606">
        <f>VLOOKUP($D29,'WP-BC'!$A$1:$N$357,8,FALSE)</f>
        <v>0</v>
      </c>
      <c r="M29" s="607">
        <f t="shared" si="2"/>
        <v>0</v>
      </c>
      <c r="N29" s="606">
        <f>VLOOKUP($D29,'WP-BC'!$A$1:$N$357,10,FALSE)</f>
        <v>0</v>
      </c>
      <c r="O29" s="606">
        <f>VLOOKUP($D29,'WP-BC'!$A$1:$N$357,11,FALSE)</f>
        <v>0</v>
      </c>
      <c r="P29" s="606">
        <f>VLOOKUP($D29,'WP-BC'!$A$1:$N$357,12,FALSE)</f>
        <v>0</v>
      </c>
      <c r="Q29" s="607">
        <f t="shared" si="3"/>
        <v>0</v>
      </c>
      <c r="R29" s="606">
        <f>VLOOKUP($D29,'WP-BC'!$A$1:$N$357,14,FALSE)</f>
        <v>0</v>
      </c>
      <c r="S29" s="601"/>
      <c r="T29" s="601"/>
      <c r="U29" s="601"/>
      <c r="V29" s="601"/>
      <c r="W29" s="601"/>
      <c r="X29" s="602"/>
      <c r="Y29" s="602"/>
    </row>
    <row r="30" spans="1:25" s="402" customFormat="1">
      <c r="A30" s="396" t="s">
        <v>148</v>
      </c>
      <c r="B30" s="397" t="s">
        <v>241</v>
      </c>
      <c r="C30" s="398" t="s">
        <v>448</v>
      </c>
      <c r="D30" s="597" t="str">
        <f t="shared" si="1"/>
        <v>Astoria 2 (AE-II) Substation356Overhead Conductors &amp; Devices</v>
      </c>
      <c r="E30" s="163" t="s">
        <v>1312</v>
      </c>
      <c r="F30" s="1224" t="str">
        <f>CONCATENATE("WP-BC, line ",VLOOKUP(D30,'WP-BC'!$A$18:$N$341,2,FALSE))</f>
        <v>WP-BC, line 10ax</v>
      </c>
      <c r="G30" s="1295">
        <v>356</v>
      </c>
      <c r="H30" s="1299" t="s">
        <v>448</v>
      </c>
      <c r="I30" s="1297" t="s">
        <v>72</v>
      </c>
      <c r="J30" s="396"/>
      <c r="K30" s="606">
        <f>VLOOKUP($D30,'WP-BC'!$A$1:$N$357,7,FALSE)</f>
        <v>0</v>
      </c>
      <c r="L30" s="606">
        <f>VLOOKUP($D30,'WP-BC'!$A$1:$N$357,8,FALSE)</f>
        <v>0</v>
      </c>
      <c r="M30" s="607">
        <f t="shared" si="2"/>
        <v>0</v>
      </c>
      <c r="N30" s="606">
        <f>VLOOKUP($D30,'WP-BC'!$A$1:$N$357,10,FALSE)</f>
        <v>0</v>
      </c>
      <c r="O30" s="606">
        <f>VLOOKUP($D30,'WP-BC'!$A$1:$N$357,11,FALSE)</f>
        <v>0</v>
      </c>
      <c r="P30" s="606">
        <f>VLOOKUP($D30,'WP-BC'!$A$1:$N$357,12,FALSE)</f>
        <v>0</v>
      </c>
      <c r="Q30" s="607">
        <f t="shared" si="3"/>
        <v>0</v>
      </c>
      <c r="R30" s="606">
        <f>VLOOKUP($D30,'WP-BC'!$A$1:$N$357,14,FALSE)</f>
        <v>0</v>
      </c>
      <c r="S30" s="601"/>
      <c r="T30" s="601"/>
      <c r="U30" s="601"/>
      <c r="V30" s="601"/>
      <c r="W30" s="601"/>
      <c r="X30" s="602"/>
      <c r="Y30" s="602"/>
    </row>
    <row r="31" spans="1:25" s="402" customFormat="1">
      <c r="A31" s="396" t="s">
        <v>148</v>
      </c>
      <c r="B31" s="397" t="s">
        <v>241</v>
      </c>
      <c r="C31" s="398" t="s">
        <v>448</v>
      </c>
      <c r="D31" s="597" t="str">
        <f t="shared" si="1"/>
        <v>Astoria 2 (AE-II) Substation357Underground Conduit</v>
      </c>
      <c r="E31" s="163" t="s">
        <v>1313</v>
      </c>
      <c r="F31" s="1224" t="str">
        <f>CONCATENATE("WP-BC, line ",VLOOKUP(D31,'WP-BC'!$A$18:$N$341,2,FALSE))</f>
        <v>WP-BC, line 10ay</v>
      </c>
      <c r="G31" s="1295">
        <v>357</v>
      </c>
      <c r="H31" s="1299" t="s">
        <v>448</v>
      </c>
      <c r="I31" s="1297" t="s">
        <v>73</v>
      </c>
      <c r="J31" s="396"/>
      <c r="K31" s="606">
        <f>VLOOKUP($D31,'WP-BC'!$A$1:$N$357,7,FALSE)</f>
        <v>24644166</v>
      </c>
      <c r="L31" s="606">
        <f>VLOOKUP($D31,'WP-BC'!$A$1:$N$357,8,FALSE)</f>
        <v>12938195</v>
      </c>
      <c r="M31" s="607">
        <f t="shared" si="2"/>
        <v>11705971</v>
      </c>
      <c r="N31" s="606">
        <f>VLOOKUP($D31,'WP-BC'!$A$1:$N$357,10,FALSE)</f>
        <v>1232209</v>
      </c>
      <c r="O31" s="606">
        <f>VLOOKUP($D31,'WP-BC'!$A$1:$N$357,11,FALSE)</f>
        <v>24644166</v>
      </c>
      <c r="P31" s="606">
        <f>VLOOKUP($D31,'WP-BC'!$A$1:$N$357,12,FALSE)</f>
        <v>11705986</v>
      </c>
      <c r="Q31" s="607">
        <f t="shared" si="3"/>
        <v>12938180</v>
      </c>
      <c r="R31" s="606">
        <f>VLOOKUP($D31,'WP-BC'!$A$1:$N$357,14,FALSE)</f>
        <v>1232209</v>
      </c>
      <c r="S31" s="601"/>
      <c r="T31" s="601"/>
      <c r="U31" s="601"/>
      <c r="V31" s="601"/>
      <c r="W31" s="601"/>
      <c r="X31" s="602"/>
      <c r="Y31" s="602"/>
    </row>
    <row r="32" spans="1:25" s="402" customFormat="1">
      <c r="A32" s="396" t="s">
        <v>148</v>
      </c>
      <c r="B32" s="397" t="s">
        <v>241</v>
      </c>
      <c r="C32" s="398" t="s">
        <v>448</v>
      </c>
      <c r="D32" s="597" t="str">
        <f t="shared" si="1"/>
        <v>Astoria 2 (AE-II) Substation358Underground Conductors &amp; Devices</v>
      </c>
      <c r="E32" s="163" t="s">
        <v>1314</v>
      </c>
      <c r="F32" s="1224" t="str">
        <f>CONCATENATE("WP-BC, line ",VLOOKUP(D32,'WP-BC'!$A$18:$N$341,2,FALSE))</f>
        <v>WP-BC, line 10az</v>
      </c>
      <c r="G32" s="1295">
        <v>358</v>
      </c>
      <c r="H32" s="1299" t="s">
        <v>448</v>
      </c>
      <c r="I32" s="1297" t="s">
        <v>74</v>
      </c>
      <c r="J32" s="396"/>
      <c r="K32" s="606">
        <f>VLOOKUP($D32,'WP-BC'!$A$1:$N$357,7,FALSE)</f>
        <v>0</v>
      </c>
      <c r="L32" s="606">
        <f>VLOOKUP($D32,'WP-BC'!$A$1:$N$357,8,FALSE)</f>
        <v>0</v>
      </c>
      <c r="M32" s="607">
        <f t="shared" si="2"/>
        <v>0</v>
      </c>
      <c r="N32" s="606">
        <f>VLOOKUP($D32,'WP-BC'!$A$1:$N$357,10,FALSE)</f>
        <v>0</v>
      </c>
      <c r="O32" s="604">
        <f>VLOOKUP($D32,'WP-BC'!$A$1:$N$357,11,FALSE)</f>
        <v>0</v>
      </c>
      <c r="P32" s="604">
        <f>VLOOKUP($D32,'WP-BC'!$A$1:$N$357,12,FALSE)</f>
        <v>0</v>
      </c>
      <c r="Q32" s="605">
        <f t="shared" si="3"/>
        <v>0</v>
      </c>
      <c r="R32" s="604">
        <f>VLOOKUP($D32,'WP-BC'!$A$1:$N$357,14,FALSE)</f>
        <v>0</v>
      </c>
      <c r="S32" s="601"/>
      <c r="T32" s="601"/>
      <c r="U32" s="601"/>
      <c r="V32" s="601"/>
      <c r="W32" s="601"/>
      <c r="X32" s="602"/>
      <c r="Y32" s="602"/>
    </row>
    <row r="33" spans="1:25" s="402" customFormat="1">
      <c r="A33" s="396" t="s">
        <v>148</v>
      </c>
      <c r="B33" s="397" t="s">
        <v>241</v>
      </c>
      <c r="C33" s="398" t="s">
        <v>448</v>
      </c>
      <c r="D33" s="597" t="str">
        <f t="shared" si="1"/>
        <v>Astoria 2 (AE-II) Substation359Roads &amp; Trails</v>
      </c>
      <c r="E33" s="163" t="s">
        <v>1315</v>
      </c>
      <c r="F33" s="1224" t="str">
        <f>CONCATENATE("WP-BC, line ",VLOOKUP(D33,'WP-BC'!$A$18:$N$341,2,FALSE))</f>
        <v>WP-BC, line 10ba</v>
      </c>
      <c r="G33" s="1295">
        <v>359</v>
      </c>
      <c r="H33" s="1299" t="s">
        <v>448</v>
      </c>
      <c r="I33" s="1297" t="s">
        <v>75</v>
      </c>
      <c r="J33" s="396"/>
      <c r="K33" s="606">
        <f>'WP-BC'!G221</f>
        <v>0</v>
      </c>
      <c r="L33" s="606">
        <f>'WP-BC'!H221</f>
        <v>0</v>
      </c>
      <c r="M33" s="607">
        <f t="shared" ref="M33" si="4">+K33-L33</f>
        <v>0</v>
      </c>
      <c r="N33" s="606">
        <f>'WP-BC'!J221</f>
        <v>0</v>
      </c>
      <c r="O33" s="606">
        <f>'WP-BC'!K221</f>
        <v>0</v>
      </c>
      <c r="P33" s="606">
        <f>'WP-BC'!L221</f>
        <v>0</v>
      </c>
      <c r="Q33" s="607">
        <f t="shared" ref="Q33" si="5">+O33-P33</f>
        <v>0</v>
      </c>
      <c r="R33" s="606">
        <f>'WP-BC'!N221</f>
        <v>0</v>
      </c>
      <c r="S33" s="603"/>
      <c r="T33" s="603"/>
      <c r="U33" s="603"/>
      <c r="V33" s="603"/>
      <c r="W33" s="603"/>
      <c r="X33" s="602"/>
      <c r="Y33" s="602"/>
    </row>
    <row r="34" spans="1:25" s="402" customFormat="1">
      <c r="A34" s="396"/>
      <c r="B34" s="397"/>
      <c r="C34" s="398"/>
      <c r="D34" s="597"/>
      <c r="E34" s="618" t="s">
        <v>541</v>
      </c>
      <c r="F34" s="1297"/>
      <c r="G34" s="1295"/>
      <c r="H34" s="1298"/>
      <c r="I34" s="1297"/>
      <c r="J34" s="396"/>
      <c r="K34" s="608" t="s">
        <v>1165</v>
      </c>
      <c r="L34" s="608" t="s">
        <v>1165</v>
      </c>
      <c r="M34" s="608" t="s">
        <v>1165</v>
      </c>
      <c r="N34" s="608" t="s">
        <v>1165</v>
      </c>
      <c r="O34" s="608" t="s">
        <v>1165</v>
      </c>
      <c r="P34" s="608" t="s">
        <v>1165</v>
      </c>
      <c r="Q34" s="608" t="s">
        <v>1165</v>
      </c>
      <c r="R34" s="608" t="s">
        <v>1165</v>
      </c>
      <c r="S34" s="601"/>
      <c r="T34" s="601"/>
      <c r="U34" s="601"/>
      <c r="V34" s="601"/>
      <c r="W34" s="601"/>
      <c r="X34" s="602"/>
      <c r="Y34" s="602"/>
    </row>
    <row r="35" spans="1:25" s="402" customFormat="1">
      <c r="A35" s="396"/>
      <c r="B35" s="397"/>
      <c r="C35" s="398"/>
      <c r="D35" s="597"/>
      <c r="E35" s="618"/>
      <c r="F35" s="618"/>
      <c r="G35" s="399"/>
      <c r="H35" s="396"/>
      <c r="I35" s="396"/>
      <c r="J35" s="396"/>
      <c r="K35" s="606"/>
      <c r="L35" s="606"/>
      <c r="M35" s="606"/>
      <c r="N35" s="606"/>
      <c r="O35" s="606"/>
      <c r="P35" s="606"/>
      <c r="Q35" s="606"/>
      <c r="R35" s="606"/>
      <c r="S35" s="601"/>
      <c r="T35" s="601"/>
      <c r="U35" s="601"/>
      <c r="V35" s="601"/>
      <c r="W35" s="601"/>
      <c r="X35" s="602"/>
      <c r="Y35" s="602"/>
    </row>
    <row r="36" spans="1:25" s="402" customFormat="1">
      <c r="A36" s="396"/>
      <c r="B36" s="397"/>
      <c r="C36" s="398"/>
      <c r="D36" s="597" t="str">
        <f t="shared" si="1"/>
        <v>SUBTOTAL Astoria 2 (AE-II) Substation</v>
      </c>
      <c r="E36" s="635">
        <v>4</v>
      </c>
      <c r="F36" s="623"/>
      <c r="G36" s="406" t="s">
        <v>619</v>
      </c>
      <c r="H36" s="396"/>
      <c r="I36" s="396"/>
      <c r="J36" s="396"/>
      <c r="K36" s="604">
        <f t="shared" ref="K36:R36" si="6">SUM(K25:K33)</f>
        <v>85126081</v>
      </c>
      <c r="L36" s="604">
        <f t="shared" si="6"/>
        <v>44614858</v>
      </c>
      <c r="M36" s="604">
        <f t="shared" si="6"/>
        <v>40511223</v>
      </c>
      <c r="N36" s="604">
        <f t="shared" si="6"/>
        <v>4243569</v>
      </c>
      <c r="O36" s="604">
        <f t="shared" si="6"/>
        <v>85126081</v>
      </c>
      <c r="P36" s="604">
        <f t="shared" si="6"/>
        <v>40371289</v>
      </c>
      <c r="Q36" s="604">
        <f t="shared" si="6"/>
        <v>44754792</v>
      </c>
      <c r="R36" s="604">
        <f t="shared" si="6"/>
        <v>4243569</v>
      </c>
      <c r="S36" s="601"/>
      <c r="T36" s="601"/>
      <c r="U36" s="601"/>
      <c r="V36" s="601"/>
      <c r="W36" s="601"/>
      <c r="X36" s="602"/>
      <c r="Y36" s="602"/>
    </row>
    <row r="37" spans="1:25" s="402" customFormat="1">
      <c r="A37" s="396"/>
      <c r="B37" s="397"/>
      <c r="C37" s="398"/>
      <c r="D37" s="597" t="str">
        <f t="shared" si="1"/>
        <v/>
      </c>
      <c r="E37" s="622">
        <v>5</v>
      </c>
      <c r="F37" s="620"/>
      <c r="G37" s="399"/>
      <c r="H37" s="396"/>
      <c r="I37" s="396"/>
      <c r="J37" s="396"/>
      <c r="K37" s="606"/>
      <c r="L37" s="606"/>
      <c r="M37" s="607"/>
      <c r="N37" s="606"/>
      <c r="O37" s="606"/>
      <c r="P37" s="606"/>
      <c r="Q37" s="607"/>
      <c r="R37" s="606"/>
      <c r="S37" s="601"/>
      <c r="T37" s="601"/>
      <c r="U37" s="601"/>
      <c r="V37" s="601"/>
      <c r="W37" s="601"/>
      <c r="X37" s="602"/>
      <c r="Y37" s="602"/>
    </row>
    <row r="38" spans="1:25" s="402" customFormat="1">
      <c r="A38" s="396" t="s">
        <v>148</v>
      </c>
      <c r="B38" s="397" t="s">
        <v>241</v>
      </c>
      <c r="C38" s="398" t="s">
        <v>154</v>
      </c>
      <c r="D38" s="597" t="str">
        <f t="shared" si="1"/>
        <v>Crescent353Station Equip - Transmission</v>
      </c>
      <c r="E38" s="163" t="s">
        <v>1273</v>
      </c>
      <c r="F38" s="1224" t="str">
        <f>CONCATENATE("WP-BC, line ",VLOOKUP(D38,'WP-BC'!$A$18:$N$341,2,FALSE))</f>
        <v>WP-BC, line 10bc</v>
      </c>
      <c r="G38" s="1295">
        <v>353</v>
      </c>
      <c r="H38" s="1299" t="s">
        <v>154</v>
      </c>
      <c r="I38" s="1297" t="s">
        <v>1839</v>
      </c>
      <c r="J38" s="396"/>
      <c r="K38" s="606">
        <f>VLOOKUP($D38,'WP-BC'!$A$1:$N$357,7,FALSE)</f>
        <v>2395536</v>
      </c>
      <c r="L38" s="606">
        <f>VLOOKUP($D38,'WP-BC'!$A$1:$N$357,8,FALSE)</f>
        <v>1222601</v>
      </c>
      <c r="M38" s="607">
        <f t="shared" ref="M38" si="7">+K38-L38</f>
        <v>1172935</v>
      </c>
      <c r="N38" s="606">
        <f>VLOOKUP($D38,'WP-BC'!$A$1:$N$357,10,FALSE)</f>
        <v>39926</v>
      </c>
      <c r="O38" s="606">
        <f>VLOOKUP($D38,'WP-BC'!$A$1:$N$357,11,FALSE)</f>
        <v>2395536</v>
      </c>
      <c r="P38" s="606">
        <f>VLOOKUP($D38,'WP-BC'!$A$1:$N$357,12,FALSE)</f>
        <v>1182675</v>
      </c>
      <c r="Q38" s="607">
        <f t="shared" ref="Q38" si="8">+O38-P38</f>
        <v>1212861</v>
      </c>
      <c r="R38" s="606">
        <f>VLOOKUP($D38,'WP-BC'!$A$1:$N$357,14,FALSE)</f>
        <v>39926</v>
      </c>
      <c r="S38" s="601">
        <v>2395536</v>
      </c>
      <c r="T38" s="601"/>
      <c r="U38" s="601">
        <v>743489</v>
      </c>
      <c r="V38" s="601"/>
      <c r="W38" s="601">
        <f>+S38-U38</f>
        <v>1652047</v>
      </c>
      <c r="X38" s="602"/>
      <c r="Y38" s="602"/>
    </row>
    <row r="39" spans="1:25" s="402" customFormat="1">
      <c r="A39" s="396" t="s">
        <v>148</v>
      </c>
      <c r="B39" s="397" t="s">
        <v>241</v>
      </c>
      <c r="C39" s="398" t="s">
        <v>164</v>
      </c>
      <c r="D39" s="597" t="str">
        <f t="shared" si="1"/>
        <v>Vischer Ferry353Station Equip - Transmission</v>
      </c>
      <c r="E39" s="163" t="s">
        <v>1274</v>
      </c>
      <c r="F39" s="1224" t="str">
        <f>CONCATENATE("WP-BC, line ",VLOOKUP(D39,'WP-BC'!$A$18:$N$341,2,FALSE))</f>
        <v>WP-BC, line 10bp</v>
      </c>
      <c r="G39" s="1295">
        <v>353</v>
      </c>
      <c r="H39" s="1299" t="s">
        <v>164</v>
      </c>
      <c r="I39" s="1297" t="s">
        <v>1839</v>
      </c>
      <c r="J39" s="396"/>
      <c r="K39" s="606">
        <f>VLOOKUP($D39,'WP-BC'!$A$1:$N$357,7,FALSE)</f>
        <v>663158</v>
      </c>
      <c r="L39" s="606">
        <f>VLOOKUP($D39,'WP-BC'!$A$1:$N$357,8,FALSE)</f>
        <v>338460</v>
      </c>
      <c r="M39" s="607">
        <f t="shared" ref="M39:M40" si="9">+K39-L39</f>
        <v>324698</v>
      </c>
      <c r="N39" s="606">
        <f>VLOOKUP($D39,'WP-BC'!$A$1:$N$357,10,FALSE)</f>
        <v>11053</v>
      </c>
      <c r="O39" s="606">
        <f>VLOOKUP($D39,'WP-BC'!$A$1:$N$357,11,FALSE)</f>
        <v>663158</v>
      </c>
      <c r="P39" s="606">
        <f>VLOOKUP($D39,'WP-BC'!$A$1:$N$357,12,FALSE)</f>
        <v>327407</v>
      </c>
      <c r="Q39" s="607">
        <f t="shared" ref="Q39:Q40" si="10">+O39-P39</f>
        <v>335751</v>
      </c>
      <c r="R39" s="606">
        <f>VLOOKUP($D39,'WP-BC'!$A$1:$N$357,14,FALSE)</f>
        <v>11053</v>
      </c>
      <c r="S39" s="601">
        <v>663158</v>
      </c>
      <c r="T39" s="601"/>
      <c r="U39" s="601">
        <v>205824</v>
      </c>
      <c r="V39" s="601"/>
      <c r="W39" s="601">
        <f>+S39-U39</f>
        <v>457334</v>
      </c>
      <c r="X39" s="602"/>
      <c r="Y39" s="602"/>
    </row>
    <row r="40" spans="1:25" s="402" customFormat="1">
      <c r="A40" s="396" t="s">
        <v>148</v>
      </c>
      <c r="B40" s="397" t="s">
        <v>241</v>
      </c>
      <c r="C40" s="398" t="s">
        <v>162</v>
      </c>
      <c r="D40" s="597" t="str">
        <f t="shared" si="1"/>
        <v>Jarvis353Station Equip - Transmission</v>
      </c>
      <c r="E40" s="163" t="s">
        <v>1275</v>
      </c>
      <c r="F40" s="1224" t="str">
        <f>CONCATENATE("WP-BC, line ",VLOOKUP(D40,'WP-BC'!$A$18:$N$341,2,FALSE))</f>
        <v>WP-BC, line 10bh</v>
      </c>
      <c r="G40" s="1295">
        <v>353</v>
      </c>
      <c r="H40" s="1299" t="s">
        <v>162</v>
      </c>
      <c r="I40" s="1297" t="s">
        <v>1839</v>
      </c>
      <c r="J40" s="396"/>
      <c r="K40" s="606">
        <f>VLOOKUP($D40,'WP-BC'!$A$1:$N$357,7,FALSE)</f>
        <v>4403687.68</v>
      </c>
      <c r="L40" s="606">
        <f>VLOOKUP($D40,'WP-BC'!$A$1:$N$357,8,FALSE)</f>
        <v>2200799.6800000002</v>
      </c>
      <c r="M40" s="607">
        <f t="shared" si="9"/>
        <v>2202887.9999999995</v>
      </c>
      <c r="N40" s="606">
        <f>VLOOKUP($D40,'WP-BC'!$A$1:$N$357,10,FALSE)</f>
        <v>74241</v>
      </c>
      <c r="O40" s="606">
        <f>VLOOKUP($D40,'WP-BC'!$A$1:$N$357,11,FALSE)</f>
        <v>4403687.68</v>
      </c>
      <c r="P40" s="606">
        <f>VLOOKUP($D40,'WP-BC'!$A$1:$N$357,12,FALSE)</f>
        <v>2126558.6800000002</v>
      </c>
      <c r="Q40" s="607">
        <f t="shared" si="10"/>
        <v>2277128.9999999995</v>
      </c>
      <c r="R40" s="606">
        <f>VLOOKUP($D40,'WP-BC'!$A$1:$N$357,14,FALSE)</f>
        <v>74240.679999999993</v>
      </c>
      <c r="S40" s="601">
        <v>4302254</v>
      </c>
      <c r="T40" s="601"/>
      <c r="U40" s="601">
        <v>1335268</v>
      </c>
      <c r="V40" s="601"/>
      <c r="W40" s="601">
        <f>+S40-U40</f>
        <v>2966986</v>
      </c>
      <c r="X40" s="602"/>
      <c r="Y40" s="602"/>
    </row>
    <row r="41" spans="1:25" s="402" customFormat="1">
      <c r="A41" s="396"/>
      <c r="B41" s="397"/>
      <c r="C41" s="398"/>
      <c r="D41" s="597"/>
      <c r="E41" s="618" t="s">
        <v>541</v>
      </c>
      <c r="F41" s="1297"/>
      <c r="G41" s="1295"/>
      <c r="H41" s="1298"/>
      <c r="I41" s="1297"/>
      <c r="J41" s="396"/>
      <c r="K41" s="608" t="s">
        <v>1165</v>
      </c>
      <c r="L41" s="608" t="s">
        <v>1165</v>
      </c>
      <c r="M41" s="608" t="s">
        <v>1165</v>
      </c>
      <c r="N41" s="608" t="s">
        <v>1165</v>
      </c>
      <c r="O41" s="608" t="s">
        <v>1165</v>
      </c>
      <c r="P41" s="608" t="s">
        <v>1165</v>
      </c>
      <c r="Q41" s="608" t="s">
        <v>1165</v>
      </c>
      <c r="R41" s="608" t="s">
        <v>1165</v>
      </c>
      <c r="S41" s="601"/>
      <c r="T41" s="601"/>
      <c r="U41" s="601"/>
      <c r="V41" s="601"/>
      <c r="W41" s="601"/>
      <c r="X41" s="602"/>
      <c r="Y41" s="602"/>
    </row>
    <row r="42" spans="1:25" s="402" customFormat="1">
      <c r="A42" s="396"/>
      <c r="B42" s="397"/>
      <c r="C42" s="398"/>
      <c r="D42" s="597"/>
      <c r="E42" s="620"/>
      <c r="F42" s="620"/>
      <c r="G42" s="399"/>
      <c r="H42" s="396"/>
      <c r="I42" s="396"/>
      <c r="J42" s="396"/>
      <c r="K42" s="606"/>
      <c r="L42" s="606"/>
      <c r="M42" s="606"/>
      <c r="N42" s="606"/>
      <c r="O42" s="606"/>
      <c r="P42" s="606"/>
      <c r="Q42" s="606"/>
      <c r="R42" s="606"/>
      <c r="S42" s="601"/>
      <c r="T42" s="601"/>
      <c r="U42" s="601"/>
      <c r="V42" s="601"/>
      <c r="W42" s="601"/>
      <c r="X42" s="602"/>
      <c r="Y42" s="602"/>
    </row>
    <row r="43" spans="1:25" s="402" customFormat="1">
      <c r="A43" s="396"/>
      <c r="B43" s="397"/>
      <c r="C43" s="398"/>
      <c r="D43" s="597" t="str">
        <f t="shared" si="1"/>
        <v>SUBTOTAL Small Hydro</v>
      </c>
      <c r="E43" s="622">
        <v>6</v>
      </c>
      <c r="F43" s="622"/>
      <c r="G43" s="406" t="s">
        <v>236</v>
      </c>
      <c r="H43" s="396"/>
      <c r="I43" s="396"/>
      <c r="J43" s="396"/>
      <c r="K43" s="604">
        <f>SUM(K38:K41)</f>
        <v>7462381.6799999997</v>
      </c>
      <c r="L43" s="604">
        <f t="shared" ref="L43:R43" si="11">SUM(L38:L41)</f>
        <v>3761860.68</v>
      </c>
      <c r="M43" s="604">
        <f t="shared" si="11"/>
        <v>3700520.9999999995</v>
      </c>
      <c r="N43" s="604">
        <f t="shared" si="11"/>
        <v>125220</v>
      </c>
      <c r="O43" s="604">
        <f t="shared" si="11"/>
        <v>7462381.6799999997</v>
      </c>
      <c r="P43" s="604">
        <f t="shared" si="11"/>
        <v>3636640.68</v>
      </c>
      <c r="Q43" s="604">
        <f t="shared" si="11"/>
        <v>3825740.9999999995</v>
      </c>
      <c r="R43" s="604">
        <f t="shared" si="11"/>
        <v>125219.68</v>
      </c>
      <c r="S43" s="599">
        <f t="shared" ref="S43" si="12">SUM(S38:S40)</f>
        <v>7360948</v>
      </c>
      <c r="T43" s="601"/>
      <c r="U43" s="599">
        <f>SUM(U38:U40)</f>
        <v>2284581</v>
      </c>
      <c r="V43" s="601"/>
      <c r="W43" s="599">
        <f>SUM(W38:W40)</f>
        <v>5076367</v>
      </c>
      <c r="X43" s="602"/>
      <c r="Y43" s="602"/>
    </row>
    <row r="44" spans="1:25" s="402" customFormat="1" ht="15" customHeight="1">
      <c r="A44" s="396"/>
      <c r="B44" s="397"/>
      <c r="C44" s="398"/>
      <c r="D44" s="597" t="str">
        <f t="shared" si="1"/>
        <v/>
      </c>
      <c r="E44" s="622">
        <v>7</v>
      </c>
      <c r="F44" s="618"/>
      <c r="G44" s="399"/>
      <c r="H44" s="396"/>
      <c r="I44" s="396"/>
      <c r="J44" s="396"/>
      <c r="K44" s="606"/>
      <c r="L44" s="606"/>
      <c r="M44" s="607"/>
      <c r="N44" s="606"/>
      <c r="O44" s="606"/>
      <c r="P44" s="606"/>
      <c r="Q44" s="607"/>
      <c r="R44" s="606"/>
      <c r="S44" s="601"/>
      <c r="T44" s="601"/>
      <c r="U44" s="601"/>
      <c r="V44" s="601"/>
      <c r="W44" s="601"/>
      <c r="X44" s="602"/>
      <c r="Y44" s="602"/>
    </row>
    <row r="45" spans="1:25" s="407" customFormat="1">
      <c r="A45" s="185" t="s">
        <v>148</v>
      </c>
      <c r="B45" s="409" t="s">
        <v>241</v>
      </c>
      <c r="C45" s="398" t="s">
        <v>155</v>
      </c>
      <c r="D45" s="597" t="str">
        <f t="shared" si="1"/>
        <v>FLYNN  (Holtsville)353Station Equip - Transmission</v>
      </c>
      <c r="E45" s="620" t="s">
        <v>1283</v>
      </c>
      <c r="F45" s="1224" t="str">
        <f>CONCATENATE("WP-BC, line ",VLOOKUP(D45,'WP-BC'!$A$18:$N$341,2,FALSE))</f>
        <v>WP-BC, line 10bd</v>
      </c>
      <c r="G45" s="1295">
        <v>353</v>
      </c>
      <c r="H45" s="1300" t="s">
        <v>155</v>
      </c>
      <c r="I45" s="1297" t="s">
        <v>1839</v>
      </c>
      <c r="J45" s="185"/>
      <c r="K45" s="606">
        <f>VLOOKUP($D45,'WP-BC'!$A$1:$N$357,7,FALSE)</f>
        <v>11982219.839999998</v>
      </c>
      <c r="L45" s="606">
        <f>VLOOKUP($D45,'WP-BC'!$A$1:$N$357,8,FALSE)</f>
        <v>5728230.7800000003</v>
      </c>
      <c r="M45" s="607">
        <f>+K45-L45</f>
        <v>6253989.0599999977</v>
      </c>
      <c r="N45" s="606">
        <f>VLOOKUP($D45,'WP-BC'!$A$1:$N$357,10,FALSE)</f>
        <v>318111</v>
      </c>
      <c r="O45" s="606">
        <f>VLOOKUP($D45,'WP-BC'!$A$1:$N$357,11,FALSE)</f>
        <v>11982219.839999998</v>
      </c>
      <c r="P45" s="606">
        <f>VLOOKUP($D45,'WP-BC'!$A$1:$N$357,12,FALSE)</f>
        <v>5410119.7800000003</v>
      </c>
      <c r="Q45" s="607">
        <f>+O45-P45</f>
        <v>6572100.0599999977</v>
      </c>
      <c r="R45" s="606">
        <f>VLOOKUP($D45,'WP-BC'!$A$1:$N$357,14,FALSE)</f>
        <v>317733.78000000003</v>
      </c>
      <c r="S45" s="599">
        <v>7581079</v>
      </c>
      <c r="T45" s="599"/>
      <c r="U45" s="599">
        <v>2894210</v>
      </c>
      <c r="V45" s="599"/>
      <c r="W45" s="599">
        <f>+S45-U45</f>
        <v>4686869</v>
      </c>
      <c r="X45" s="600"/>
      <c r="Y45" s="600"/>
    </row>
    <row r="46" spans="1:25" s="407" customFormat="1">
      <c r="A46" s="185"/>
      <c r="B46" s="409"/>
      <c r="C46" s="398"/>
      <c r="D46" s="597"/>
      <c r="E46" s="618" t="s">
        <v>541</v>
      </c>
      <c r="F46" s="1297"/>
      <c r="G46" s="1295"/>
      <c r="H46" s="1298"/>
      <c r="I46" s="1297"/>
      <c r="J46" s="185"/>
      <c r="K46" s="396" t="s">
        <v>1165</v>
      </c>
      <c r="L46" s="396" t="s">
        <v>1165</v>
      </c>
      <c r="M46" s="396" t="s">
        <v>1165</v>
      </c>
      <c r="N46" s="396" t="s">
        <v>1165</v>
      </c>
      <c r="O46" s="396" t="s">
        <v>1165</v>
      </c>
      <c r="P46" s="396" t="s">
        <v>1165</v>
      </c>
      <c r="Q46" s="396" t="s">
        <v>1165</v>
      </c>
      <c r="R46" s="396" t="s">
        <v>1165</v>
      </c>
      <c r="S46" s="599"/>
      <c r="T46" s="599"/>
      <c r="U46" s="599"/>
      <c r="V46" s="599"/>
      <c r="W46" s="599"/>
      <c r="X46" s="600"/>
      <c r="Y46" s="600"/>
    </row>
    <row r="47" spans="1:25" s="407" customFormat="1">
      <c r="A47" s="185"/>
      <c r="B47" s="409"/>
      <c r="C47" s="398"/>
      <c r="D47" s="597"/>
      <c r="E47" s="622"/>
      <c r="F47" s="395"/>
      <c r="G47" s="399"/>
      <c r="H47" s="396"/>
      <c r="I47" s="396"/>
      <c r="J47" s="185"/>
      <c r="K47" s="396"/>
      <c r="L47" s="396"/>
      <c r="M47" s="396"/>
      <c r="N47" s="396"/>
      <c r="O47" s="396"/>
      <c r="P47" s="396"/>
      <c r="Q47" s="396"/>
      <c r="R47" s="396"/>
      <c r="S47" s="599"/>
      <c r="T47" s="599"/>
      <c r="U47" s="599"/>
      <c r="V47" s="599"/>
      <c r="W47" s="599"/>
      <c r="X47" s="600"/>
      <c r="Y47" s="600"/>
    </row>
    <row r="48" spans="1:25" s="407" customFormat="1">
      <c r="A48" s="185"/>
      <c r="B48" s="409"/>
      <c r="C48" s="398"/>
      <c r="D48" s="597"/>
      <c r="E48" s="622">
        <v>8</v>
      </c>
      <c r="F48" s="395"/>
      <c r="G48" s="406" t="s">
        <v>1311</v>
      </c>
      <c r="H48" s="396"/>
      <c r="I48" s="396"/>
      <c r="J48" s="185"/>
      <c r="K48" s="604">
        <f>SUM(K45:K47)</f>
        <v>11982219.839999998</v>
      </c>
      <c r="L48" s="604">
        <f t="shared" ref="L48:R48" si="13">SUM(L45:L47)</f>
        <v>5728230.7800000003</v>
      </c>
      <c r="M48" s="604">
        <f t="shared" si="13"/>
        <v>6253989.0599999977</v>
      </c>
      <c r="N48" s="604">
        <f t="shared" si="13"/>
        <v>318111</v>
      </c>
      <c r="O48" s="604">
        <f t="shared" si="13"/>
        <v>11982219.839999998</v>
      </c>
      <c r="P48" s="604">
        <f t="shared" si="13"/>
        <v>5410119.7800000003</v>
      </c>
      <c r="Q48" s="604">
        <f t="shared" si="13"/>
        <v>6572100.0599999977</v>
      </c>
      <c r="R48" s="604">
        <f t="shared" si="13"/>
        <v>317733.78000000003</v>
      </c>
      <c r="S48" s="599"/>
      <c r="T48" s="599"/>
      <c r="U48" s="599"/>
      <c r="V48" s="599"/>
      <c r="W48" s="599"/>
      <c r="X48" s="600"/>
      <c r="Y48" s="600"/>
    </row>
    <row r="49" spans="1:25" s="402" customFormat="1" ht="9" customHeight="1">
      <c r="A49" s="396"/>
      <c r="B49" s="397"/>
      <c r="C49" s="398"/>
      <c r="D49" s="597" t="str">
        <f t="shared" si="1"/>
        <v/>
      </c>
      <c r="E49" s="618"/>
      <c r="F49" s="618"/>
      <c r="G49" s="406"/>
      <c r="H49" s="396"/>
      <c r="I49" s="396"/>
      <c r="J49" s="396"/>
      <c r="K49" s="606"/>
      <c r="L49" s="606"/>
      <c r="M49" s="607"/>
      <c r="N49" s="606"/>
      <c r="O49" s="606"/>
      <c r="P49" s="606"/>
      <c r="Q49" s="607"/>
      <c r="R49" s="606"/>
      <c r="S49" s="601"/>
      <c r="T49" s="601"/>
      <c r="U49" s="601"/>
      <c r="V49" s="601"/>
      <c r="W49" s="601"/>
      <c r="X49" s="602"/>
      <c r="Y49" s="602"/>
    </row>
    <row r="50" spans="1:25" s="402" customFormat="1">
      <c r="A50" s="396" t="s">
        <v>148</v>
      </c>
      <c r="B50" s="397" t="s">
        <v>241</v>
      </c>
      <c r="C50" s="398" t="s">
        <v>161</v>
      </c>
      <c r="D50" s="597" t="str">
        <f t="shared" si="1"/>
        <v>POLETTI  (Astoria)350Land &amp; Land Rights</v>
      </c>
      <c r="E50" s="618" t="s">
        <v>1166</v>
      </c>
      <c r="F50" s="1224" t="str">
        <f>CONCATENATE("WP-BC, line ",VLOOKUP(D50,'WP-BC'!$A$18:$N$341,2,FALSE))</f>
        <v>WP-BC, line 1p</v>
      </c>
      <c r="G50" s="1295">
        <v>350</v>
      </c>
      <c r="H50" s="1299" t="s">
        <v>161</v>
      </c>
      <c r="I50" s="1297" t="s">
        <v>1890</v>
      </c>
      <c r="J50" s="396"/>
      <c r="K50" s="606">
        <f>VLOOKUP($D50,'WP-BC'!$A$1:$N$357,7,FALSE)</f>
        <v>981</v>
      </c>
      <c r="L50" s="606">
        <f>VLOOKUP($D50,'WP-BC'!$A$1:$N$357,8,FALSE)</f>
        <v>0</v>
      </c>
      <c r="M50" s="607">
        <f t="shared" ref="M50:M54" si="14">+K50-L50</f>
        <v>981</v>
      </c>
      <c r="N50" s="606">
        <f>VLOOKUP($D50,'WP-BC'!$A$1:$N$357,10,FALSE)</f>
        <v>0</v>
      </c>
      <c r="O50" s="606">
        <f>VLOOKUP($D50,'WP-BC'!$A$1:$N$357,11,FALSE)</f>
        <v>981</v>
      </c>
      <c r="P50" s="606">
        <f>VLOOKUP($D50,'WP-BC'!$A$1:$N$357,12,FALSE)</f>
        <v>0</v>
      </c>
      <c r="Q50" s="607">
        <f t="shared" ref="Q50:Q54" si="15">+O50-P50</f>
        <v>981</v>
      </c>
      <c r="R50" s="606">
        <f>VLOOKUP($D50,'WP-BC'!$A$1:$N$357,14,FALSE)</f>
        <v>0</v>
      </c>
      <c r="S50" s="601">
        <v>981</v>
      </c>
      <c r="T50" s="601"/>
      <c r="U50" s="601">
        <v>0</v>
      </c>
      <c r="V50" s="601"/>
      <c r="W50" s="601">
        <f>+S50-U50</f>
        <v>981</v>
      </c>
      <c r="X50" s="602"/>
      <c r="Y50" s="602"/>
    </row>
    <row r="51" spans="1:25" s="402" customFormat="1">
      <c r="A51" s="396" t="s">
        <v>148</v>
      </c>
      <c r="B51" s="397" t="s">
        <v>241</v>
      </c>
      <c r="C51" s="398" t="s">
        <v>161</v>
      </c>
      <c r="D51" s="597" t="str">
        <f t="shared" si="1"/>
        <v>POLETTI  (Astoria)352Structures &amp; Improvements</v>
      </c>
      <c r="E51" s="618" t="s">
        <v>1167</v>
      </c>
      <c r="F51" s="1224" t="str">
        <f>CONCATENATE("WP-BC, line ",VLOOKUP(D51,'WP-BC'!$A$18:$N$341,2,FALSE))</f>
        <v>WP-BC, line 10bj</v>
      </c>
      <c r="G51" s="1295">
        <v>352</v>
      </c>
      <c r="H51" s="1299" t="s">
        <v>161</v>
      </c>
      <c r="I51" s="1297" t="s">
        <v>69</v>
      </c>
      <c r="J51" s="396"/>
      <c r="K51" s="606">
        <f>VLOOKUP($D51,'WP-BC'!$A$1:$N$357,7,FALSE)</f>
        <v>69748</v>
      </c>
      <c r="L51" s="606">
        <f>VLOOKUP($D51,'WP-BC'!$A$1:$N$357,8,FALSE)</f>
        <v>59684.639999999999</v>
      </c>
      <c r="M51" s="607">
        <f t="shared" si="14"/>
        <v>10063.36</v>
      </c>
      <c r="N51" s="606">
        <f>VLOOKUP($D51,'WP-BC'!$A$1:$N$357,10,FALSE)</f>
        <v>0</v>
      </c>
      <c r="O51" s="606">
        <f>VLOOKUP($D51,'WP-BC'!$A$1:$N$357,11,FALSE)</f>
        <v>69748</v>
      </c>
      <c r="P51" s="606">
        <f>VLOOKUP($D51,'WP-BC'!$A$1:$N$357,12,FALSE)</f>
        <v>59684.639999999999</v>
      </c>
      <c r="Q51" s="607">
        <f t="shared" si="15"/>
        <v>10063.36</v>
      </c>
      <c r="R51" s="606">
        <f>VLOOKUP($D51,'WP-BC'!$A$1:$N$357,14,FALSE)</f>
        <v>0</v>
      </c>
      <c r="S51" s="601">
        <v>69748</v>
      </c>
      <c r="T51" s="601"/>
      <c r="U51" s="601">
        <v>52142</v>
      </c>
      <c r="V51" s="601"/>
      <c r="W51" s="601">
        <f>+S51-U51</f>
        <v>17606</v>
      </c>
      <c r="X51" s="602"/>
      <c r="Y51" s="602"/>
    </row>
    <row r="52" spans="1:25" s="402" customFormat="1">
      <c r="A52" s="396" t="s">
        <v>148</v>
      </c>
      <c r="B52" s="397" t="s">
        <v>241</v>
      </c>
      <c r="C52" s="398" t="s">
        <v>161</v>
      </c>
      <c r="D52" s="597" t="str">
        <f t="shared" si="1"/>
        <v>POLETTI  (Astoria)353Station Equipment</v>
      </c>
      <c r="E52" s="618" t="s">
        <v>1187</v>
      </c>
      <c r="F52" s="1224" t="str">
        <f>CONCATENATE("WP-BC, line ",VLOOKUP(D52,'WP-BC'!$A$18:$N$341,2,FALSE))</f>
        <v>WP-BC, line 10bk</v>
      </c>
      <c r="G52" s="1295">
        <v>353</v>
      </c>
      <c r="H52" s="1299" t="s">
        <v>161</v>
      </c>
      <c r="I52" s="1297" t="s">
        <v>20</v>
      </c>
      <c r="J52" s="396"/>
      <c r="K52" s="606">
        <f>VLOOKUP($D52,'WP-BC'!$A$1:$N$357,7,FALSE)</f>
        <v>14716023</v>
      </c>
      <c r="L52" s="606">
        <f>VLOOKUP($D52,'WP-BC'!$A$1:$N$357,8,FALSE)</f>
        <v>15378377.59</v>
      </c>
      <c r="M52" s="607">
        <f t="shared" si="14"/>
        <v>-662354.58999999985</v>
      </c>
      <c r="N52" s="606">
        <f>VLOOKUP($D52,'WP-BC'!$A$1:$N$357,10,FALSE)</f>
        <v>0</v>
      </c>
      <c r="O52" s="606">
        <f>VLOOKUP($D52,'WP-BC'!$A$1:$N$357,11,FALSE)</f>
        <v>14716023</v>
      </c>
      <c r="P52" s="606">
        <f>VLOOKUP($D52,'WP-BC'!$A$1:$N$357,12,FALSE)</f>
        <v>15378377.59</v>
      </c>
      <c r="Q52" s="607">
        <f t="shared" si="15"/>
        <v>-662354.58999999985</v>
      </c>
      <c r="R52" s="606">
        <f>VLOOKUP($D52,'WP-BC'!$A$1:$N$357,14,FALSE)</f>
        <v>0</v>
      </c>
      <c r="S52" s="601">
        <v>14716023</v>
      </c>
      <c r="T52" s="601"/>
      <c r="U52" s="601">
        <v>13714374</v>
      </c>
      <c r="V52" s="601"/>
      <c r="W52" s="601">
        <f>+S52-U52</f>
        <v>1001649</v>
      </c>
      <c r="X52" s="602"/>
      <c r="Y52" s="602"/>
    </row>
    <row r="53" spans="1:25" s="402" customFormat="1">
      <c r="A53" s="396" t="s">
        <v>148</v>
      </c>
      <c r="B53" s="397" t="s">
        <v>241</v>
      </c>
      <c r="C53" s="398" t="s">
        <v>161</v>
      </c>
      <c r="D53" s="597" t="str">
        <f t="shared" si="1"/>
        <v>POLETTI  (Astoria)357Underground Conduit</v>
      </c>
      <c r="E53" s="618" t="s">
        <v>1188</v>
      </c>
      <c r="F53" s="1224" t="str">
        <f>CONCATENATE("WP-BC, line ",VLOOKUP(D53,'WP-BC'!$A$18:$N$341,2,FALSE))</f>
        <v>WP-BC, line 10bl</v>
      </c>
      <c r="G53" s="1295">
        <v>357</v>
      </c>
      <c r="H53" s="1299" t="s">
        <v>161</v>
      </c>
      <c r="I53" s="1297" t="s">
        <v>73</v>
      </c>
      <c r="J53" s="396"/>
      <c r="K53" s="606">
        <f>VLOOKUP($D53,'WP-BC'!$A$1:$N$357,7,FALSE)</f>
        <v>16192845</v>
      </c>
      <c r="L53" s="606">
        <f>VLOOKUP($D53,'WP-BC'!$A$1:$N$357,8,FALSE)</f>
        <v>16524976.029999999</v>
      </c>
      <c r="M53" s="607">
        <f t="shared" si="14"/>
        <v>-332131.02999999933</v>
      </c>
      <c r="N53" s="606">
        <f>VLOOKUP($D53,'WP-BC'!$A$1:$N$357,10,FALSE)</f>
        <v>0</v>
      </c>
      <c r="O53" s="606">
        <f>VLOOKUP($D53,'WP-BC'!$A$1:$N$357,11,FALSE)</f>
        <v>16192845</v>
      </c>
      <c r="P53" s="606">
        <f>VLOOKUP($D53,'WP-BC'!$A$1:$N$357,12,FALSE)</f>
        <v>16524976.029999999</v>
      </c>
      <c r="Q53" s="607">
        <f t="shared" si="15"/>
        <v>-332131.02999999933</v>
      </c>
      <c r="R53" s="606">
        <f>VLOOKUP($D53,'WP-BC'!$A$1:$N$357,14,FALSE)</f>
        <v>0</v>
      </c>
      <c r="S53" s="601">
        <v>16192845</v>
      </c>
      <c r="T53" s="601"/>
      <c r="U53" s="601">
        <v>15487818</v>
      </c>
      <c r="V53" s="601"/>
      <c r="W53" s="601">
        <f>+S53-U53</f>
        <v>705027</v>
      </c>
      <c r="X53" s="602"/>
      <c r="Y53" s="602"/>
    </row>
    <row r="54" spans="1:25" s="402" customFormat="1">
      <c r="A54" s="396" t="s">
        <v>148</v>
      </c>
      <c r="B54" s="397" t="s">
        <v>241</v>
      </c>
      <c r="C54" s="398" t="s">
        <v>161</v>
      </c>
      <c r="D54" s="597" t="str">
        <f t="shared" si="1"/>
        <v>POLETTI  (Astoria)358Underground Conductors &amp; Devices</v>
      </c>
      <c r="E54" s="618" t="s">
        <v>1189</v>
      </c>
      <c r="F54" s="1224" t="str">
        <f>CONCATENATE("WP-BC, line ",VLOOKUP(D54,'WP-BC'!$A$18:$N$341,2,FALSE))</f>
        <v>WP-BC, line 10bm</v>
      </c>
      <c r="G54" s="1295">
        <v>358</v>
      </c>
      <c r="H54" s="1299" t="s">
        <v>161</v>
      </c>
      <c r="I54" s="1297" t="s">
        <v>74</v>
      </c>
      <c r="J54" s="396"/>
      <c r="K54" s="606">
        <f>VLOOKUP($D54,'WP-BC'!$A$1:$N$357,7,FALSE)</f>
        <v>14726135</v>
      </c>
      <c r="L54" s="606">
        <f>VLOOKUP($D54,'WP-BC'!$A$1:$N$357,8,FALSE)</f>
        <v>14454224.74</v>
      </c>
      <c r="M54" s="607">
        <f t="shared" si="14"/>
        <v>271910.25999999978</v>
      </c>
      <c r="N54" s="606">
        <f>VLOOKUP($D54,'WP-BC'!$A$1:$N$357,10,FALSE)</f>
        <v>30451</v>
      </c>
      <c r="O54" s="606">
        <f>VLOOKUP($D54,'WP-BC'!$A$1:$N$357,11,FALSE)</f>
        <v>14726135</v>
      </c>
      <c r="P54" s="606">
        <f>VLOOKUP($D54,'WP-BC'!$A$1:$N$357,12,FALSE)</f>
        <v>14423773.74</v>
      </c>
      <c r="Q54" s="607">
        <f t="shared" si="15"/>
        <v>302361.25999999978</v>
      </c>
      <c r="R54" s="606">
        <f>VLOOKUP($D54,'WP-BC'!$A$1:$N$357,14,FALSE)</f>
        <v>30451</v>
      </c>
      <c r="S54" s="601">
        <v>14726135</v>
      </c>
      <c r="T54" s="601"/>
      <c r="U54" s="601">
        <v>13030098</v>
      </c>
      <c r="V54" s="601"/>
      <c r="W54" s="601">
        <f>+S54-U54</f>
        <v>1696037</v>
      </c>
      <c r="X54" s="602"/>
      <c r="Y54" s="602"/>
    </row>
    <row r="55" spans="1:25" s="402" customFormat="1">
      <c r="A55" s="396"/>
      <c r="B55" s="397"/>
      <c r="C55" s="398"/>
      <c r="D55" s="597"/>
      <c r="E55" s="618" t="s">
        <v>541</v>
      </c>
      <c r="F55" s="1297"/>
      <c r="G55" s="1295"/>
      <c r="H55" s="1298"/>
      <c r="I55" s="1297"/>
      <c r="J55" s="396"/>
      <c r="K55" s="608" t="s">
        <v>1165</v>
      </c>
      <c r="L55" s="608" t="s">
        <v>1165</v>
      </c>
      <c r="M55" s="608" t="s">
        <v>1165</v>
      </c>
      <c r="N55" s="608" t="s">
        <v>1165</v>
      </c>
      <c r="O55" s="608" t="s">
        <v>1165</v>
      </c>
      <c r="P55" s="608" t="s">
        <v>1165</v>
      </c>
      <c r="Q55" s="608" t="s">
        <v>1165</v>
      </c>
      <c r="R55" s="608" t="s">
        <v>1165</v>
      </c>
      <c r="S55" s="601"/>
      <c r="T55" s="601"/>
      <c r="U55" s="601"/>
      <c r="V55" s="601"/>
      <c r="W55" s="601"/>
      <c r="X55" s="602"/>
      <c r="Y55" s="602"/>
    </row>
    <row r="56" spans="1:25" s="402" customFormat="1">
      <c r="A56" s="396"/>
      <c r="B56" s="397"/>
      <c r="C56" s="398"/>
      <c r="D56" s="597"/>
      <c r="E56" s="618"/>
      <c r="F56" s="618"/>
      <c r="G56" s="399"/>
      <c r="H56" s="396"/>
      <c r="I56" s="396"/>
      <c r="J56" s="396"/>
      <c r="K56" s="606"/>
      <c r="L56" s="606"/>
      <c r="M56" s="606"/>
      <c r="N56" s="606"/>
      <c r="O56" s="606"/>
      <c r="P56" s="606"/>
      <c r="Q56" s="606"/>
      <c r="R56" s="606"/>
      <c r="S56" s="601"/>
      <c r="T56" s="601"/>
      <c r="U56" s="601"/>
      <c r="V56" s="601"/>
      <c r="W56" s="601"/>
      <c r="X56" s="602"/>
      <c r="Y56" s="602"/>
    </row>
    <row r="57" spans="1:25" s="402" customFormat="1">
      <c r="A57" s="396"/>
      <c r="B57" s="397"/>
      <c r="C57" s="398"/>
      <c r="D57" s="597" t="str">
        <f t="shared" si="1"/>
        <v>SUBTOTAL Poletti</v>
      </c>
      <c r="E57" s="622">
        <v>9</v>
      </c>
      <c r="F57" s="622"/>
      <c r="G57" s="406" t="s">
        <v>238</v>
      </c>
      <c r="H57" s="396"/>
      <c r="I57" s="396"/>
      <c r="J57" s="396"/>
      <c r="K57" s="604">
        <f>SUM(K50:K55)</f>
        <v>45705732</v>
      </c>
      <c r="L57" s="604">
        <f t="shared" ref="L57:R57" si="16">SUM(L50:L55)</f>
        <v>46417263</v>
      </c>
      <c r="M57" s="604">
        <f t="shared" si="16"/>
        <v>-711530.99999999942</v>
      </c>
      <c r="N57" s="604">
        <f t="shared" si="16"/>
        <v>30451</v>
      </c>
      <c r="O57" s="604">
        <f t="shared" si="16"/>
        <v>45705732</v>
      </c>
      <c r="P57" s="604">
        <f t="shared" si="16"/>
        <v>46386812</v>
      </c>
      <c r="Q57" s="604">
        <f t="shared" si="16"/>
        <v>-681079.99999999942</v>
      </c>
      <c r="R57" s="604">
        <f t="shared" si="16"/>
        <v>30451</v>
      </c>
      <c r="S57" s="599">
        <f>SUM(S50:S54)</f>
        <v>45705732</v>
      </c>
      <c r="T57" s="601"/>
      <c r="U57" s="599">
        <f>SUM(U50:U54)</f>
        <v>42284432</v>
      </c>
      <c r="V57" s="601"/>
      <c r="W57" s="599">
        <f>SUM(W50:W54)</f>
        <v>3421300</v>
      </c>
      <c r="X57" s="602"/>
      <c r="Y57" s="602"/>
    </row>
    <row r="58" spans="1:25" s="402" customFormat="1" ht="22.5" customHeight="1">
      <c r="A58" s="396"/>
      <c r="B58" s="397"/>
      <c r="C58" s="398"/>
      <c r="D58" s="597" t="str">
        <f t="shared" si="1"/>
        <v/>
      </c>
      <c r="E58" s="622">
        <v>10</v>
      </c>
      <c r="F58" s="618"/>
      <c r="G58" s="399"/>
      <c r="H58" s="396"/>
      <c r="I58" s="396"/>
      <c r="J58" s="396"/>
      <c r="K58" s="606"/>
      <c r="L58" s="606"/>
      <c r="M58" s="607"/>
      <c r="N58" s="606"/>
      <c r="O58" s="606"/>
      <c r="P58" s="606"/>
      <c r="Q58" s="607"/>
      <c r="R58" s="606"/>
      <c r="S58" s="601"/>
      <c r="T58" s="601"/>
      <c r="U58" s="601"/>
      <c r="V58" s="601"/>
      <c r="W58" s="601"/>
      <c r="X58" s="602"/>
      <c r="Y58" s="602"/>
    </row>
    <row r="59" spans="1:25" s="402" customFormat="1">
      <c r="A59" s="396" t="s">
        <v>148</v>
      </c>
      <c r="B59" s="397" t="s">
        <v>241</v>
      </c>
      <c r="C59" s="398" t="s">
        <v>159</v>
      </c>
      <c r="D59" s="597" t="str">
        <f t="shared" si="1"/>
        <v>BRENTWOOD  (Long Island)353Station Equip - Transmission</v>
      </c>
      <c r="E59" s="163" t="s">
        <v>1217</v>
      </c>
      <c r="F59" s="1224" t="str">
        <f>CONCATENATE("WP-BC, line ",VLOOKUP(D59,'WP-BC'!$A$18:$N$341,2,FALSE))</f>
        <v>WP-BC, line 10bb</v>
      </c>
      <c r="G59" s="1295">
        <v>353</v>
      </c>
      <c r="H59" s="1299" t="s">
        <v>159</v>
      </c>
      <c r="I59" s="1297" t="s">
        <v>1839</v>
      </c>
      <c r="J59" s="396"/>
      <c r="K59" s="606">
        <f>VLOOKUP($D59,'WP-BC'!$A$1:$N$357,7,FALSE)</f>
        <v>6883705.7699999996</v>
      </c>
      <c r="L59" s="606">
        <f>VLOOKUP($D59,'WP-BC'!$A$1:$N$357,8,FALSE)</f>
        <v>5869197</v>
      </c>
      <c r="M59" s="607">
        <f t="shared" ref="M59:M65" si="17">+K59-L59</f>
        <v>1014508.7699999996</v>
      </c>
      <c r="N59" s="606">
        <f>VLOOKUP($D59,'WP-BC'!$A$1:$N$357,10,FALSE)</f>
        <v>37305</v>
      </c>
      <c r="O59" s="606">
        <f>VLOOKUP($D59,'WP-BC'!$A$1:$N$357,11,FALSE)</f>
        <v>6883705.7699999996</v>
      </c>
      <c r="P59" s="606">
        <f>VLOOKUP($D59,'WP-BC'!$A$1:$N$357,12,FALSE)</f>
        <v>5831892</v>
      </c>
      <c r="Q59" s="607">
        <f t="shared" ref="Q59:Q65" si="18">+O59-P59</f>
        <v>1051813.7699999996</v>
      </c>
      <c r="R59" s="606">
        <f>VLOOKUP($D59,'WP-BC'!$A$1:$N$357,14,FALSE)</f>
        <v>37305</v>
      </c>
      <c r="S59" s="601">
        <v>6324138</v>
      </c>
      <c r="T59" s="601"/>
      <c r="U59" s="601">
        <v>3895543.23</v>
      </c>
      <c r="V59" s="601"/>
      <c r="W59" s="601">
        <f t="shared" ref="W59:W65" si="19">+S59-U59</f>
        <v>2428594.77</v>
      </c>
      <c r="X59" s="602"/>
      <c r="Y59" s="602"/>
    </row>
    <row r="60" spans="1:25" s="402" customFormat="1">
      <c r="A60" s="396" t="s">
        <v>148</v>
      </c>
      <c r="B60" s="397" t="s">
        <v>241</v>
      </c>
      <c r="C60" s="398" t="s">
        <v>156</v>
      </c>
      <c r="D60" s="597" t="str">
        <f t="shared" si="1"/>
        <v>GOWANUS  (Brooklyn)353Station Equip - Transmission</v>
      </c>
      <c r="E60" s="163" t="s">
        <v>1218</v>
      </c>
      <c r="F60" s="1224" t="str">
        <f>CONCATENATE("WP-BC, line ",VLOOKUP(D60,'WP-BC'!$A$18:$N$341,2,FALSE))</f>
        <v>WP-BC, line 10be</v>
      </c>
      <c r="G60" s="1295">
        <v>353</v>
      </c>
      <c r="H60" s="1299" t="s">
        <v>156</v>
      </c>
      <c r="I60" s="1297" t="s">
        <v>1839</v>
      </c>
      <c r="J60" s="396"/>
      <c r="K60" s="606">
        <f>VLOOKUP($D60,'WP-BC'!$A$1:$N$357,7,FALSE)</f>
        <v>28715227.16</v>
      </c>
      <c r="L60" s="606">
        <f>VLOOKUP($D60,'WP-BC'!$A$1:$N$357,8,FALSE)</f>
        <v>27580353.329999998</v>
      </c>
      <c r="M60" s="607">
        <f t="shared" si="17"/>
        <v>1134873.8300000019</v>
      </c>
      <c r="N60" s="606">
        <f>VLOOKUP($D60,'WP-BC'!$A$1:$N$357,10,FALSE)</f>
        <v>0</v>
      </c>
      <c r="O60" s="606">
        <f>VLOOKUP($D60,'WP-BC'!$A$1:$N$357,11,FALSE)</f>
        <v>28715227.16</v>
      </c>
      <c r="P60" s="606">
        <f>VLOOKUP($D60,'WP-BC'!$A$1:$N$357,12,FALSE)</f>
        <v>27580353.329999998</v>
      </c>
      <c r="Q60" s="607">
        <f t="shared" si="18"/>
        <v>1134873.8300000019</v>
      </c>
      <c r="R60" s="606">
        <f>VLOOKUP($D60,'WP-BC'!$A$1:$N$357,14,FALSE)</f>
        <v>0</v>
      </c>
      <c r="S60" s="601">
        <v>28929287.280000001</v>
      </c>
      <c r="T60" s="601"/>
      <c r="U60" s="601">
        <v>11360221.449999999</v>
      </c>
      <c r="V60" s="601"/>
      <c r="W60" s="601">
        <f t="shared" si="19"/>
        <v>17569065.830000002</v>
      </c>
      <c r="X60" s="602"/>
      <c r="Y60" s="602"/>
    </row>
    <row r="61" spans="1:25" s="402" customFormat="1">
      <c r="A61" s="396" t="s">
        <v>148</v>
      </c>
      <c r="B61" s="397" t="s">
        <v>241</v>
      </c>
      <c r="C61" s="398" t="s">
        <v>157</v>
      </c>
      <c r="D61" s="597" t="str">
        <f t="shared" si="1"/>
        <v>HARLEM RIVER YARDS  (Bronx)353Station Equip - Transmission</v>
      </c>
      <c r="E61" s="163" t="s">
        <v>1219</v>
      </c>
      <c r="F61" s="1224" t="str">
        <f>CONCATENATE("WP-BC, line ",VLOOKUP(D61,'WP-BC'!$A$18:$N$341,2,FALSE))</f>
        <v>WP-BC, line 10bf</v>
      </c>
      <c r="G61" s="1295">
        <v>353</v>
      </c>
      <c r="H61" s="1299" t="s">
        <v>157</v>
      </c>
      <c r="I61" s="1297" t="s">
        <v>1839</v>
      </c>
      <c r="J61" s="396"/>
      <c r="K61" s="606">
        <f>VLOOKUP($D61,'WP-BC'!$A$1:$N$357,7,FALSE)</f>
        <v>25080072.09</v>
      </c>
      <c r="L61" s="606">
        <f>VLOOKUP($D61,'WP-BC'!$A$1:$N$357,8,FALSE)</f>
        <v>21143390</v>
      </c>
      <c r="M61" s="607">
        <f t="shared" si="17"/>
        <v>3936682.09</v>
      </c>
      <c r="N61" s="606">
        <f>VLOOKUP($D61,'WP-BC'!$A$1:$N$357,10,FALSE)</f>
        <v>487234</v>
      </c>
      <c r="O61" s="606">
        <f>VLOOKUP($D61,'WP-BC'!$A$1:$N$357,11,FALSE)</f>
        <v>25080072.09</v>
      </c>
      <c r="P61" s="606">
        <f>VLOOKUP($D61,'WP-BC'!$A$1:$N$357,12,FALSE)</f>
        <v>20656156</v>
      </c>
      <c r="Q61" s="607">
        <f t="shared" si="18"/>
        <v>4423916.09</v>
      </c>
      <c r="R61" s="606">
        <f>VLOOKUP($D61,'WP-BC'!$A$1:$N$357,14,FALSE)</f>
        <v>487234</v>
      </c>
      <c r="S61" s="601">
        <v>18077566</v>
      </c>
      <c r="T61" s="601"/>
      <c r="U61" s="601">
        <v>12146580</v>
      </c>
      <c r="V61" s="601"/>
      <c r="W61" s="601">
        <f t="shared" si="19"/>
        <v>5930986</v>
      </c>
      <c r="X61" s="602"/>
      <c r="Y61" s="602"/>
    </row>
    <row r="62" spans="1:25" s="402" customFormat="1">
      <c r="A62" s="396" t="s">
        <v>148</v>
      </c>
      <c r="B62" s="397" t="s">
        <v>241</v>
      </c>
      <c r="C62" s="398" t="s">
        <v>158</v>
      </c>
      <c r="D62" s="597" t="str">
        <f t="shared" si="1"/>
        <v>HELLGATE  (Bronx)353Station Equip - Transmission</v>
      </c>
      <c r="E62" s="163" t="s">
        <v>1220</v>
      </c>
      <c r="F62" s="1224" t="str">
        <f>CONCATENATE("WP-BC, line ",VLOOKUP(D62,'WP-BC'!$A$18:$N$341,2,FALSE))</f>
        <v>WP-BC, line 10bg</v>
      </c>
      <c r="G62" s="1295">
        <v>353</v>
      </c>
      <c r="H62" s="1299" t="s">
        <v>158</v>
      </c>
      <c r="I62" s="1297" t="s">
        <v>1839</v>
      </c>
      <c r="J62" s="396"/>
      <c r="K62" s="606">
        <f>VLOOKUP($D62,'WP-BC'!$A$1:$N$357,7,FALSE)</f>
        <v>25061552.949999999</v>
      </c>
      <c r="L62" s="606">
        <f>VLOOKUP($D62,'WP-BC'!$A$1:$N$357,8,FALSE)</f>
        <v>19053195</v>
      </c>
      <c r="M62" s="607">
        <f t="shared" si="17"/>
        <v>6008357.9499999993</v>
      </c>
      <c r="N62" s="606">
        <f>VLOOKUP($D62,'WP-BC'!$A$1:$N$357,10,FALSE)</f>
        <v>684730</v>
      </c>
      <c r="O62" s="606">
        <f>VLOOKUP($D62,'WP-BC'!$A$1:$N$357,11,FALSE)</f>
        <v>25061552.949999999</v>
      </c>
      <c r="P62" s="606">
        <f>VLOOKUP($D62,'WP-BC'!$A$1:$N$357,12,FALSE)</f>
        <v>18368465</v>
      </c>
      <c r="Q62" s="607">
        <f t="shared" si="18"/>
        <v>6693087.9499999993</v>
      </c>
      <c r="R62" s="606">
        <f>VLOOKUP($D62,'WP-BC'!$A$1:$N$357,14,FALSE)</f>
        <v>684730</v>
      </c>
      <c r="S62" s="601">
        <v>16205600</v>
      </c>
      <c r="T62" s="601"/>
      <c r="U62" s="601">
        <v>10969679</v>
      </c>
      <c r="V62" s="601"/>
      <c r="W62" s="601">
        <f t="shared" si="19"/>
        <v>5235921</v>
      </c>
      <c r="X62" s="602"/>
      <c r="Y62" s="602"/>
    </row>
    <row r="63" spans="1:25" s="402" customFormat="1">
      <c r="A63" s="396" t="s">
        <v>148</v>
      </c>
      <c r="B63" s="397" t="s">
        <v>241</v>
      </c>
      <c r="C63" s="398" t="s">
        <v>165</v>
      </c>
      <c r="D63" s="597" t="str">
        <f t="shared" si="1"/>
        <v>KENT  (Brooklyn)353Station Equip - Transmission</v>
      </c>
      <c r="E63" s="163" t="s">
        <v>1221</v>
      </c>
      <c r="F63" s="1224" t="str">
        <f>CONCATENATE("WP-BC, line ",VLOOKUP(D63,'WP-BC'!$A$18:$N$341,2,FALSE))</f>
        <v>WP-BC, line 10bi</v>
      </c>
      <c r="G63" s="1295">
        <v>353</v>
      </c>
      <c r="H63" s="1299" t="s">
        <v>165</v>
      </c>
      <c r="I63" s="1297" t="s">
        <v>1839</v>
      </c>
      <c r="J63" s="396"/>
      <c r="K63" s="606">
        <f>VLOOKUP($D63,'WP-BC'!$A$1:$N$357,7,FALSE)</f>
        <v>10506622.24</v>
      </c>
      <c r="L63" s="606">
        <f>VLOOKUP($D63,'WP-BC'!$A$1:$N$357,8,FALSE)</f>
        <v>9799114.2400000002</v>
      </c>
      <c r="M63" s="607">
        <f t="shared" si="17"/>
        <v>707508</v>
      </c>
      <c r="N63" s="606">
        <f>VLOOKUP($D63,'WP-BC'!$A$1:$N$357,10,FALSE)</f>
        <v>4695</v>
      </c>
      <c r="O63" s="606">
        <f>VLOOKUP($D63,'WP-BC'!$A$1:$N$357,11,FALSE)</f>
        <v>10506622.24</v>
      </c>
      <c r="P63" s="606">
        <f>VLOOKUP($D63,'WP-BC'!$A$1:$N$357,12,FALSE)</f>
        <v>9794419.2400000002</v>
      </c>
      <c r="Q63" s="607">
        <f t="shared" si="18"/>
        <v>712203</v>
      </c>
      <c r="R63" s="606">
        <f>VLOOKUP($D63,'WP-BC'!$A$1:$N$357,14,FALSE)</f>
        <v>4010.24</v>
      </c>
      <c r="S63" s="601">
        <v>10365797</v>
      </c>
      <c r="T63" s="601"/>
      <c r="U63" s="601">
        <v>6515685.2800000003</v>
      </c>
      <c r="V63" s="601"/>
      <c r="W63" s="601">
        <f t="shared" si="19"/>
        <v>3850111.7199999997</v>
      </c>
      <c r="X63" s="602"/>
      <c r="Y63" s="602"/>
    </row>
    <row r="64" spans="1:25" s="402" customFormat="1">
      <c r="A64" s="396" t="s">
        <v>148</v>
      </c>
      <c r="B64" s="397" t="s">
        <v>241</v>
      </c>
      <c r="C64" s="398" t="s">
        <v>166</v>
      </c>
      <c r="D64" s="597" t="str">
        <f t="shared" si="1"/>
        <v>POUCH TERMINAL  (Richmond)353Station Equip - Transmission</v>
      </c>
      <c r="E64" s="618" t="s">
        <v>1222</v>
      </c>
      <c r="F64" s="1224" t="str">
        <f>CONCATENATE("WP-BC, line ",VLOOKUP(D64,'WP-BC'!$A$18:$N$341,2,FALSE))</f>
        <v>WP-BC, line 10bn</v>
      </c>
      <c r="G64" s="1295">
        <v>353</v>
      </c>
      <c r="H64" s="1299" t="s">
        <v>166</v>
      </c>
      <c r="I64" s="1297" t="s">
        <v>1839</v>
      </c>
      <c r="J64" s="396"/>
      <c r="K64" s="606">
        <f>VLOOKUP($D64,'WP-BC'!$A$1:$N$357,7,FALSE)</f>
        <v>11520027</v>
      </c>
      <c r="L64" s="606">
        <f>VLOOKUP($D64,'WP-BC'!$A$1:$N$357,8,FALSE)</f>
        <v>10468678.050000001</v>
      </c>
      <c r="M64" s="607">
        <f t="shared" si="17"/>
        <v>1051348.9499999993</v>
      </c>
      <c r="N64" s="606">
        <f>VLOOKUP($D64,'WP-BC'!$A$1:$N$357,10,FALSE)</f>
        <v>0</v>
      </c>
      <c r="O64" s="606">
        <f>VLOOKUP($D64,'WP-BC'!$A$1:$N$357,11,FALSE)</f>
        <v>11520027</v>
      </c>
      <c r="P64" s="606">
        <f>VLOOKUP($D64,'WP-BC'!$A$1:$N$357,12,FALSE)</f>
        <v>10468678.050000001</v>
      </c>
      <c r="Q64" s="607">
        <f t="shared" si="18"/>
        <v>1051348.9499999993</v>
      </c>
      <c r="R64" s="606">
        <f>VLOOKUP($D64,'WP-BC'!$A$1:$N$357,14,FALSE)</f>
        <v>0</v>
      </c>
      <c r="S64" s="601">
        <v>11520027</v>
      </c>
      <c r="T64" s="601"/>
      <c r="U64" s="601">
        <v>5996993.0499999998</v>
      </c>
      <c r="V64" s="601"/>
      <c r="W64" s="601">
        <f t="shared" si="19"/>
        <v>5523033.9500000002</v>
      </c>
      <c r="X64" s="602"/>
      <c r="Y64" s="602"/>
    </row>
    <row r="65" spans="1:25" s="402" customFormat="1">
      <c r="A65" s="396" t="s">
        <v>148</v>
      </c>
      <c r="B65" s="397" t="s">
        <v>241</v>
      </c>
      <c r="C65" s="398" t="s">
        <v>167</v>
      </c>
      <c r="D65" s="597" t="str">
        <f t="shared" si="1"/>
        <v>VERNON BOULEVARD  (Queens)353Station Equip - Transmission</v>
      </c>
      <c r="E65" s="618" t="s">
        <v>1223</v>
      </c>
      <c r="F65" s="1224" t="str">
        <f>CONCATENATE("WP-BC, line ",VLOOKUP(D65,'WP-BC'!$A$18:$N$341,2,FALSE))</f>
        <v>WP-BC, line 10bo</v>
      </c>
      <c r="G65" s="1295">
        <v>353</v>
      </c>
      <c r="H65" s="1299" t="s">
        <v>167</v>
      </c>
      <c r="I65" s="1297" t="s">
        <v>1839</v>
      </c>
      <c r="J65" s="396"/>
      <c r="K65" s="606">
        <f>VLOOKUP($D65,'WP-BC'!$A$1:$N$357,7,FALSE)</f>
        <v>16526683</v>
      </c>
      <c r="L65" s="606">
        <f>VLOOKUP($D65,'WP-BC'!$A$1:$N$357,8,FALSE)</f>
        <v>6635442.8499999996</v>
      </c>
      <c r="M65" s="607">
        <f t="shared" si="17"/>
        <v>9891240.1500000004</v>
      </c>
      <c r="N65" s="606">
        <f>VLOOKUP($D65,'WP-BC'!$A$1:$N$357,10,FALSE)</f>
        <v>0</v>
      </c>
      <c r="O65" s="606">
        <f>VLOOKUP($D65,'WP-BC'!$A$1:$N$357,11,FALSE)</f>
        <v>16526683</v>
      </c>
      <c r="P65" s="606">
        <f>VLOOKUP($D65,'WP-BC'!$A$1:$N$357,12,FALSE)</f>
        <v>6635442.8499999996</v>
      </c>
      <c r="Q65" s="607">
        <f t="shared" si="18"/>
        <v>9891240.1500000004</v>
      </c>
      <c r="R65" s="606">
        <f>VLOOKUP($D65,'WP-BC'!$A$1:$N$357,14,FALSE)</f>
        <v>0</v>
      </c>
      <c r="S65" s="601">
        <v>16526683</v>
      </c>
      <c r="T65" s="601"/>
      <c r="U65" s="601">
        <v>6636442.8499999996</v>
      </c>
      <c r="V65" s="601"/>
      <c r="W65" s="601">
        <f t="shared" si="19"/>
        <v>9890240.1500000004</v>
      </c>
      <c r="X65" s="602"/>
      <c r="Y65" s="602"/>
    </row>
    <row r="66" spans="1:25" s="402" customFormat="1">
      <c r="A66" s="396"/>
      <c r="B66" s="397"/>
      <c r="C66" s="398"/>
      <c r="D66" s="597"/>
      <c r="E66" s="618" t="s">
        <v>541</v>
      </c>
      <c r="F66" s="1297"/>
      <c r="G66" s="1295"/>
      <c r="H66" s="1298"/>
      <c r="I66" s="1297"/>
      <c r="J66" s="396"/>
      <c r="K66" s="608" t="s">
        <v>1165</v>
      </c>
      <c r="L66" s="608" t="s">
        <v>1165</v>
      </c>
      <c r="M66" s="608" t="s">
        <v>1165</v>
      </c>
      <c r="N66" s="608" t="s">
        <v>1165</v>
      </c>
      <c r="O66" s="608" t="s">
        <v>1165</v>
      </c>
      <c r="P66" s="608" t="s">
        <v>1165</v>
      </c>
      <c r="Q66" s="608" t="s">
        <v>1165</v>
      </c>
      <c r="R66" s="608" t="s">
        <v>1165</v>
      </c>
      <c r="S66" s="601"/>
      <c r="T66" s="601"/>
      <c r="U66" s="601"/>
      <c r="V66" s="601"/>
      <c r="W66" s="601"/>
      <c r="X66" s="602"/>
      <c r="Y66" s="602"/>
    </row>
    <row r="67" spans="1:25" s="402" customFormat="1">
      <c r="A67" s="396"/>
      <c r="B67" s="397"/>
      <c r="C67" s="398"/>
      <c r="D67" s="597"/>
      <c r="E67" s="618"/>
      <c r="F67" s="618"/>
      <c r="G67" s="399"/>
      <c r="H67" s="396"/>
      <c r="I67" s="396"/>
      <c r="J67" s="396"/>
      <c r="K67" s="606"/>
      <c r="L67" s="606"/>
      <c r="M67" s="607"/>
      <c r="N67" s="606"/>
      <c r="O67" s="606"/>
      <c r="P67" s="606"/>
      <c r="Q67" s="607"/>
      <c r="R67" s="606"/>
      <c r="S67" s="601"/>
      <c r="T67" s="601"/>
      <c r="U67" s="601"/>
      <c r="V67" s="601"/>
      <c r="W67" s="601"/>
      <c r="X67" s="602"/>
      <c r="Y67" s="602"/>
    </row>
    <row r="68" spans="1:25" s="402" customFormat="1">
      <c r="A68" s="396"/>
      <c r="B68" s="397"/>
      <c r="C68" s="398"/>
      <c r="D68" s="597" t="str">
        <f t="shared" si="1"/>
        <v>SUBTOTAL SCPP</v>
      </c>
      <c r="E68" s="622">
        <v>11</v>
      </c>
      <c r="F68" s="622"/>
      <c r="G68" s="406" t="s">
        <v>239</v>
      </c>
      <c r="H68" s="396"/>
      <c r="I68" s="396"/>
      <c r="J68" s="396"/>
      <c r="K68" s="604">
        <f>SUM(K59:K66)</f>
        <v>124293890.20999999</v>
      </c>
      <c r="L68" s="604">
        <f t="shared" ref="L68:R68" si="20">SUM(L59:L66)</f>
        <v>100549370.46999998</v>
      </c>
      <c r="M68" s="604">
        <f t="shared" si="20"/>
        <v>23744519.740000002</v>
      </c>
      <c r="N68" s="604">
        <f t="shared" si="20"/>
        <v>1213964</v>
      </c>
      <c r="O68" s="604">
        <f t="shared" si="20"/>
        <v>124293890.20999999</v>
      </c>
      <c r="P68" s="604">
        <f t="shared" si="20"/>
        <v>99335406.469999984</v>
      </c>
      <c r="Q68" s="604">
        <f t="shared" si="20"/>
        <v>24958483.740000002</v>
      </c>
      <c r="R68" s="604">
        <f t="shared" si="20"/>
        <v>1213279.24</v>
      </c>
      <c r="S68" s="599">
        <f t="shared" ref="S68" si="21">SUM(S59:S65)</f>
        <v>107949098.28</v>
      </c>
      <c r="T68" s="601"/>
      <c r="U68" s="599">
        <f>SUM(U59:U65)</f>
        <v>57521144.859999999</v>
      </c>
      <c r="V68" s="601"/>
      <c r="W68" s="599">
        <f>SUM(W59:W65)</f>
        <v>50427953.420000002</v>
      </c>
      <c r="X68" s="602"/>
      <c r="Y68" s="602"/>
    </row>
    <row r="69" spans="1:25" s="402" customFormat="1">
      <c r="A69" s="396"/>
      <c r="B69" s="397"/>
      <c r="C69" s="398"/>
      <c r="D69" s="597"/>
      <c r="E69" s="618"/>
      <c r="F69" s="618"/>
      <c r="G69" s="406"/>
      <c r="H69" s="396"/>
      <c r="I69" s="396"/>
      <c r="J69" s="396"/>
      <c r="K69" s="604"/>
      <c r="L69" s="604"/>
      <c r="M69" s="604"/>
      <c r="N69" s="604"/>
      <c r="O69" s="604"/>
      <c r="P69" s="604"/>
      <c r="Q69" s="604"/>
      <c r="R69" s="604"/>
      <c r="S69" s="599"/>
      <c r="T69" s="601"/>
      <c r="U69" s="599"/>
      <c r="V69" s="601"/>
      <c r="W69" s="599"/>
      <c r="X69" s="602"/>
      <c r="Y69" s="602"/>
    </row>
    <row r="70" spans="1:25" s="402" customFormat="1" ht="22.5" customHeight="1">
      <c r="A70" s="396"/>
      <c r="B70" s="397"/>
      <c r="C70" s="398"/>
      <c r="D70" s="597" t="str">
        <f t="shared" ref="D70:D71" si="22">CONCATENATE(H70,G70,I70)</f>
        <v/>
      </c>
      <c r="E70" s="622">
        <v>12</v>
      </c>
      <c r="F70" s="618"/>
      <c r="G70" s="399"/>
      <c r="H70" s="396"/>
      <c r="I70" s="396"/>
      <c r="J70" s="396"/>
      <c r="K70" s="606"/>
      <c r="L70" s="606"/>
      <c r="M70" s="607"/>
      <c r="N70" s="606"/>
      <c r="O70" s="606"/>
      <c r="P70" s="606"/>
      <c r="Q70" s="607"/>
      <c r="R70" s="606"/>
      <c r="S70" s="601"/>
      <c r="T70" s="601"/>
      <c r="U70" s="601"/>
      <c r="V70" s="601"/>
      <c r="W70" s="601"/>
      <c r="X70" s="602"/>
      <c r="Y70" s="602"/>
    </row>
    <row r="71" spans="1:25" s="402" customFormat="1">
      <c r="A71" s="396" t="s">
        <v>148</v>
      </c>
      <c r="B71" s="397" t="s">
        <v>241</v>
      </c>
      <c r="C71" s="398" t="s">
        <v>159</v>
      </c>
      <c r="D71" s="597" t="str">
        <f t="shared" si="22"/>
        <v/>
      </c>
      <c r="E71" s="163" t="s">
        <v>541</v>
      </c>
      <c r="F71" s="1297"/>
      <c r="G71" s="1295"/>
      <c r="H71" s="1298"/>
      <c r="I71" s="1297"/>
      <c r="J71" s="396"/>
      <c r="K71" s="655" t="s">
        <v>1165</v>
      </c>
      <c r="L71" s="653" t="s">
        <v>1165</v>
      </c>
      <c r="M71" s="653" t="s">
        <v>1165</v>
      </c>
      <c r="N71" s="653" t="s">
        <v>1165</v>
      </c>
      <c r="O71" s="653" t="s">
        <v>1165</v>
      </c>
      <c r="P71" s="653" t="s">
        <v>1165</v>
      </c>
      <c r="Q71" s="653" t="s">
        <v>1165</v>
      </c>
      <c r="R71" s="653" t="s">
        <v>1165</v>
      </c>
      <c r="S71" s="601">
        <v>6324138</v>
      </c>
      <c r="T71" s="601"/>
      <c r="U71" s="601">
        <v>3895543.23</v>
      </c>
      <c r="V71" s="601"/>
      <c r="W71" s="601">
        <f t="shared" ref="W71" si="23">+S71-U71</f>
        <v>2428594.77</v>
      </c>
      <c r="X71" s="602"/>
      <c r="Y71" s="602"/>
    </row>
    <row r="72" spans="1:25" s="402" customFormat="1">
      <c r="A72" s="396"/>
      <c r="B72" s="397"/>
      <c r="C72" s="398"/>
      <c r="D72" s="597"/>
      <c r="E72" s="163"/>
      <c r="F72" s="618"/>
      <c r="G72" s="406"/>
      <c r="H72" s="396"/>
      <c r="I72" s="396"/>
      <c r="J72" s="396"/>
      <c r="K72" s="658"/>
      <c r="L72" s="657"/>
      <c r="M72" s="657"/>
      <c r="N72" s="657"/>
      <c r="O72" s="657"/>
      <c r="P72" s="657"/>
      <c r="Q72" s="657"/>
      <c r="R72" s="657"/>
      <c r="S72" s="601"/>
      <c r="T72" s="601"/>
      <c r="U72" s="601"/>
      <c r="V72" s="601"/>
      <c r="W72" s="601"/>
      <c r="X72" s="602"/>
      <c r="Y72" s="602"/>
    </row>
    <row r="73" spans="1:25" s="402" customFormat="1">
      <c r="A73" s="396"/>
      <c r="B73" s="397"/>
      <c r="C73" s="398"/>
      <c r="D73" s="597"/>
      <c r="E73" s="618"/>
      <c r="F73" s="618"/>
      <c r="G73" s="406"/>
      <c r="H73" s="396"/>
      <c r="I73" s="396"/>
      <c r="J73" s="396"/>
      <c r="K73" s="656">
        <f>SUM(K71)</f>
        <v>0</v>
      </c>
      <c r="L73" s="654">
        <f t="shared" ref="L73:R73" si="24">SUM(L71)</f>
        <v>0</v>
      </c>
      <c r="M73" s="654">
        <f t="shared" si="24"/>
        <v>0</v>
      </c>
      <c r="N73" s="654">
        <f t="shared" si="24"/>
        <v>0</v>
      </c>
      <c r="O73" s="654">
        <f t="shared" si="24"/>
        <v>0</v>
      </c>
      <c r="P73" s="654">
        <f t="shared" si="24"/>
        <v>0</v>
      </c>
      <c r="Q73" s="654">
        <f t="shared" si="24"/>
        <v>0</v>
      </c>
      <c r="R73" s="654">
        <f t="shared" si="24"/>
        <v>0</v>
      </c>
      <c r="S73" s="599"/>
      <c r="T73" s="601"/>
      <c r="U73" s="599"/>
      <c r="V73" s="601"/>
      <c r="W73" s="599"/>
      <c r="X73" s="602"/>
      <c r="Y73" s="602"/>
    </row>
    <row r="74" spans="1:25" s="402" customFormat="1">
      <c r="A74" s="396"/>
      <c r="B74" s="397"/>
      <c r="C74" s="398"/>
      <c r="D74" s="597"/>
      <c r="E74" s="618"/>
      <c r="F74" s="618"/>
      <c r="G74" s="406"/>
      <c r="H74" s="396"/>
      <c r="I74" s="396"/>
      <c r="J74" s="396"/>
      <c r="K74" s="604"/>
      <c r="L74" s="604"/>
      <c r="M74" s="604"/>
      <c r="N74" s="604"/>
      <c r="O74" s="604"/>
      <c r="P74" s="604"/>
      <c r="Q74" s="604"/>
      <c r="R74" s="604"/>
      <c r="S74" s="599"/>
      <c r="T74" s="601"/>
      <c r="U74" s="599"/>
      <c r="V74" s="601"/>
      <c r="W74" s="599"/>
      <c r="X74" s="602"/>
      <c r="Y74" s="602"/>
    </row>
    <row r="75" spans="1:25" s="402" customFormat="1" ht="17.399999999999999">
      <c r="A75" s="396"/>
      <c r="B75" s="397"/>
      <c r="C75" s="398"/>
      <c r="D75" s="597" t="str">
        <f t="shared" si="1"/>
        <v>TOTAL EXCLUDED TRANSMISSION</v>
      </c>
      <c r="E75" s="622">
        <v>13</v>
      </c>
      <c r="F75" s="622"/>
      <c r="G75" s="408" t="s">
        <v>242</v>
      </c>
      <c r="H75" s="396"/>
      <c r="I75" s="396"/>
      <c r="J75" s="396"/>
      <c r="K75" s="604">
        <f>K23+K43+K48+K57+K68+K36+K73</f>
        <v>362392669.38999999</v>
      </c>
      <c r="L75" s="604">
        <f t="shared" ref="L75:R75" si="25">L23+L43+L48+L57+L68+L36+L73</f>
        <v>243055637.28999996</v>
      </c>
      <c r="M75" s="604">
        <f t="shared" si="25"/>
        <v>119337032.09999999</v>
      </c>
      <c r="N75" s="604">
        <f>N23+N43+N48+N57+N68+N36+N73</f>
        <v>8749988</v>
      </c>
      <c r="O75" s="604">
        <f t="shared" si="25"/>
        <v>362392669.38999999</v>
      </c>
      <c r="P75" s="604">
        <f t="shared" si="25"/>
        <v>234305649.28999996</v>
      </c>
      <c r="Q75" s="604">
        <f t="shared" si="25"/>
        <v>128087020.09999999</v>
      </c>
      <c r="R75" s="604">
        <f t="shared" si="25"/>
        <v>8748118.0600000005</v>
      </c>
      <c r="S75" s="599">
        <f>S20+S43+S45+S57+S68</f>
        <v>240304625.04000002</v>
      </c>
      <c r="T75" s="601"/>
      <c r="U75" s="599">
        <f>U20+U43+U45+U57+U68</f>
        <v>114494058.12</v>
      </c>
      <c r="V75" s="601"/>
      <c r="W75" s="599">
        <f>W20+W43+W45+W57+W68</f>
        <v>125810566.92</v>
      </c>
      <c r="X75" s="602"/>
      <c r="Y75" s="602"/>
    </row>
    <row r="76" spans="1:25" s="402" customFormat="1">
      <c r="A76" s="396"/>
      <c r="B76" s="397"/>
      <c r="C76" s="398"/>
      <c r="D76" s="597" t="str">
        <f t="shared" si="1"/>
        <v/>
      </c>
      <c r="E76" s="618"/>
      <c r="F76" s="618"/>
      <c r="G76" s="406"/>
      <c r="H76" s="396"/>
      <c r="I76" s="396"/>
      <c r="J76" s="396"/>
      <c r="K76" s="606"/>
      <c r="L76" s="606"/>
      <c r="M76" s="607"/>
      <c r="N76" s="606"/>
      <c r="O76" s="606"/>
      <c r="P76" s="606"/>
      <c r="Q76" s="607"/>
      <c r="R76" s="606"/>
      <c r="S76" s="410"/>
      <c r="T76" s="401"/>
      <c r="U76" s="410"/>
      <c r="V76" s="401"/>
      <c r="W76" s="410"/>
    </row>
    <row r="77" spans="1:25" s="402" customFormat="1" ht="17.399999999999999">
      <c r="A77" s="396"/>
      <c r="B77" s="397"/>
      <c r="C77" s="405"/>
      <c r="D77" s="597" t="str">
        <f t="shared" si="1"/>
        <v>EXCLUDED GENERAL</v>
      </c>
      <c r="E77" s="622">
        <v>14</v>
      </c>
      <c r="F77" s="618"/>
      <c r="G77" s="411" t="s">
        <v>243</v>
      </c>
      <c r="H77" s="396"/>
      <c r="I77" s="396"/>
      <c r="J77" s="396"/>
      <c r="K77" s="606"/>
      <c r="L77" s="606"/>
      <c r="M77" s="607"/>
      <c r="N77" s="606"/>
      <c r="O77" s="606"/>
      <c r="P77" s="606"/>
      <c r="Q77" s="607"/>
      <c r="R77" s="606"/>
      <c r="S77" s="400"/>
      <c r="T77" s="401"/>
      <c r="U77" s="400"/>
      <c r="V77" s="401"/>
      <c r="W77" s="400"/>
    </row>
    <row r="78" spans="1:25" s="402" customFormat="1">
      <c r="A78" s="396" t="s">
        <v>148</v>
      </c>
      <c r="B78" s="397" t="s">
        <v>244</v>
      </c>
      <c r="C78" s="398" t="s">
        <v>153</v>
      </c>
      <c r="D78" s="597" t="str">
        <f t="shared" si="1"/>
        <v>500mW C - C at Astoria391Office Furniture &amp; Equipment</v>
      </c>
      <c r="E78" s="618" t="s">
        <v>1638</v>
      </c>
      <c r="F78" s="1224" t="str">
        <f>CONCATENATE("WP-BC, line ",VLOOKUP(D78,'WP-BC'!$A$18:$N$341,2,FALSE))</f>
        <v>WP-BC, line 12bf</v>
      </c>
      <c r="G78" s="1295">
        <v>391</v>
      </c>
      <c r="H78" s="1299" t="s">
        <v>153</v>
      </c>
      <c r="I78" s="1297" t="s">
        <v>76</v>
      </c>
      <c r="J78" s="396"/>
      <c r="K78" s="606">
        <f>VLOOKUP($D78,'WP-BC'!$A$1:$N$357,7,FALSE)</f>
        <v>179725.36</v>
      </c>
      <c r="L78" s="606">
        <f>VLOOKUP($D78,'WP-BC'!$A$1:$N$357,8,FALSE)</f>
        <v>145835.35999999999</v>
      </c>
      <c r="M78" s="607">
        <f t="shared" ref="M78:M85" si="26">+K78-L78</f>
        <v>33890</v>
      </c>
      <c r="N78" s="606">
        <f>VLOOKUP($D78,'WP-BC'!$A$1:$N$357,10,FALSE)</f>
        <v>15486.61</v>
      </c>
      <c r="O78" s="606">
        <f>VLOOKUP($D78,'WP-BC'!$A$1:$N$357,11,FALSE)</f>
        <v>155629.74999999997</v>
      </c>
      <c r="P78" s="606">
        <f>VLOOKUP($D78,'WP-BC'!$A$1:$N$357,12,FALSE)</f>
        <v>130348.75</v>
      </c>
      <c r="Q78" s="607">
        <f t="shared" ref="Q78:Q85" si="27">+O78-P78</f>
        <v>25280.999999999971</v>
      </c>
      <c r="R78" s="606">
        <f>VLOOKUP($D78,'WP-BC'!$A$1:$N$357,14,FALSE)</f>
        <v>19274</v>
      </c>
      <c r="S78" s="400">
        <v>14194</v>
      </c>
      <c r="T78" s="401"/>
      <c r="U78" s="400">
        <v>4852</v>
      </c>
      <c r="V78" s="401"/>
      <c r="W78" s="400">
        <f t="shared" ref="W78:W85" si="28">+S78-U78</f>
        <v>9342</v>
      </c>
    </row>
    <row r="79" spans="1:25" s="402" customFormat="1">
      <c r="A79" s="396" t="s">
        <v>148</v>
      </c>
      <c r="B79" s="397" t="s">
        <v>244</v>
      </c>
      <c r="C79" s="398" t="s">
        <v>153</v>
      </c>
      <c r="D79" s="597" t="str">
        <f t="shared" ref="D79:D80" si="29">CONCATENATE(H79,G79,I79)</f>
        <v>500mW C - C at Astoria391.2Office Furniture &amp; Equipment - 5 years</v>
      </c>
      <c r="E79" s="618" t="s">
        <v>1639</v>
      </c>
      <c r="F79" s="1224" t="str">
        <f>CONCATENATE("WP-BC, line ",VLOOKUP(D79,'WP-BC'!$A$18:$N$341,2,FALSE))</f>
        <v>WP-BC, line 12bg</v>
      </c>
      <c r="G79" s="1301">
        <v>391.2</v>
      </c>
      <c r="H79" s="1299" t="s">
        <v>153</v>
      </c>
      <c r="I79" s="1302" t="s">
        <v>2005</v>
      </c>
      <c r="J79" s="396"/>
      <c r="K79" s="606">
        <f>VLOOKUP($D79,'WP-BC'!$A$1:$N$357,7,FALSE)</f>
        <v>33516.410000000003</v>
      </c>
      <c r="L79" s="606">
        <f>VLOOKUP($D79,'WP-BC'!$A$1:$N$357,8,FALSE)</f>
        <v>29616.9</v>
      </c>
      <c r="M79" s="607">
        <f t="shared" si="26"/>
        <v>3899.510000000002</v>
      </c>
      <c r="N79" s="606">
        <f>VLOOKUP($D79,'WP-BC'!$A$1:$N$357,10,FALSE)</f>
        <v>6705</v>
      </c>
      <c r="O79" s="606">
        <f>VLOOKUP($D79,'WP-BC'!$A$1:$N$357,11,FALSE)</f>
        <v>33516.410000000003</v>
      </c>
      <c r="P79" s="606">
        <f>VLOOKUP($D79,'WP-BC'!$A$1:$N$357,12,FALSE)</f>
        <v>22911.9</v>
      </c>
      <c r="Q79" s="607">
        <f t="shared" ref="Q79:Q80" si="30">+O79-P79</f>
        <v>10604.510000000002</v>
      </c>
      <c r="R79" s="606">
        <f>VLOOKUP($D79,'WP-BC'!$A$1:$N$357,14,FALSE)</f>
        <v>6705</v>
      </c>
      <c r="S79" s="400"/>
      <c r="T79" s="401"/>
      <c r="U79" s="400"/>
      <c r="V79" s="401"/>
      <c r="W79" s="400"/>
    </row>
    <row r="80" spans="1:25" s="402" customFormat="1">
      <c r="A80" s="396" t="s">
        <v>148</v>
      </c>
      <c r="B80" s="397" t="s">
        <v>244</v>
      </c>
      <c r="C80" s="398" t="s">
        <v>153</v>
      </c>
      <c r="D80" s="597" t="str">
        <f t="shared" si="29"/>
        <v>500mW C - C at Astoria391.3Office Furniture &amp; Equipment - 10 years</v>
      </c>
      <c r="E80" s="618" t="s">
        <v>1640</v>
      </c>
      <c r="F80" s="1224" t="str">
        <f>CONCATENATE("WP-BC, line ",VLOOKUP(D80,'WP-BC'!$A$18:$N$341,2,FALSE))</f>
        <v>WP-BC, line 12bh</v>
      </c>
      <c r="G80" s="1301">
        <v>391.3</v>
      </c>
      <c r="H80" s="1299" t="s">
        <v>153</v>
      </c>
      <c r="I80" s="1302" t="s">
        <v>2006</v>
      </c>
      <c r="J80" s="396"/>
      <c r="K80" s="606">
        <f>VLOOKUP($D80,'WP-BC'!$A$1:$N$357,7,FALSE)</f>
        <v>654887.76</v>
      </c>
      <c r="L80" s="606">
        <f>VLOOKUP($D80,'WP-BC'!$A$1:$N$357,8,FALSE)</f>
        <v>163722.76</v>
      </c>
      <c r="M80" s="607">
        <f t="shared" si="26"/>
        <v>491165</v>
      </c>
      <c r="N80" s="606">
        <f>VLOOKUP($D80,'WP-BC'!$A$1:$N$357,10,FALSE)</f>
        <v>65489</v>
      </c>
      <c r="O80" s="606">
        <f>VLOOKUP($D80,'WP-BC'!$A$1:$N$357,11,FALSE)</f>
        <v>654887.76</v>
      </c>
      <c r="P80" s="606">
        <f>VLOOKUP($D80,'WP-BC'!$A$1:$N$357,12,FALSE)</f>
        <v>98233.76</v>
      </c>
      <c r="Q80" s="607">
        <f t="shared" si="30"/>
        <v>556654</v>
      </c>
      <c r="R80" s="606">
        <f>VLOOKUP($D80,'WP-BC'!$A$1:$N$357,14,FALSE)</f>
        <v>65489</v>
      </c>
      <c r="S80" s="400"/>
      <c r="T80" s="401"/>
      <c r="U80" s="400"/>
      <c r="V80" s="401"/>
      <c r="W80" s="400"/>
    </row>
    <row r="81" spans="1:23" s="402" customFormat="1">
      <c r="A81" s="396" t="s">
        <v>148</v>
      </c>
      <c r="B81" s="397" t="s">
        <v>244</v>
      </c>
      <c r="C81" s="398" t="s">
        <v>153</v>
      </c>
      <c r="D81" s="597" t="str">
        <f>CONCATENATE(H81,G81,I81)</f>
        <v>500mW C - C at Astoria392Transprt.Equip-500MW</v>
      </c>
      <c r="E81" s="618" t="s">
        <v>1641</v>
      </c>
      <c r="F81" s="1224" t="str">
        <f>CONCATENATE("WP-BC, line ",VLOOKUP(D81,'WP-BC'!$A$18:$N$341,2,FALSE))</f>
        <v>WP-BC, line 12bi</v>
      </c>
      <c r="G81" s="1295">
        <v>392</v>
      </c>
      <c r="H81" s="1299" t="s">
        <v>153</v>
      </c>
      <c r="I81" s="1297" t="s">
        <v>1916</v>
      </c>
      <c r="J81" s="396"/>
      <c r="K81" s="606">
        <f>VLOOKUP($D81,'WP-BC'!$A$1:$N$357,7,FALSE)</f>
        <v>1348083.6400000001</v>
      </c>
      <c r="L81" s="606">
        <f>VLOOKUP($D81,'WP-BC'!$A$1:$N$357,8,FALSE)</f>
        <v>550951.14</v>
      </c>
      <c r="M81" s="607">
        <f t="shared" ref="M81" si="31">+K81-L81</f>
        <v>797132.50000000012</v>
      </c>
      <c r="N81" s="606">
        <f>VLOOKUP($D81,'WP-BC'!$A$1:$N$357,10,FALSE)</f>
        <v>85777.099999999991</v>
      </c>
      <c r="O81" s="606">
        <f>VLOOKUP($D81,'WP-BC'!$A$1:$N$357,11,FALSE)</f>
        <v>685870.04</v>
      </c>
      <c r="P81" s="606">
        <f>VLOOKUP($D81,'WP-BC'!$A$1:$N$357,12,FALSE)</f>
        <v>465174.04000000004</v>
      </c>
      <c r="Q81" s="607">
        <f t="shared" ref="Q81" si="32">+O81-P81</f>
        <v>220696</v>
      </c>
      <c r="R81" s="606">
        <f>VLOOKUP($D81,'WP-BC'!$A$1:$N$357,14,FALSE)</f>
        <v>39400.120000000003</v>
      </c>
      <c r="S81" s="400"/>
      <c r="T81" s="401"/>
      <c r="U81" s="400"/>
      <c r="V81" s="401"/>
      <c r="W81" s="400">
        <f t="shared" si="28"/>
        <v>0</v>
      </c>
    </row>
    <row r="82" spans="1:23" s="402" customFormat="1">
      <c r="A82" s="396" t="s">
        <v>148</v>
      </c>
      <c r="B82" s="397" t="s">
        <v>244</v>
      </c>
      <c r="C82" s="398" t="s">
        <v>153</v>
      </c>
      <c r="D82" s="597" t="str">
        <f t="shared" si="1"/>
        <v>500mW C - C at Astoria394Tools, Shop &amp; Garage Equipment</v>
      </c>
      <c r="E82" s="618" t="s">
        <v>1642</v>
      </c>
      <c r="F82" s="1224" t="str">
        <f>CONCATENATE("WP-BC, line ",VLOOKUP(D82,'WP-BC'!$A$18:$N$341,2,FALSE))</f>
        <v>WP-BC, line 12bj</v>
      </c>
      <c r="G82" s="1295">
        <v>394</v>
      </c>
      <c r="H82" s="1299" t="s">
        <v>153</v>
      </c>
      <c r="I82" s="1297" t="s">
        <v>79</v>
      </c>
      <c r="J82" s="396"/>
      <c r="K82" s="606">
        <f>VLOOKUP($D82,'WP-BC'!$A$1:$N$357,7,FALSE)</f>
        <v>68609.17</v>
      </c>
      <c r="L82" s="606">
        <f>VLOOKUP($D82,'WP-BC'!$A$1:$N$357,8,FALSE)</f>
        <v>68609.17</v>
      </c>
      <c r="M82" s="607">
        <f t="shared" si="26"/>
        <v>0</v>
      </c>
      <c r="N82" s="606">
        <f>VLOOKUP($D82,'WP-BC'!$A$1:$N$357,10,FALSE)</f>
        <v>0</v>
      </c>
      <c r="O82" s="606">
        <f>VLOOKUP($D82,'WP-BC'!$A$1:$N$357,11,FALSE)</f>
        <v>68609.17</v>
      </c>
      <c r="P82" s="606">
        <f>VLOOKUP($D82,'WP-BC'!$A$1:$N$357,12,FALSE)</f>
        <v>68609.17</v>
      </c>
      <c r="Q82" s="607">
        <f t="shared" si="27"/>
        <v>0</v>
      </c>
      <c r="R82" s="606">
        <f>VLOOKUP($D82,'WP-BC'!$A$1:$N$357,14,FALSE)</f>
        <v>3762</v>
      </c>
      <c r="S82" s="400">
        <v>12132.13</v>
      </c>
      <c r="T82" s="401"/>
      <c r="U82" s="400">
        <v>1709.13</v>
      </c>
      <c r="V82" s="401"/>
      <c r="W82" s="400">
        <f t="shared" si="28"/>
        <v>10423</v>
      </c>
    </row>
    <row r="83" spans="1:23" s="407" customFormat="1">
      <c r="A83" s="396" t="s">
        <v>148</v>
      </c>
      <c r="B83" s="397" t="s">
        <v>244</v>
      </c>
      <c r="C83" s="398" t="s">
        <v>153</v>
      </c>
      <c r="D83" s="597" t="str">
        <f t="shared" si="1"/>
        <v>500mW C - C at Astoria395Laboratory Equipment</v>
      </c>
      <c r="E83" s="618" t="s">
        <v>1643</v>
      </c>
      <c r="F83" s="1224" t="str">
        <f>CONCATENATE("WP-BC, line ",VLOOKUP(D83,'WP-BC'!$A$18:$N$341,2,FALSE))</f>
        <v>WP-BC, line 12bk</v>
      </c>
      <c r="G83" s="1295">
        <v>395</v>
      </c>
      <c r="H83" s="1299" t="s">
        <v>153</v>
      </c>
      <c r="I83" s="1297" t="s">
        <v>80</v>
      </c>
      <c r="J83" s="396"/>
      <c r="K83" s="606">
        <f>VLOOKUP($D83,'WP-BC'!$A$1:$N$357,7,FALSE)</f>
        <v>2143542.84</v>
      </c>
      <c r="L83" s="606">
        <f>VLOOKUP($D83,'WP-BC'!$A$1:$N$357,8,FALSE)</f>
        <v>1162972.8399999999</v>
      </c>
      <c r="M83" s="607">
        <f t="shared" si="26"/>
        <v>980570</v>
      </c>
      <c r="N83" s="606">
        <f>VLOOKUP($D83,'WP-BC'!$A$1:$N$357,10,FALSE)</f>
        <v>207997</v>
      </c>
      <c r="O83" s="606">
        <f>VLOOKUP($D83,'WP-BC'!$A$1:$N$357,11,FALSE)</f>
        <v>2143542.84</v>
      </c>
      <c r="P83" s="606">
        <f>VLOOKUP($D83,'WP-BC'!$A$1:$N$357,12,FALSE)</f>
        <v>954975.84</v>
      </c>
      <c r="Q83" s="607">
        <f t="shared" si="27"/>
        <v>1188567</v>
      </c>
      <c r="R83" s="606">
        <f>VLOOKUP($D83,'WP-BC'!$A$1:$N$357,14,FALSE)</f>
        <v>207997</v>
      </c>
      <c r="S83" s="400">
        <v>30426.84</v>
      </c>
      <c r="T83" s="401"/>
      <c r="U83" s="400">
        <v>3299.84</v>
      </c>
      <c r="V83" s="401"/>
      <c r="W83" s="400">
        <f t="shared" si="28"/>
        <v>27127</v>
      </c>
    </row>
    <row r="84" spans="1:23" s="402" customFormat="1">
      <c r="A84" s="396" t="s">
        <v>148</v>
      </c>
      <c r="B84" s="397" t="s">
        <v>244</v>
      </c>
      <c r="C84" s="398" t="s">
        <v>153</v>
      </c>
      <c r="D84" s="597" t="str">
        <f t="shared" si="1"/>
        <v>500mW C - C at Astoria396Power Oper Eqp-500MW</v>
      </c>
      <c r="E84" s="618" t="s">
        <v>1643</v>
      </c>
      <c r="F84" s="1224" t="str">
        <f>CONCATENATE("WP-BC, line ",VLOOKUP(D84,'WP-BC'!$A$18:$N$341,2,FALSE))</f>
        <v>WP-BC, line 12bl</v>
      </c>
      <c r="G84" s="1295">
        <v>396</v>
      </c>
      <c r="H84" s="1299" t="s">
        <v>153</v>
      </c>
      <c r="I84" s="1297" t="s">
        <v>1917</v>
      </c>
      <c r="J84" s="396"/>
      <c r="K84" s="606">
        <f>VLOOKUP($D84,'WP-BC'!$A$1:$N$357,7,FALSE)</f>
        <v>678685.7</v>
      </c>
      <c r="L84" s="606">
        <f>VLOOKUP($D84,'WP-BC'!$A$1:$N$357,8,FALSE)</f>
        <v>576019.68999999994</v>
      </c>
      <c r="M84" s="607">
        <f t="shared" si="26"/>
        <v>102666.01000000001</v>
      </c>
      <c r="N84" s="606">
        <f>VLOOKUP($D84,'WP-BC'!$A$1:$N$357,10,FALSE)</f>
        <v>54434</v>
      </c>
      <c r="O84" s="606">
        <f>VLOOKUP($D84,'WP-BC'!$A$1:$N$357,11,FALSE)</f>
        <v>678685.7</v>
      </c>
      <c r="P84" s="606">
        <f>VLOOKUP($D84,'WP-BC'!$A$1:$N$357,12,FALSE)</f>
        <v>521585.68999999994</v>
      </c>
      <c r="Q84" s="607">
        <f t="shared" si="27"/>
        <v>157100.01</v>
      </c>
      <c r="R84" s="606">
        <f>VLOOKUP($D84,'WP-BC'!$A$1:$N$357,14,FALSE)</f>
        <v>60182</v>
      </c>
      <c r="S84" s="400">
        <v>94875</v>
      </c>
      <c r="T84" s="401"/>
      <c r="U84" s="400">
        <v>5953</v>
      </c>
      <c r="V84" s="401"/>
      <c r="W84" s="400">
        <f t="shared" si="28"/>
        <v>88922</v>
      </c>
    </row>
    <row r="85" spans="1:23" s="402" customFormat="1">
      <c r="A85" s="396" t="s">
        <v>148</v>
      </c>
      <c r="B85" s="397" t="s">
        <v>244</v>
      </c>
      <c r="C85" s="398" t="s">
        <v>153</v>
      </c>
      <c r="D85" s="597" t="str">
        <f t="shared" si="1"/>
        <v>500mW C - C at Astoria398Miscellaneous Equipment</v>
      </c>
      <c r="E85" s="402" t="s">
        <v>1999</v>
      </c>
      <c r="F85" s="1224" t="str">
        <f>CONCATENATE("WP-BC, line ",VLOOKUP(D85,'WP-BC'!$A$18:$N$341,2,FALSE))</f>
        <v>WP-BC, line 12bm</v>
      </c>
      <c r="G85" s="1295">
        <v>398</v>
      </c>
      <c r="H85" s="1299" t="s">
        <v>153</v>
      </c>
      <c r="I85" s="1297" t="s">
        <v>83</v>
      </c>
      <c r="J85" s="396"/>
      <c r="K85" s="606">
        <f>VLOOKUP($D85,'WP-BC'!$A$1:$N$357,7,FALSE)</f>
        <v>1764738.46</v>
      </c>
      <c r="L85" s="606">
        <f>VLOOKUP($D85,'WP-BC'!$A$1:$N$357,8,FALSE)</f>
        <v>695743.95</v>
      </c>
      <c r="M85" s="607">
        <f t="shared" si="26"/>
        <v>1068994.51</v>
      </c>
      <c r="N85" s="606">
        <f>VLOOKUP($D85,'WP-BC'!$A$1:$N$357,10,FALSE)</f>
        <v>43623.72</v>
      </c>
      <c r="O85" s="606">
        <f>VLOOKUP($D85,'WP-BC'!$A$1:$N$357,11,FALSE)</f>
        <v>722134.74</v>
      </c>
      <c r="P85" s="606">
        <f>VLOOKUP($D85,'WP-BC'!$A$1:$N$357,12,FALSE)</f>
        <v>652120.23</v>
      </c>
      <c r="Q85" s="607">
        <f t="shared" si="27"/>
        <v>70014.510000000009</v>
      </c>
      <c r="R85" s="606">
        <f>VLOOKUP($D85,'WP-BC'!$A$1:$N$357,14,FALSE)</f>
        <v>6251</v>
      </c>
      <c r="S85" s="403">
        <v>47455.29</v>
      </c>
      <c r="T85" s="404"/>
      <c r="U85" s="403">
        <v>6170.78</v>
      </c>
      <c r="V85" s="404"/>
      <c r="W85" s="403">
        <f t="shared" si="28"/>
        <v>41284.51</v>
      </c>
    </row>
    <row r="86" spans="1:23" s="402" customFormat="1">
      <c r="A86" s="396"/>
      <c r="B86" s="397"/>
      <c r="C86" s="398"/>
      <c r="D86" s="597"/>
      <c r="E86" s="618" t="s">
        <v>541</v>
      </c>
      <c r="F86" s="1297"/>
      <c r="G86" s="1295"/>
      <c r="H86" s="1298"/>
      <c r="I86" s="1297"/>
      <c r="J86" s="396"/>
      <c r="K86" s="608" t="s">
        <v>1165</v>
      </c>
      <c r="L86" s="608" t="s">
        <v>1165</v>
      </c>
      <c r="M86" s="608" t="s">
        <v>1165</v>
      </c>
      <c r="N86" s="608" t="s">
        <v>1165</v>
      </c>
      <c r="O86" s="608" t="s">
        <v>1165</v>
      </c>
      <c r="P86" s="608" t="s">
        <v>1165</v>
      </c>
      <c r="Q86" s="608" t="s">
        <v>1165</v>
      </c>
      <c r="R86" s="608" t="s">
        <v>1165</v>
      </c>
      <c r="S86" s="400"/>
      <c r="T86" s="401"/>
      <c r="U86" s="400"/>
      <c r="V86" s="401"/>
      <c r="W86" s="400"/>
    </row>
    <row r="87" spans="1:23" s="402" customFormat="1">
      <c r="A87" s="396"/>
      <c r="B87" s="397"/>
      <c r="C87" s="398"/>
      <c r="D87" s="597"/>
      <c r="E87" s="618"/>
      <c r="F87" s="618"/>
      <c r="G87" s="399"/>
      <c r="H87" s="396"/>
      <c r="I87" s="396"/>
      <c r="J87" s="396"/>
      <c r="K87" s="606"/>
      <c r="L87" s="606"/>
      <c r="M87" s="606"/>
      <c r="N87" s="606"/>
      <c r="O87" s="606"/>
      <c r="P87" s="606"/>
      <c r="Q87" s="606"/>
      <c r="R87" s="606"/>
      <c r="S87" s="400"/>
      <c r="T87" s="401"/>
      <c r="U87" s="400"/>
      <c r="V87" s="401"/>
      <c r="W87" s="400"/>
    </row>
    <row r="88" spans="1:23" s="402" customFormat="1">
      <c r="A88" s="396"/>
      <c r="B88" s="396"/>
      <c r="C88" s="405"/>
      <c r="D88" s="597" t="str">
        <f t="shared" si="1"/>
        <v>SUBTOTAL 500Mw CC</v>
      </c>
      <c r="E88" s="622">
        <v>15</v>
      </c>
      <c r="F88" s="622"/>
      <c r="G88" s="406" t="s">
        <v>235</v>
      </c>
      <c r="H88" s="396"/>
      <c r="I88" s="396"/>
      <c r="J88" s="396"/>
      <c r="K88" s="605">
        <f t="shared" ref="K88:R88" si="33">SUM(K78:K86)</f>
        <v>6871789.3399999999</v>
      </c>
      <c r="L88" s="605">
        <f t="shared" si="33"/>
        <v>3393471.8099999996</v>
      </c>
      <c r="M88" s="605">
        <f t="shared" si="33"/>
        <v>3478317.5300000003</v>
      </c>
      <c r="N88" s="605">
        <f t="shared" si="33"/>
        <v>479512.42999999993</v>
      </c>
      <c r="O88" s="605">
        <f t="shared" si="33"/>
        <v>5142876.41</v>
      </c>
      <c r="P88" s="605">
        <f t="shared" si="33"/>
        <v>2913959.38</v>
      </c>
      <c r="Q88" s="605">
        <f t="shared" si="33"/>
        <v>2228917.0300000003</v>
      </c>
      <c r="R88" s="605">
        <f t="shared" si="33"/>
        <v>409060.12</v>
      </c>
      <c r="S88" s="410">
        <f>SUM(S78:S85)</f>
        <v>199083.26</v>
      </c>
      <c r="T88" s="401"/>
      <c r="U88" s="410">
        <f>SUM(U78:U85)</f>
        <v>21984.75</v>
      </c>
      <c r="V88" s="401"/>
      <c r="W88" s="410">
        <f>SUM(W78:W85)</f>
        <v>177098.51</v>
      </c>
    </row>
    <row r="89" spans="1:23" s="402" customFormat="1" ht="20.25" customHeight="1">
      <c r="A89" s="396"/>
      <c r="B89" s="396"/>
      <c r="C89" s="405"/>
      <c r="D89" s="597" t="str">
        <f t="shared" si="1"/>
        <v/>
      </c>
      <c r="E89" s="622">
        <v>16</v>
      </c>
      <c r="F89" s="618"/>
      <c r="G89" s="399"/>
      <c r="H89" s="396"/>
      <c r="I89" s="396"/>
      <c r="J89" s="396"/>
      <c r="K89" s="607"/>
      <c r="L89" s="607"/>
      <c r="M89" s="607"/>
      <c r="N89" s="607"/>
      <c r="O89" s="607"/>
      <c r="P89" s="607"/>
      <c r="Q89" s="607"/>
      <c r="R89" s="607"/>
      <c r="S89" s="400"/>
      <c r="T89" s="401"/>
      <c r="U89" s="400"/>
      <c r="V89" s="401"/>
      <c r="W89" s="400"/>
    </row>
    <row r="90" spans="1:23" s="402" customFormat="1" ht="20.25" customHeight="1">
      <c r="A90" s="396" t="s">
        <v>148</v>
      </c>
      <c r="B90" s="397" t="s">
        <v>244</v>
      </c>
      <c r="C90" s="398" t="s">
        <v>162</v>
      </c>
      <c r="D90" s="597" t="str">
        <f t="shared" si="1"/>
        <v>Jarvis389Land &amp; Land Rights</v>
      </c>
      <c r="E90" s="618" t="s">
        <v>1607</v>
      </c>
      <c r="F90" s="1224" t="str">
        <f>CONCATENATE("WP-BC, line ",VLOOKUP(D90,'WP-BC'!$A$18:$N$341,2,FALSE))</f>
        <v>WP-BC, line 1n</v>
      </c>
      <c r="G90" s="1295">
        <v>389</v>
      </c>
      <c r="H90" s="1299" t="s">
        <v>162</v>
      </c>
      <c r="I90" s="1297" t="s">
        <v>1890</v>
      </c>
      <c r="J90" s="396"/>
      <c r="K90" s="606">
        <f>VLOOKUP($D90,'WP-BC'!$A$1:$N$357,7,FALSE)</f>
        <v>8000</v>
      </c>
      <c r="L90" s="606">
        <f>VLOOKUP($D90,'WP-BC'!$A$1:$N$357,8,FALSE)</f>
        <v>0</v>
      </c>
      <c r="M90" s="607">
        <f t="shared" ref="M90:M91" si="34">+K90-L90</f>
        <v>8000</v>
      </c>
      <c r="N90" s="606">
        <f>VLOOKUP($D90,'WP-BC'!$A$1:$N$357,10,FALSE)</f>
        <v>0</v>
      </c>
      <c r="O90" s="606">
        <f>VLOOKUP($D90,'WP-BC'!$A$1:$N$357,11,FALSE)</f>
        <v>8000</v>
      </c>
      <c r="P90" s="606">
        <f>VLOOKUP($D90,'WP-BC'!$A$1:$N$357,12,FALSE)</f>
        <v>0</v>
      </c>
      <c r="Q90" s="607">
        <f t="shared" ref="Q90:Q91" si="35">+O90-P90</f>
        <v>8000</v>
      </c>
      <c r="R90" s="606">
        <f>VLOOKUP($D90,'WP-BC'!$A$1:$N$357,14,FALSE)</f>
        <v>0</v>
      </c>
      <c r="S90" s="400">
        <v>8000</v>
      </c>
      <c r="T90" s="401"/>
      <c r="U90" s="400">
        <v>0</v>
      </c>
      <c r="V90" s="401"/>
      <c r="W90" s="400">
        <f>+S90-U90</f>
        <v>8000</v>
      </c>
    </row>
    <row r="91" spans="1:23" s="402" customFormat="1">
      <c r="A91" s="396" t="s">
        <v>148</v>
      </c>
      <c r="B91" s="397" t="s">
        <v>244</v>
      </c>
      <c r="C91" s="398" t="s">
        <v>162</v>
      </c>
      <c r="D91" s="597" t="str">
        <f t="shared" si="1"/>
        <v>Jarvis399Other Tangible Property</v>
      </c>
      <c r="E91" s="618" t="s">
        <v>1608</v>
      </c>
      <c r="F91" s="1224" t="str">
        <f>CONCATENATE("WP-BC, line ",VLOOKUP(D91,'WP-BC'!$A$18:$N$341,2,FALSE))</f>
        <v>WP-BC, line 12ce</v>
      </c>
      <c r="G91" s="1295">
        <v>399</v>
      </c>
      <c r="H91" s="1299" t="s">
        <v>162</v>
      </c>
      <c r="I91" s="1297" t="s">
        <v>84</v>
      </c>
      <c r="J91" s="396"/>
      <c r="K91" s="606">
        <f>VLOOKUP($D91,'WP-BC'!$A$1:$N$357,7,FALSE)</f>
        <v>427000</v>
      </c>
      <c r="L91" s="606">
        <f>VLOOKUP($D91,'WP-BC'!$A$1:$N$357,8,FALSE)</f>
        <v>219264</v>
      </c>
      <c r="M91" s="607">
        <f t="shared" si="34"/>
        <v>207736</v>
      </c>
      <c r="N91" s="606">
        <f>VLOOKUP($D91,'WP-BC'!$A$1:$N$357,10,FALSE)</f>
        <v>7117</v>
      </c>
      <c r="O91" s="606">
        <f>VLOOKUP($D91,'WP-BC'!$A$1:$N$357,11,FALSE)</f>
        <v>427000</v>
      </c>
      <c r="P91" s="606">
        <f>VLOOKUP($D91,'WP-BC'!$A$1:$N$357,12,FALSE)</f>
        <v>212147</v>
      </c>
      <c r="Q91" s="607">
        <f t="shared" si="35"/>
        <v>214853</v>
      </c>
      <c r="R91" s="606">
        <f>VLOOKUP($D91,'WP-BC'!$A$1:$N$357,14,FALSE)</f>
        <v>7117</v>
      </c>
      <c r="S91" s="403">
        <v>427000</v>
      </c>
      <c r="T91" s="404"/>
      <c r="U91" s="403">
        <v>133860</v>
      </c>
      <c r="V91" s="404"/>
      <c r="W91" s="403">
        <f>+S91-U91</f>
        <v>293140</v>
      </c>
    </row>
    <row r="92" spans="1:23" s="402" customFormat="1">
      <c r="A92" s="396"/>
      <c r="B92" s="397"/>
      <c r="C92" s="398"/>
      <c r="D92" s="597"/>
      <c r="E92" s="618" t="s">
        <v>541</v>
      </c>
      <c r="F92" s="1297"/>
      <c r="G92" s="1295"/>
      <c r="H92" s="1298"/>
      <c r="I92" s="1297"/>
      <c r="J92" s="396"/>
      <c r="K92" s="608" t="s">
        <v>1165</v>
      </c>
      <c r="L92" s="608" t="s">
        <v>1165</v>
      </c>
      <c r="M92" s="608" t="s">
        <v>1165</v>
      </c>
      <c r="N92" s="608" t="s">
        <v>1165</v>
      </c>
      <c r="O92" s="608" t="s">
        <v>1165</v>
      </c>
      <c r="P92" s="608" t="s">
        <v>1165</v>
      </c>
      <c r="Q92" s="608" t="s">
        <v>1165</v>
      </c>
      <c r="R92" s="608" t="s">
        <v>1165</v>
      </c>
      <c r="S92" s="400"/>
      <c r="T92" s="401"/>
      <c r="U92" s="400"/>
      <c r="V92" s="401"/>
      <c r="W92" s="400"/>
    </row>
    <row r="93" spans="1:23" s="402" customFormat="1">
      <c r="A93" s="396"/>
      <c r="B93" s="397"/>
      <c r="C93" s="398"/>
      <c r="D93" s="597"/>
      <c r="E93" s="618"/>
      <c r="F93" s="618"/>
      <c r="G93" s="399"/>
      <c r="H93" s="396"/>
      <c r="I93" s="396"/>
      <c r="J93" s="396"/>
      <c r="K93" s="606"/>
      <c r="L93" s="606"/>
      <c r="M93" s="606"/>
      <c r="N93" s="606"/>
      <c r="O93" s="606"/>
      <c r="P93" s="606"/>
      <c r="Q93" s="606"/>
      <c r="R93" s="606"/>
      <c r="S93" s="400"/>
      <c r="T93" s="401"/>
      <c r="U93" s="400"/>
      <c r="V93" s="401"/>
      <c r="W93" s="400"/>
    </row>
    <row r="94" spans="1:23" s="402" customFormat="1">
      <c r="A94" s="396"/>
      <c r="B94" s="396"/>
      <c r="C94" s="405"/>
      <c r="D94" s="597" t="str">
        <f t="shared" si="1"/>
        <v>SUBTOTAL Small Hydro</v>
      </c>
      <c r="E94" s="622">
        <v>17</v>
      </c>
      <c r="F94" s="622"/>
      <c r="G94" s="406" t="s">
        <v>236</v>
      </c>
      <c r="H94" s="396"/>
      <c r="I94" s="396"/>
      <c r="J94" s="396"/>
      <c r="K94" s="605">
        <f>SUM(K90:K92)</f>
        <v>435000</v>
      </c>
      <c r="L94" s="605">
        <f t="shared" ref="L94:R94" si="36">SUM(L90:L92)</f>
        <v>219264</v>
      </c>
      <c r="M94" s="605">
        <f t="shared" si="36"/>
        <v>215736</v>
      </c>
      <c r="N94" s="605">
        <f t="shared" si="36"/>
        <v>7117</v>
      </c>
      <c r="O94" s="605">
        <f t="shared" si="36"/>
        <v>435000</v>
      </c>
      <c r="P94" s="605">
        <f t="shared" si="36"/>
        <v>212147</v>
      </c>
      <c r="Q94" s="605">
        <f t="shared" si="36"/>
        <v>222853</v>
      </c>
      <c r="R94" s="605">
        <f t="shared" si="36"/>
        <v>7117</v>
      </c>
      <c r="S94" s="410">
        <f t="shared" ref="S94" si="37">SUM(S90:S91)</f>
        <v>435000</v>
      </c>
      <c r="T94" s="401"/>
      <c r="U94" s="410">
        <f>SUM(U90:U91)</f>
        <v>133860</v>
      </c>
      <c r="V94" s="401"/>
      <c r="W94" s="410">
        <f>SUM(W90:W91)</f>
        <v>301140</v>
      </c>
    </row>
    <row r="95" spans="1:23" s="402" customFormat="1" ht="21" customHeight="1">
      <c r="A95" s="396"/>
      <c r="B95" s="396"/>
      <c r="C95" s="405"/>
      <c r="D95" s="597" t="str">
        <f t="shared" si="1"/>
        <v/>
      </c>
      <c r="E95" s="622">
        <v>18</v>
      </c>
      <c r="F95" s="618"/>
      <c r="G95" s="399"/>
      <c r="H95" s="396"/>
      <c r="I95" s="396"/>
      <c r="J95" s="396"/>
      <c r="K95" s="607"/>
      <c r="L95" s="607"/>
      <c r="M95" s="607"/>
      <c r="N95" s="607"/>
      <c r="O95" s="607"/>
      <c r="P95" s="607"/>
      <c r="Q95" s="607"/>
      <c r="R95" s="607"/>
      <c r="S95" s="400"/>
      <c r="T95" s="401"/>
      <c r="U95" s="400"/>
      <c r="V95" s="401"/>
      <c r="W95" s="400"/>
    </row>
    <row r="96" spans="1:23" s="402" customFormat="1">
      <c r="A96" s="396" t="s">
        <v>148</v>
      </c>
      <c r="B96" s="397" t="s">
        <v>244</v>
      </c>
      <c r="C96" s="398" t="s">
        <v>155</v>
      </c>
      <c r="D96" s="597" t="str">
        <f t="shared" si="1"/>
        <v>FLYNN  (Holtsville)391Office Furniture &amp; Equipment</v>
      </c>
      <c r="E96" s="618" t="s">
        <v>1613</v>
      </c>
      <c r="F96" s="1224" t="str">
        <f>CONCATENATE("WP-BC, line ",VLOOKUP(D96,'WP-BC'!$A$18:$N$341,2,FALSE))</f>
        <v>WP-BC, line 12bp</v>
      </c>
      <c r="G96" s="1295">
        <v>391</v>
      </c>
      <c r="H96" s="1300" t="s">
        <v>155</v>
      </c>
      <c r="I96" s="1297" t="s">
        <v>76</v>
      </c>
      <c r="J96" s="396"/>
      <c r="K96" s="606">
        <f>VLOOKUP($D96,'WP-BC'!$A$1:$N$357,7,FALSE)</f>
        <v>307066.90999999997</v>
      </c>
      <c r="L96" s="606">
        <f>VLOOKUP($D96,'WP-BC'!$A$1:$N$357,8,FALSE)</f>
        <v>216216.90999999997</v>
      </c>
      <c r="M96" s="607">
        <f t="shared" ref="M96:M104" si="38">+K96-L96</f>
        <v>90850</v>
      </c>
      <c r="N96" s="606">
        <f>VLOOKUP($D96,'WP-BC'!$A$1:$N$357,10,FALSE)</f>
        <v>12980</v>
      </c>
      <c r="O96" s="606">
        <f>VLOOKUP($D96,'WP-BC'!$A$1:$N$357,11,FALSE)</f>
        <v>307066.90999999997</v>
      </c>
      <c r="P96" s="606">
        <f>VLOOKUP($D96,'WP-BC'!$A$1:$N$357,12,FALSE)</f>
        <v>203236.90999999997</v>
      </c>
      <c r="Q96" s="607">
        <f t="shared" ref="Q96:Q104" si="39">+O96-P96</f>
        <v>103830</v>
      </c>
      <c r="R96" s="606">
        <f>VLOOKUP($D96,'WP-BC'!$A$1:$N$357,14,FALSE)</f>
        <v>13439</v>
      </c>
      <c r="S96" s="400">
        <v>161428</v>
      </c>
      <c r="T96" s="401"/>
      <c r="U96" s="400">
        <v>161428</v>
      </c>
      <c r="V96" s="401"/>
      <c r="W96" s="400">
        <f t="shared" ref="W96:W104" si="40">+S96-U96</f>
        <v>0</v>
      </c>
    </row>
    <row r="97" spans="1:23" s="402" customFormat="1">
      <c r="A97" s="396" t="s">
        <v>148</v>
      </c>
      <c r="B97" s="397" t="s">
        <v>244</v>
      </c>
      <c r="C97" s="398" t="s">
        <v>155</v>
      </c>
      <c r="D97" s="597" t="str">
        <f t="shared" si="1"/>
        <v>FLYNN  (Holtsville)391.3Computer Equipment 10 yr</v>
      </c>
      <c r="E97" s="618" t="s">
        <v>1614</v>
      </c>
      <c r="F97" s="1224" t="str">
        <f>CONCATENATE("WP-BC, line ",VLOOKUP(D97,'WP-BC'!$A$18:$N$341,2,FALSE))</f>
        <v>WP-BC, line 12bq</v>
      </c>
      <c r="G97" s="1295">
        <v>391.3</v>
      </c>
      <c r="H97" s="1300" t="s">
        <v>155</v>
      </c>
      <c r="I97" s="1297" t="s">
        <v>1816</v>
      </c>
      <c r="J97" s="396"/>
      <c r="K97" s="606">
        <f>VLOOKUP($D97,'WP-BC'!$A$1:$N$357,7,FALSE)</f>
        <v>596333.92000000004</v>
      </c>
      <c r="L97" s="606">
        <f>VLOOKUP($D97,'WP-BC'!$A$1:$N$357,8,FALSE)</f>
        <v>34786.92</v>
      </c>
      <c r="M97" s="607">
        <f t="shared" ref="M97" si="41">+K97-L97</f>
        <v>561547</v>
      </c>
      <c r="N97" s="606">
        <f>VLOOKUP($D97,'WP-BC'!$A$1:$N$357,10,FALSE)</f>
        <v>34786.92</v>
      </c>
      <c r="O97" s="606">
        <f>VLOOKUP($D97,'WP-BC'!$A$1:$N$357,11,FALSE)</f>
        <v>0</v>
      </c>
      <c r="P97" s="606">
        <f>VLOOKUP($D97,'WP-BC'!$A$1:$N$357,12,FALSE)</f>
        <v>0</v>
      </c>
      <c r="Q97" s="607">
        <f t="shared" ref="Q97" si="42">+O97-P97</f>
        <v>0</v>
      </c>
      <c r="R97" s="606">
        <f>VLOOKUP($D97,'WP-BC'!$A$1:$N$357,14,FALSE)</f>
        <v>0</v>
      </c>
      <c r="S97" s="400">
        <v>161428</v>
      </c>
      <c r="T97" s="401"/>
      <c r="U97" s="400">
        <v>161428</v>
      </c>
      <c r="V97" s="401"/>
      <c r="W97" s="400">
        <f t="shared" ref="W97" si="43">+S97-U97</f>
        <v>0</v>
      </c>
    </row>
    <row r="98" spans="1:23" s="402" customFormat="1">
      <c r="A98" s="396" t="s">
        <v>148</v>
      </c>
      <c r="B98" s="397" t="s">
        <v>244</v>
      </c>
      <c r="C98" s="398" t="s">
        <v>155</v>
      </c>
      <c r="D98" s="597" t="str">
        <f t="shared" si="1"/>
        <v>FLYNN  (Holtsville)392Transportation Equipment</v>
      </c>
      <c r="E98" s="618" t="s">
        <v>1615</v>
      </c>
      <c r="F98" s="1224" t="str">
        <f>CONCATENATE("WP-BC, line ",VLOOKUP(D98,'WP-BC'!$A$18:$N$341,2,FALSE))</f>
        <v>WP-BC, line 12br</v>
      </c>
      <c r="G98" s="1295">
        <v>392</v>
      </c>
      <c r="H98" s="1299" t="s">
        <v>155</v>
      </c>
      <c r="I98" s="1297" t="s">
        <v>77</v>
      </c>
      <c r="J98" s="396"/>
      <c r="K98" s="606">
        <f>VLOOKUP($D98,'WP-BC'!$A$1:$N$357,7,FALSE)</f>
        <v>170789.7</v>
      </c>
      <c r="L98" s="606">
        <f>VLOOKUP($D98,'WP-BC'!$A$1:$N$357,8,FALSE)</f>
        <v>119476.59999999999</v>
      </c>
      <c r="M98" s="607">
        <f t="shared" si="38"/>
        <v>51313.10000000002</v>
      </c>
      <c r="N98" s="606">
        <f>VLOOKUP($D98,'WP-BC'!$A$1:$N$357,10,FALSE)</f>
        <v>11653.99</v>
      </c>
      <c r="O98" s="606">
        <f>VLOOKUP($D98,'WP-BC'!$A$1:$N$357,11,FALSE)</f>
        <v>91385.71</v>
      </c>
      <c r="P98" s="606">
        <f>VLOOKUP($D98,'WP-BC'!$A$1:$N$357,12,FALSE)</f>
        <v>107822.60999999999</v>
      </c>
      <c r="Q98" s="607">
        <f t="shared" si="39"/>
        <v>-16436.89999999998</v>
      </c>
      <c r="R98" s="606">
        <f>VLOOKUP($D98,'WP-BC'!$A$1:$N$357,14,FALSE)</f>
        <v>7595</v>
      </c>
      <c r="S98" s="400">
        <v>158924.22</v>
      </c>
      <c r="T98" s="401"/>
      <c r="U98" s="400">
        <v>86730.12</v>
      </c>
      <c r="V98" s="401"/>
      <c r="W98" s="400">
        <f t="shared" si="40"/>
        <v>72194.100000000006</v>
      </c>
    </row>
    <row r="99" spans="1:23" s="402" customFormat="1">
      <c r="A99" s="396" t="s">
        <v>148</v>
      </c>
      <c r="B99" s="397" t="s">
        <v>244</v>
      </c>
      <c r="C99" s="398" t="s">
        <v>155</v>
      </c>
      <c r="D99" s="597" t="str">
        <f t="shared" si="1"/>
        <v>FLYNN  (Holtsville)393Stores Equipment</v>
      </c>
      <c r="E99" s="618" t="s">
        <v>1616</v>
      </c>
      <c r="F99" s="1224" t="str">
        <f>CONCATENATE("WP-BC, line ",VLOOKUP(D99,'WP-BC'!$A$18:$N$341,2,FALSE))</f>
        <v>WP-BC, line 12bs</v>
      </c>
      <c r="G99" s="1295">
        <v>393</v>
      </c>
      <c r="H99" s="1299" t="s">
        <v>155</v>
      </c>
      <c r="I99" s="1297" t="s">
        <v>78</v>
      </c>
      <c r="J99" s="396"/>
      <c r="K99" s="606">
        <f>VLOOKUP($D99,'WP-BC'!$A$1:$N$357,7,FALSE)</f>
        <v>0</v>
      </c>
      <c r="L99" s="606">
        <f>VLOOKUP($D99,'WP-BC'!$A$1:$N$357,8,FALSE)</f>
        <v>0</v>
      </c>
      <c r="M99" s="607">
        <f t="shared" si="38"/>
        <v>0</v>
      </c>
      <c r="N99" s="606">
        <f>VLOOKUP($D99,'WP-BC'!$A$1:$N$357,10,FALSE)</f>
        <v>0</v>
      </c>
      <c r="O99" s="606">
        <f>VLOOKUP($D99,'WP-BC'!$A$1:$N$357,11,FALSE)</f>
        <v>0</v>
      </c>
      <c r="P99" s="606">
        <f>VLOOKUP($D99,'WP-BC'!$A$1:$N$357,12,FALSE)</f>
        <v>0</v>
      </c>
      <c r="Q99" s="607">
        <f t="shared" si="39"/>
        <v>0</v>
      </c>
      <c r="R99" s="606">
        <f>VLOOKUP($D99,'WP-BC'!$A$1:$N$357,14,FALSE)</f>
        <v>0</v>
      </c>
      <c r="S99" s="400">
        <v>0</v>
      </c>
      <c r="T99" s="401"/>
      <c r="U99" s="400">
        <v>0</v>
      </c>
      <c r="V99" s="401"/>
      <c r="W99" s="400">
        <f t="shared" si="40"/>
        <v>0</v>
      </c>
    </row>
    <row r="100" spans="1:23" s="402" customFormat="1">
      <c r="A100" s="396" t="s">
        <v>148</v>
      </c>
      <c r="B100" s="397" t="s">
        <v>244</v>
      </c>
      <c r="C100" s="398" t="s">
        <v>155</v>
      </c>
      <c r="D100" s="597" t="str">
        <f t="shared" si="1"/>
        <v>FLYNN  (Holtsville)394Tools, Shop &amp; Garage Equipment</v>
      </c>
      <c r="E100" s="618" t="s">
        <v>1617</v>
      </c>
      <c r="F100" s="1224" t="str">
        <f>CONCATENATE("WP-BC, line ",VLOOKUP(D100,'WP-BC'!$A$18:$N$341,2,FALSE))</f>
        <v>WP-BC, line 12bt</v>
      </c>
      <c r="G100" s="1295">
        <v>394</v>
      </c>
      <c r="H100" s="1299" t="s">
        <v>155</v>
      </c>
      <c r="I100" s="1297" t="s">
        <v>79</v>
      </c>
      <c r="J100" s="396"/>
      <c r="K100" s="606">
        <f>VLOOKUP($D100,'WP-BC'!$A$1:$N$357,7,FALSE)</f>
        <v>147596</v>
      </c>
      <c r="L100" s="606">
        <f>VLOOKUP($D100,'WP-BC'!$A$1:$N$357,8,FALSE)</f>
        <v>140945</v>
      </c>
      <c r="M100" s="607">
        <f t="shared" si="38"/>
        <v>6651</v>
      </c>
      <c r="N100" s="606">
        <f>VLOOKUP($D100,'WP-BC'!$A$1:$N$357,10,FALSE)</f>
        <v>1056</v>
      </c>
      <c r="O100" s="606">
        <f>VLOOKUP($D100,'WP-BC'!$A$1:$N$357,11,FALSE)</f>
        <v>147596</v>
      </c>
      <c r="P100" s="606">
        <f>VLOOKUP($D100,'WP-BC'!$A$1:$N$357,12,FALSE)</f>
        <v>139889</v>
      </c>
      <c r="Q100" s="607">
        <f t="shared" si="39"/>
        <v>7707</v>
      </c>
      <c r="R100" s="606">
        <f>VLOOKUP($D100,'WP-BC'!$A$1:$N$357,14,FALSE)</f>
        <v>1056</v>
      </c>
      <c r="S100" s="400">
        <v>143571</v>
      </c>
      <c r="T100" s="401"/>
      <c r="U100" s="400">
        <v>102160</v>
      </c>
      <c r="V100" s="401"/>
      <c r="W100" s="400">
        <f t="shared" si="40"/>
        <v>41411</v>
      </c>
    </row>
    <row r="101" spans="1:23" s="402" customFormat="1">
      <c r="A101" s="396" t="s">
        <v>148</v>
      </c>
      <c r="B101" s="397" t="s">
        <v>244</v>
      </c>
      <c r="C101" s="398" t="s">
        <v>155</v>
      </c>
      <c r="D101" s="597" t="str">
        <f t="shared" si="1"/>
        <v>FLYNN  (Holtsville)395Laboratory Equipment</v>
      </c>
      <c r="E101" s="618" t="s">
        <v>1618</v>
      </c>
      <c r="F101" s="1224" t="str">
        <f>CONCATENATE("WP-BC, line ",VLOOKUP(D101,'WP-BC'!$A$18:$N$341,2,FALSE))</f>
        <v>WP-BC, line 12bu</v>
      </c>
      <c r="G101" s="1295">
        <v>395</v>
      </c>
      <c r="H101" s="1299" t="s">
        <v>155</v>
      </c>
      <c r="I101" s="1297" t="s">
        <v>80</v>
      </c>
      <c r="J101" s="396"/>
      <c r="K101" s="606">
        <f>VLOOKUP($D101,'WP-BC'!$A$1:$N$357,7,FALSE)</f>
        <v>49048.73</v>
      </c>
      <c r="L101" s="606">
        <f>VLOOKUP($D101,'WP-BC'!$A$1:$N$357,8,FALSE)</f>
        <v>58805.729999999996</v>
      </c>
      <c r="M101" s="607">
        <f t="shared" si="38"/>
        <v>-9756.9999999999927</v>
      </c>
      <c r="N101" s="606">
        <f>VLOOKUP($D101,'WP-BC'!$A$1:$N$357,10,FALSE)</f>
        <v>0</v>
      </c>
      <c r="O101" s="606">
        <f>VLOOKUP($D101,'WP-BC'!$A$1:$N$357,11,FALSE)</f>
        <v>49048.73</v>
      </c>
      <c r="P101" s="606">
        <f>VLOOKUP($D101,'WP-BC'!$A$1:$N$357,12,FALSE)</f>
        <v>58805.729999999996</v>
      </c>
      <c r="Q101" s="607">
        <f t="shared" si="39"/>
        <v>-9756.9999999999927</v>
      </c>
      <c r="R101" s="606">
        <f>VLOOKUP($D101,'WP-BC'!$A$1:$N$357,14,FALSE)</f>
        <v>557</v>
      </c>
      <c r="S101" s="400">
        <v>49048.73</v>
      </c>
      <c r="T101" s="401"/>
      <c r="U101" s="400">
        <v>20030.73</v>
      </c>
      <c r="V101" s="401"/>
      <c r="W101" s="400">
        <f t="shared" si="40"/>
        <v>29018.000000000004</v>
      </c>
    </row>
    <row r="102" spans="1:23" s="402" customFormat="1">
      <c r="A102" s="396" t="s">
        <v>148</v>
      </c>
      <c r="B102" s="397" t="s">
        <v>244</v>
      </c>
      <c r="C102" s="398" t="s">
        <v>155</v>
      </c>
      <c r="D102" s="597" t="str">
        <f t="shared" si="1"/>
        <v>FLYNN  (Holtsville)396Power Operated Equipment</v>
      </c>
      <c r="E102" s="618" t="s">
        <v>1619</v>
      </c>
      <c r="F102" s="1224" t="str">
        <f>CONCATENATE("WP-BC, line ",VLOOKUP(D102,'WP-BC'!$A$18:$N$341,2,FALSE))</f>
        <v>WP-BC, line 12bv</v>
      </c>
      <c r="G102" s="1295">
        <v>396</v>
      </c>
      <c r="H102" s="1299" t="s">
        <v>155</v>
      </c>
      <c r="I102" s="1297" t="s">
        <v>81</v>
      </c>
      <c r="J102" s="396"/>
      <c r="K102" s="606">
        <f>VLOOKUP($D102,'WP-BC'!$A$1:$N$357,7,FALSE)</f>
        <v>286292.76</v>
      </c>
      <c r="L102" s="606">
        <f>VLOOKUP($D102,'WP-BC'!$A$1:$N$357,8,FALSE)</f>
        <v>157212.75</v>
      </c>
      <c r="M102" s="607">
        <f t="shared" si="38"/>
        <v>129080.01000000001</v>
      </c>
      <c r="N102" s="606">
        <f>VLOOKUP($D102,'WP-BC'!$A$1:$N$357,10,FALSE)</f>
        <v>27022</v>
      </c>
      <c r="O102" s="606">
        <f>VLOOKUP($D102,'WP-BC'!$A$1:$N$357,11,FALSE)</f>
        <v>286292.76</v>
      </c>
      <c r="P102" s="606">
        <f>VLOOKUP($D102,'WP-BC'!$A$1:$N$357,12,FALSE)</f>
        <v>130190.75</v>
      </c>
      <c r="Q102" s="607">
        <f t="shared" si="39"/>
        <v>156102.01</v>
      </c>
      <c r="R102" s="606">
        <f>VLOOKUP($D102,'WP-BC'!$A$1:$N$357,14,FALSE)</f>
        <v>27635</v>
      </c>
      <c r="S102" s="400">
        <v>0</v>
      </c>
      <c r="T102" s="401"/>
      <c r="U102" s="400">
        <v>0</v>
      </c>
      <c r="V102" s="401"/>
      <c r="W102" s="400">
        <f t="shared" si="40"/>
        <v>0</v>
      </c>
    </row>
    <row r="103" spans="1:23" s="402" customFormat="1">
      <c r="A103" s="396" t="s">
        <v>148</v>
      </c>
      <c r="B103" s="397" t="s">
        <v>244</v>
      </c>
      <c r="C103" s="398" t="s">
        <v>155</v>
      </c>
      <c r="D103" s="597" t="str">
        <f t="shared" si="1"/>
        <v>FLYNN  (Holtsville)397Communication Equipment</v>
      </c>
      <c r="E103" s="618" t="s">
        <v>1644</v>
      </c>
      <c r="F103" s="1224" t="str">
        <f>CONCATENATE("WP-BC, line ",VLOOKUP(D103,'WP-BC'!$A$18:$N$341,2,FALSE))</f>
        <v>WP-BC, line 12bw</v>
      </c>
      <c r="G103" s="1295">
        <v>397</v>
      </c>
      <c r="H103" s="1299" t="s">
        <v>155</v>
      </c>
      <c r="I103" s="1297" t="s">
        <v>82</v>
      </c>
      <c r="J103" s="396"/>
      <c r="K103" s="606">
        <f>VLOOKUP($D103,'WP-BC'!$A$1:$N$357,7,FALSE)</f>
        <v>349918</v>
      </c>
      <c r="L103" s="606">
        <f>VLOOKUP($D103,'WP-BC'!$A$1:$N$357,8,FALSE)</f>
        <v>349917</v>
      </c>
      <c r="M103" s="607">
        <f t="shared" si="38"/>
        <v>1</v>
      </c>
      <c r="N103" s="606">
        <f>VLOOKUP($D103,'WP-BC'!$A$1:$N$357,10,FALSE)</f>
        <v>0</v>
      </c>
      <c r="O103" s="606">
        <f>VLOOKUP($D103,'WP-BC'!$A$1:$N$357,11,FALSE)</f>
        <v>349918</v>
      </c>
      <c r="P103" s="606">
        <f>VLOOKUP($D103,'WP-BC'!$A$1:$N$357,12,FALSE)</f>
        <v>349917</v>
      </c>
      <c r="Q103" s="607">
        <f t="shared" si="39"/>
        <v>1</v>
      </c>
      <c r="R103" s="606">
        <f>VLOOKUP($D103,'WP-BC'!$A$1:$N$357,14,FALSE)</f>
        <v>0</v>
      </c>
      <c r="S103" s="400">
        <v>349918</v>
      </c>
      <c r="T103" s="401"/>
      <c r="U103" s="400">
        <v>219473</v>
      </c>
      <c r="V103" s="401"/>
      <c r="W103" s="400">
        <f t="shared" si="40"/>
        <v>130445</v>
      </c>
    </row>
    <row r="104" spans="1:23" s="402" customFormat="1">
      <c r="A104" s="396" t="s">
        <v>148</v>
      </c>
      <c r="B104" s="397" t="s">
        <v>244</v>
      </c>
      <c r="C104" s="398" t="s">
        <v>155</v>
      </c>
      <c r="D104" s="597" t="str">
        <f t="shared" si="1"/>
        <v>FLYNN  (Holtsville)398Miscellaneous Equipment</v>
      </c>
      <c r="E104" s="618" t="s">
        <v>2087</v>
      </c>
      <c r="F104" s="1224" t="str">
        <f>CONCATENATE("WP-BC, line ",VLOOKUP(D104,'WP-BC'!$A$18:$N$341,2,FALSE))</f>
        <v>WP-BC, line 12bx</v>
      </c>
      <c r="G104" s="1295">
        <v>398</v>
      </c>
      <c r="H104" s="1299" t="s">
        <v>155</v>
      </c>
      <c r="I104" s="1297" t="s">
        <v>83</v>
      </c>
      <c r="J104" s="396"/>
      <c r="K104" s="606">
        <f>VLOOKUP($D104,'WP-BC'!$A$1:$N$357,7,FALSE)</f>
        <v>882659.5</v>
      </c>
      <c r="L104" s="606">
        <f>VLOOKUP($D104,'WP-BC'!$A$1:$N$357,8,FALSE)</f>
        <v>394957.08</v>
      </c>
      <c r="M104" s="607">
        <f t="shared" si="38"/>
        <v>487702.42</v>
      </c>
      <c r="N104" s="606">
        <f>VLOOKUP($D104,'WP-BC'!$A$1:$N$357,10,FALSE)</f>
        <v>28839</v>
      </c>
      <c r="O104" s="606">
        <f>VLOOKUP($D104,'WP-BC'!$A$1:$N$357,11,FALSE)</f>
        <v>509925.5</v>
      </c>
      <c r="P104" s="606">
        <f>VLOOKUP($D104,'WP-BC'!$A$1:$N$357,12,FALSE)</f>
        <v>366118.08</v>
      </c>
      <c r="Q104" s="607">
        <f t="shared" si="39"/>
        <v>143807.41999999998</v>
      </c>
      <c r="R104" s="606">
        <f>VLOOKUP($D104,'WP-BC'!$A$1:$N$357,14,FALSE)</f>
        <v>17615</v>
      </c>
      <c r="S104" s="403">
        <v>94603.150000000009</v>
      </c>
      <c r="T104" s="404"/>
      <c r="U104" s="403">
        <v>24313.730000000003</v>
      </c>
      <c r="V104" s="404"/>
      <c r="W104" s="403">
        <f t="shared" si="40"/>
        <v>70289.420000000013</v>
      </c>
    </row>
    <row r="105" spans="1:23" s="402" customFormat="1">
      <c r="A105" s="396"/>
      <c r="B105" s="397"/>
      <c r="C105" s="398"/>
      <c r="D105" s="597"/>
      <c r="E105" s="618" t="s">
        <v>541</v>
      </c>
      <c r="F105" s="1297"/>
      <c r="G105" s="1295"/>
      <c r="H105" s="1298"/>
      <c r="I105" s="1297"/>
      <c r="J105" s="396"/>
      <c r="K105" s="608" t="s">
        <v>1165</v>
      </c>
      <c r="L105" s="608" t="s">
        <v>1165</v>
      </c>
      <c r="M105" s="608" t="s">
        <v>1165</v>
      </c>
      <c r="N105" s="608" t="s">
        <v>1165</v>
      </c>
      <c r="O105" s="608" t="s">
        <v>1165</v>
      </c>
      <c r="P105" s="608" t="s">
        <v>1165</v>
      </c>
      <c r="Q105" s="608" t="s">
        <v>1165</v>
      </c>
      <c r="R105" s="608" t="s">
        <v>1165</v>
      </c>
      <c r="S105" s="400"/>
      <c r="T105" s="401"/>
      <c r="U105" s="400"/>
      <c r="V105" s="401"/>
      <c r="W105" s="400"/>
    </row>
    <row r="106" spans="1:23" s="402" customFormat="1">
      <c r="A106" s="396"/>
      <c r="B106" s="397"/>
      <c r="C106" s="398"/>
      <c r="D106" s="597"/>
      <c r="E106" s="618"/>
      <c r="F106" s="618"/>
      <c r="G106" s="399"/>
      <c r="H106" s="396"/>
      <c r="I106" s="396"/>
      <c r="J106" s="396"/>
      <c r="K106" s="606"/>
      <c r="L106" s="606"/>
      <c r="M106" s="606"/>
      <c r="N106" s="606"/>
      <c r="O106" s="606"/>
      <c r="P106" s="606"/>
      <c r="Q106" s="606"/>
      <c r="R106" s="606"/>
      <c r="S106" s="400"/>
      <c r="T106" s="401"/>
      <c r="U106" s="400"/>
      <c r="V106" s="401"/>
      <c r="W106" s="400"/>
    </row>
    <row r="107" spans="1:23" s="402" customFormat="1">
      <c r="A107" s="396"/>
      <c r="B107" s="396"/>
      <c r="C107" s="405"/>
      <c r="D107" s="597" t="str">
        <f t="shared" si="1"/>
        <v>SUBTOTAL Flynn</v>
      </c>
      <c r="E107" s="622">
        <v>19</v>
      </c>
      <c r="F107" s="622"/>
      <c r="G107" s="406" t="s">
        <v>237</v>
      </c>
      <c r="H107" s="396"/>
      <c r="I107" s="396"/>
      <c r="J107" s="396"/>
      <c r="K107" s="605">
        <f>SUM(K96:K105)</f>
        <v>2789705.52</v>
      </c>
      <c r="L107" s="605">
        <f t="shared" ref="L107:R107" si="44">SUM(L96:L105)</f>
        <v>1472317.99</v>
      </c>
      <c r="M107" s="605">
        <f t="shared" si="44"/>
        <v>1317387.53</v>
      </c>
      <c r="N107" s="605">
        <f t="shared" si="44"/>
        <v>116337.91</v>
      </c>
      <c r="O107" s="605">
        <f t="shared" si="44"/>
        <v>1741233.6099999999</v>
      </c>
      <c r="P107" s="605">
        <f t="shared" si="44"/>
        <v>1355980.08</v>
      </c>
      <c r="Q107" s="605">
        <f t="shared" si="44"/>
        <v>385253.53</v>
      </c>
      <c r="R107" s="605">
        <f t="shared" si="44"/>
        <v>67897</v>
      </c>
      <c r="S107" s="410">
        <f t="shared" ref="S107" si="45">SUM(S96:S104)</f>
        <v>1118921.0999999999</v>
      </c>
      <c r="T107" s="401"/>
      <c r="U107" s="410">
        <f>SUM(U96:U104)</f>
        <v>775563.58</v>
      </c>
      <c r="V107" s="401"/>
      <c r="W107" s="410">
        <f>SUM(W96:W104)</f>
        <v>343357.52</v>
      </c>
    </row>
    <row r="108" spans="1:23" s="402" customFormat="1" ht="20.25" customHeight="1">
      <c r="A108" s="396"/>
      <c r="B108" s="396"/>
      <c r="C108" s="405"/>
      <c r="D108" s="597" t="str">
        <f t="shared" si="1"/>
        <v/>
      </c>
      <c r="E108" s="622">
        <v>20</v>
      </c>
      <c r="F108" s="618"/>
      <c r="G108" s="399"/>
      <c r="H108" s="396"/>
      <c r="I108" s="396"/>
      <c r="J108" s="396"/>
      <c r="K108" s="607"/>
      <c r="L108" s="607"/>
      <c r="M108" s="607"/>
      <c r="N108" s="607"/>
      <c r="O108" s="607"/>
      <c r="P108" s="607"/>
      <c r="Q108" s="607"/>
      <c r="R108" s="607"/>
      <c r="S108" s="400"/>
      <c r="T108" s="401"/>
      <c r="U108" s="400"/>
      <c r="V108" s="401"/>
      <c r="W108" s="400"/>
    </row>
    <row r="109" spans="1:23" s="402" customFormat="1">
      <c r="A109" s="396" t="s">
        <v>148</v>
      </c>
      <c r="B109" s="397" t="s">
        <v>244</v>
      </c>
      <c r="C109" s="398" t="s">
        <v>161</v>
      </c>
      <c r="D109" s="597" t="str">
        <f t="shared" si="1"/>
        <v>POLETTI  (Astoria)389Land &amp; Land Rights</v>
      </c>
      <c r="E109" s="618" t="s">
        <v>1620</v>
      </c>
      <c r="F109" s="1224" t="str">
        <f>CONCATENATE("WP-BC, line ",VLOOKUP(D109,'WP-BC'!$A$18:$N$341,2,FALSE))</f>
        <v>WP-BC, line 1m</v>
      </c>
      <c r="G109" s="1295">
        <v>389</v>
      </c>
      <c r="H109" s="1299" t="s">
        <v>161</v>
      </c>
      <c r="I109" s="1297" t="s">
        <v>1890</v>
      </c>
      <c r="J109" s="396"/>
      <c r="K109" s="606">
        <f>VLOOKUP($D109,'WP-BC'!$A$1:$N$357,7,FALSE)</f>
        <v>13816</v>
      </c>
      <c r="L109" s="606">
        <f>VLOOKUP($D109,'WP-BC'!$A$1:$N$357,8,FALSE)</f>
        <v>0</v>
      </c>
      <c r="M109" s="607">
        <f t="shared" ref="M109:M119" si="46">+K109-L109</f>
        <v>13816</v>
      </c>
      <c r="N109" s="606">
        <f>VLOOKUP($D109,'WP-BC'!$A$1:$N$357,10,FALSE)</f>
        <v>0</v>
      </c>
      <c r="O109" s="606">
        <f>VLOOKUP($D109,'WP-BC'!$A$1:$N$357,11,FALSE)</f>
        <v>13816</v>
      </c>
      <c r="P109" s="606">
        <f>VLOOKUP($D109,'WP-BC'!$A$1:$N$357,12,FALSE)</f>
        <v>0</v>
      </c>
      <c r="Q109" s="607">
        <f t="shared" ref="Q109:Q119" si="47">+O109-P109</f>
        <v>13816</v>
      </c>
      <c r="R109" s="606">
        <f>VLOOKUP($D109,'WP-BC'!$A$1:$N$357,14,FALSE)</f>
        <v>0</v>
      </c>
      <c r="S109" s="400">
        <v>13816</v>
      </c>
      <c r="T109" s="401"/>
      <c r="U109" s="400">
        <v>0</v>
      </c>
      <c r="V109" s="401"/>
      <c r="W109" s="400">
        <f t="shared" ref="W109:W119" si="48">+S109-U109</f>
        <v>13816</v>
      </c>
    </row>
    <row r="110" spans="1:23" s="402" customFormat="1">
      <c r="A110" s="396" t="s">
        <v>148</v>
      </c>
      <c r="B110" s="397" t="s">
        <v>244</v>
      </c>
      <c r="C110" s="398" t="s">
        <v>161</v>
      </c>
      <c r="D110" s="597" t="str">
        <f t="shared" si="1"/>
        <v>POLETTI  (Astoria)390Structures &amp; Improvements</v>
      </c>
      <c r="E110" s="618" t="s">
        <v>1621</v>
      </c>
      <c r="F110" s="1224" t="str">
        <f>CONCATENATE("WP-BC, line ",VLOOKUP(D110,'WP-BC'!$A$18:$N$341,2,FALSE))</f>
        <v>WP-BC, line 12ci</v>
      </c>
      <c r="G110" s="1295">
        <v>390</v>
      </c>
      <c r="H110" s="1299" t="s">
        <v>161</v>
      </c>
      <c r="I110" s="1297" t="s">
        <v>69</v>
      </c>
      <c r="J110" s="396"/>
      <c r="K110" s="606">
        <f>VLOOKUP($D110,'WP-BC'!$A$1:$N$357,7,FALSE)</f>
        <v>3656291.83</v>
      </c>
      <c r="L110" s="606">
        <f>VLOOKUP($D110,'WP-BC'!$A$1:$N$357,8,FALSE)</f>
        <v>1447317.4400000002</v>
      </c>
      <c r="M110" s="607">
        <f t="shared" si="46"/>
        <v>2208974.3899999997</v>
      </c>
      <c r="N110" s="606">
        <f>VLOOKUP($D110,'WP-BC'!$A$1:$N$357,10,FALSE)</f>
        <v>79627</v>
      </c>
      <c r="O110" s="606">
        <f>VLOOKUP($D110,'WP-BC'!$A$1:$N$357,11,FALSE)</f>
        <v>3656291.83</v>
      </c>
      <c r="P110" s="606">
        <f>VLOOKUP($D110,'WP-BC'!$A$1:$N$357,12,FALSE)</f>
        <v>1367690.4400000002</v>
      </c>
      <c r="Q110" s="607">
        <f t="shared" si="47"/>
        <v>2288601.3899999997</v>
      </c>
      <c r="R110" s="606">
        <f>VLOOKUP($D110,'WP-BC'!$A$1:$N$357,14,FALSE)</f>
        <v>79003.08</v>
      </c>
      <c r="S110" s="400">
        <v>1083781</v>
      </c>
      <c r="T110" s="401"/>
      <c r="U110" s="400">
        <v>954097</v>
      </c>
      <c r="V110" s="401"/>
      <c r="W110" s="400">
        <f t="shared" si="48"/>
        <v>129684</v>
      </c>
    </row>
    <row r="111" spans="1:23" s="402" customFormat="1">
      <c r="A111" s="396" t="s">
        <v>148</v>
      </c>
      <c r="B111" s="397" t="s">
        <v>244</v>
      </c>
      <c r="C111" s="398" t="s">
        <v>161</v>
      </c>
      <c r="D111" s="597" t="str">
        <f t="shared" si="1"/>
        <v>POLETTI  (Astoria)391Office Furniture &amp; Equipment</v>
      </c>
      <c r="E111" s="618" t="s">
        <v>1622</v>
      </c>
      <c r="F111" s="1224" t="str">
        <f>CONCATENATE("WP-BC, line ",VLOOKUP(D111,'WP-BC'!$A$18:$N$341,2,FALSE))</f>
        <v>WP-BC, line 12cj</v>
      </c>
      <c r="G111" s="1295">
        <v>391</v>
      </c>
      <c r="H111" s="1299" t="s">
        <v>161</v>
      </c>
      <c r="I111" s="1297" t="s">
        <v>76</v>
      </c>
      <c r="J111" s="396"/>
      <c r="K111" s="606">
        <f>VLOOKUP($D111,'WP-BC'!$A$1:$N$357,7,FALSE)</f>
        <v>833108.47999999998</v>
      </c>
      <c r="L111" s="606">
        <f>VLOOKUP($D111,'WP-BC'!$A$1:$N$357,8,FALSE)</f>
        <v>833108.47999999998</v>
      </c>
      <c r="M111" s="607">
        <f t="shared" si="46"/>
        <v>0</v>
      </c>
      <c r="N111" s="606">
        <f>VLOOKUP($D111,'WP-BC'!$A$1:$N$357,10,FALSE)</f>
        <v>0</v>
      </c>
      <c r="O111" s="606">
        <f>VLOOKUP($D111,'WP-BC'!$A$1:$N$357,11,FALSE)</f>
        <v>833108.47999999998</v>
      </c>
      <c r="P111" s="606">
        <f>VLOOKUP($D111,'WP-BC'!$A$1:$N$357,12,FALSE)</f>
        <v>833108.47999999998</v>
      </c>
      <c r="Q111" s="607">
        <f t="shared" si="47"/>
        <v>0</v>
      </c>
      <c r="R111" s="606">
        <f>VLOOKUP($D111,'WP-BC'!$A$1:$N$357,14,FALSE)</f>
        <v>0</v>
      </c>
      <c r="S111" s="400">
        <v>837882</v>
      </c>
      <c r="T111" s="401"/>
      <c r="U111" s="400">
        <v>999305</v>
      </c>
      <c r="V111" s="401"/>
      <c r="W111" s="400">
        <f t="shared" si="48"/>
        <v>-161423</v>
      </c>
    </row>
    <row r="112" spans="1:23" s="402" customFormat="1">
      <c r="A112" s="396" t="s">
        <v>148</v>
      </c>
      <c r="B112" s="397" t="s">
        <v>244</v>
      </c>
      <c r="C112" s="398" t="s">
        <v>161</v>
      </c>
      <c r="D112" s="597" t="str">
        <f t="shared" si="1"/>
        <v>POLETTI  (Astoria)392Transportation Equipment</v>
      </c>
      <c r="E112" s="618" t="s">
        <v>1623</v>
      </c>
      <c r="F112" s="1224" t="str">
        <f>CONCATENATE("WP-BC, line ",VLOOKUP(D112,'WP-BC'!$A$18:$N$341,2,FALSE))</f>
        <v>WP-BC, line 12ck</v>
      </c>
      <c r="G112" s="1295">
        <v>392</v>
      </c>
      <c r="H112" s="1299" t="s">
        <v>161</v>
      </c>
      <c r="I112" s="1297" t="s">
        <v>77</v>
      </c>
      <c r="J112" s="396"/>
      <c r="K112" s="606">
        <f>VLOOKUP($D112,'WP-BC'!$A$1:$N$357,7,FALSE)</f>
        <v>64371.34</v>
      </c>
      <c r="L112" s="606">
        <f>VLOOKUP($D112,'WP-BC'!$A$1:$N$357,8,FALSE)</f>
        <v>57457.629999999976</v>
      </c>
      <c r="M112" s="607">
        <f t="shared" si="46"/>
        <v>6913.710000000021</v>
      </c>
      <c r="N112" s="606">
        <f>VLOOKUP($D112,'WP-BC'!$A$1:$N$357,10,FALSE)</f>
        <v>301</v>
      </c>
      <c r="O112" s="606">
        <f>VLOOKUP($D112,'WP-BC'!$A$1:$N$357,11,FALSE)</f>
        <v>57156.34</v>
      </c>
      <c r="P112" s="606">
        <f>VLOOKUP($D112,'WP-BC'!$A$1:$N$357,12,FALSE)</f>
        <v>57156.629999999976</v>
      </c>
      <c r="Q112" s="607">
        <f t="shared" si="47"/>
        <v>-0.28999999997904524</v>
      </c>
      <c r="R112" s="606">
        <f>VLOOKUP($D112,'WP-BC'!$A$1:$N$357,14,FALSE)</f>
        <v>0</v>
      </c>
      <c r="S112" s="400">
        <v>541246.62</v>
      </c>
      <c r="T112" s="401"/>
      <c r="U112" s="400">
        <v>429233.08</v>
      </c>
      <c r="V112" s="401"/>
      <c r="W112" s="400">
        <f t="shared" si="48"/>
        <v>112013.53999999998</v>
      </c>
    </row>
    <row r="113" spans="1:23" s="402" customFormat="1">
      <c r="A113" s="396" t="s">
        <v>148</v>
      </c>
      <c r="B113" s="397" t="s">
        <v>244</v>
      </c>
      <c r="C113" s="398" t="s">
        <v>161</v>
      </c>
      <c r="D113" s="597" t="str">
        <f t="shared" si="1"/>
        <v>POLETTI  (Astoria)393Stores Equipment</v>
      </c>
      <c r="E113" s="618" t="s">
        <v>1624</v>
      </c>
      <c r="F113" s="1224" t="str">
        <f>CONCATENATE("WP-BC, line ",VLOOKUP(D113,'WP-BC'!$A$18:$N$341,2,FALSE))</f>
        <v>WP-BC, line 12cl</v>
      </c>
      <c r="G113" s="1295">
        <v>393</v>
      </c>
      <c r="H113" s="1299" t="s">
        <v>161</v>
      </c>
      <c r="I113" s="1297" t="s">
        <v>78</v>
      </c>
      <c r="J113" s="396"/>
      <c r="K113" s="606">
        <f>VLOOKUP($D113,'WP-BC'!$A$1:$N$357,7,FALSE)</f>
        <v>108837.62</v>
      </c>
      <c r="L113" s="606">
        <f>VLOOKUP($D113,'WP-BC'!$A$1:$N$357,8,FALSE)</f>
        <v>103374.62</v>
      </c>
      <c r="M113" s="607">
        <f t="shared" si="46"/>
        <v>5463</v>
      </c>
      <c r="N113" s="606">
        <f>VLOOKUP($D113,'WP-BC'!$A$1:$N$357,10,FALSE)</f>
        <v>825</v>
      </c>
      <c r="O113" s="606">
        <f>VLOOKUP($D113,'WP-BC'!$A$1:$N$357,11,FALSE)</f>
        <v>108837.62</v>
      </c>
      <c r="P113" s="606">
        <f>VLOOKUP($D113,'WP-BC'!$A$1:$N$357,12,FALSE)</f>
        <v>102549.62</v>
      </c>
      <c r="Q113" s="607">
        <f t="shared" si="47"/>
        <v>6288</v>
      </c>
      <c r="R113" s="606">
        <f>VLOOKUP($D113,'WP-BC'!$A$1:$N$357,14,FALSE)</f>
        <v>825</v>
      </c>
      <c r="S113" s="400">
        <v>108837.62</v>
      </c>
      <c r="T113" s="401"/>
      <c r="U113" s="400">
        <v>94091.62</v>
      </c>
      <c r="V113" s="401"/>
      <c r="W113" s="400">
        <f t="shared" si="48"/>
        <v>14746</v>
      </c>
    </row>
    <row r="114" spans="1:23" s="402" customFormat="1">
      <c r="A114" s="396" t="s">
        <v>148</v>
      </c>
      <c r="B114" s="397" t="s">
        <v>244</v>
      </c>
      <c r="C114" s="398" t="s">
        <v>161</v>
      </c>
      <c r="D114" s="597" t="str">
        <f t="shared" ref="D114:D139" si="49">CONCATENATE(H114,G114,I114)</f>
        <v>POLETTI  (Astoria)394Tools, Shop &amp; Garage Equipment</v>
      </c>
      <c r="E114" s="618" t="s">
        <v>1625</v>
      </c>
      <c r="F114" s="1224" t="str">
        <f>CONCATENATE("WP-BC, line ",VLOOKUP(D114,'WP-BC'!$A$18:$N$341,2,FALSE))</f>
        <v>WP-BC, line 12cm</v>
      </c>
      <c r="G114" s="1295">
        <v>394</v>
      </c>
      <c r="H114" s="1299" t="s">
        <v>161</v>
      </c>
      <c r="I114" s="1297" t="s">
        <v>79</v>
      </c>
      <c r="J114" s="396"/>
      <c r="K114" s="606">
        <f>VLOOKUP($D114,'WP-BC'!$A$1:$N$357,7,FALSE)</f>
        <v>456566.00999999995</v>
      </c>
      <c r="L114" s="606">
        <f>VLOOKUP($D114,'WP-BC'!$A$1:$N$357,8,FALSE)</f>
        <v>168057.56999999998</v>
      </c>
      <c r="M114" s="607">
        <f t="shared" si="46"/>
        <v>288508.43999999994</v>
      </c>
      <c r="N114" s="606">
        <f>VLOOKUP($D114,'WP-BC'!$A$1:$N$357,10,FALSE)</f>
        <v>22521</v>
      </c>
      <c r="O114" s="606">
        <f>VLOOKUP($D114,'WP-BC'!$A$1:$N$357,11,FALSE)</f>
        <v>456566.00999999995</v>
      </c>
      <c r="P114" s="606">
        <f>VLOOKUP($D114,'WP-BC'!$A$1:$N$357,12,FALSE)</f>
        <v>145536.56999999998</v>
      </c>
      <c r="Q114" s="607">
        <f t="shared" si="47"/>
        <v>311029.43999999994</v>
      </c>
      <c r="R114" s="606">
        <f>VLOOKUP($D114,'WP-BC'!$A$1:$N$357,14,FALSE)</f>
        <v>22122</v>
      </c>
      <c r="S114" s="400">
        <v>6400</v>
      </c>
      <c r="T114" s="401"/>
      <c r="U114" s="400">
        <v>3191</v>
      </c>
      <c r="V114" s="401"/>
      <c r="W114" s="400">
        <f t="shared" si="48"/>
        <v>3209</v>
      </c>
    </row>
    <row r="115" spans="1:23" s="402" customFormat="1">
      <c r="A115" s="396" t="s">
        <v>148</v>
      </c>
      <c r="B115" s="397" t="s">
        <v>244</v>
      </c>
      <c r="C115" s="398" t="s">
        <v>161</v>
      </c>
      <c r="D115" s="597" t="str">
        <f t="shared" si="49"/>
        <v>POLETTI  (Astoria)395Laboratory Equipment</v>
      </c>
      <c r="E115" s="618" t="s">
        <v>1645</v>
      </c>
      <c r="F115" s="1224" t="str">
        <f>CONCATENATE("WP-BC, line ",VLOOKUP(D115,'WP-BC'!$A$18:$N$341,2,FALSE))</f>
        <v>WP-BC, line 12cn</v>
      </c>
      <c r="G115" s="1295">
        <v>395</v>
      </c>
      <c r="H115" s="1299" t="s">
        <v>161</v>
      </c>
      <c r="I115" s="1297" t="s">
        <v>80</v>
      </c>
      <c r="J115" s="396"/>
      <c r="K115" s="606">
        <f>VLOOKUP($D115,'WP-BC'!$A$1:$N$357,7,FALSE)</f>
        <v>1622974.9100000001</v>
      </c>
      <c r="L115" s="606">
        <f>VLOOKUP($D115,'WP-BC'!$A$1:$N$357,8,FALSE)</f>
        <v>1648539.9300000002</v>
      </c>
      <c r="M115" s="607">
        <f t="shared" si="46"/>
        <v>-25565.020000000019</v>
      </c>
      <c r="N115" s="606">
        <f>VLOOKUP($D115,'WP-BC'!$A$1:$N$357,10,FALSE)</f>
        <v>1991</v>
      </c>
      <c r="O115" s="606">
        <f>VLOOKUP($D115,'WP-BC'!$A$1:$N$357,11,FALSE)</f>
        <v>1622974.9100000001</v>
      </c>
      <c r="P115" s="606">
        <f>VLOOKUP($D115,'WP-BC'!$A$1:$N$357,12,FALSE)</f>
        <v>1646548.9300000002</v>
      </c>
      <c r="Q115" s="607">
        <f t="shared" si="47"/>
        <v>-23574.020000000019</v>
      </c>
      <c r="R115" s="606">
        <f>VLOOKUP($D115,'WP-BC'!$A$1:$N$357,14,FALSE)</f>
        <v>1991</v>
      </c>
      <c r="S115" s="400">
        <v>1394339.57</v>
      </c>
      <c r="T115" s="401"/>
      <c r="U115" s="400">
        <v>1342713.59</v>
      </c>
      <c r="V115" s="401"/>
      <c r="W115" s="400">
        <f t="shared" si="48"/>
        <v>51625.979999999981</v>
      </c>
    </row>
    <row r="116" spans="1:23" s="402" customFormat="1">
      <c r="A116" s="396" t="s">
        <v>148</v>
      </c>
      <c r="B116" s="397" t="s">
        <v>244</v>
      </c>
      <c r="C116" s="398" t="s">
        <v>161</v>
      </c>
      <c r="D116" s="597" t="str">
        <f t="shared" si="49"/>
        <v>POLETTI  (Astoria)396Power Operated Equipment</v>
      </c>
      <c r="E116" s="618" t="s">
        <v>1646</v>
      </c>
      <c r="F116" s="1224" t="str">
        <f>CONCATENATE("WP-BC, line ",VLOOKUP(D116,'WP-BC'!$A$18:$N$341,2,FALSE))</f>
        <v>WP-BC, line 12co</v>
      </c>
      <c r="G116" s="1295">
        <v>396</v>
      </c>
      <c r="H116" s="1299" t="s">
        <v>161</v>
      </c>
      <c r="I116" s="1297" t="s">
        <v>81</v>
      </c>
      <c r="J116" s="396"/>
      <c r="K116" s="606">
        <f>VLOOKUP($D116,'WP-BC'!$A$1:$N$357,7,FALSE)</f>
        <v>163077.91999999998</v>
      </c>
      <c r="L116" s="606">
        <f>VLOOKUP($D116,'WP-BC'!$A$1:$N$357,8,FALSE)</f>
        <v>151870.90999999997</v>
      </c>
      <c r="M116" s="607">
        <f t="shared" si="46"/>
        <v>11207.010000000009</v>
      </c>
      <c r="N116" s="606">
        <f>VLOOKUP($D116,'WP-BC'!$A$1:$N$357,10,FALSE)</f>
        <v>0</v>
      </c>
      <c r="O116" s="606">
        <f>VLOOKUP($D116,'WP-BC'!$A$1:$N$357,11,FALSE)</f>
        <v>163077.91999999998</v>
      </c>
      <c r="P116" s="606">
        <f>VLOOKUP($D116,'WP-BC'!$A$1:$N$357,12,FALSE)</f>
        <v>151870.90999999997</v>
      </c>
      <c r="Q116" s="607">
        <f t="shared" si="47"/>
        <v>11207.010000000009</v>
      </c>
      <c r="R116" s="606">
        <f>VLOOKUP($D116,'WP-BC'!$A$1:$N$357,14,FALSE)</f>
        <v>0</v>
      </c>
      <c r="S116" s="400">
        <v>198592</v>
      </c>
      <c r="T116" s="401"/>
      <c r="U116" s="400">
        <v>167153</v>
      </c>
      <c r="V116" s="401"/>
      <c r="W116" s="400">
        <f t="shared" si="48"/>
        <v>31439</v>
      </c>
    </row>
    <row r="117" spans="1:23" s="402" customFormat="1">
      <c r="A117" s="396" t="s">
        <v>148</v>
      </c>
      <c r="B117" s="397" t="s">
        <v>244</v>
      </c>
      <c r="C117" s="398" t="s">
        <v>161</v>
      </c>
      <c r="D117" s="597" t="str">
        <f t="shared" si="49"/>
        <v>POLETTI  (Astoria)397Communication Equipment</v>
      </c>
      <c r="E117" s="618" t="s">
        <v>1647</v>
      </c>
      <c r="F117" s="1224" t="str">
        <f>CONCATENATE("WP-BC, line ",VLOOKUP(D117,'WP-BC'!$A$18:$N$341,2,FALSE))</f>
        <v>WP-BC, line 12cp</v>
      </c>
      <c r="G117" s="1295">
        <v>397</v>
      </c>
      <c r="H117" s="1299" t="s">
        <v>161</v>
      </c>
      <c r="I117" s="1297" t="s">
        <v>82</v>
      </c>
      <c r="J117" s="396"/>
      <c r="K117" s="606">
        <f>VLOOKUP($D117,'WP-BC'!$A$1:$N$357,7,FALSE)</f>
        <v>443045</v>
      </c>
      <c r="L117" s="606">
        <f>VLOOKUP($D117,'WP-BC'!$A$1:$N$357,8,FALSE)</f>
        <v>427385</v>
      </c>
      <c r="M117" s="607">
        <f t="shared" si="46"/>
        <v>15660</v>
      </c>
      <c r="N117" s="606">
        <f>VLOOKUP($D117,'WP-BC'!$A$1:$N$357,10,FALSE)</f>
        <v>0</v>
      </c>
      <c r="O117" s="606">
        <f>VLOOKUP($D117,'WP-BC'!$A$1:$N$357,11,FALSE)</f>
        <v>443045</v>
      </c>
      <c r="P117" s="606">
        <f>VLOOKUP($D117,'WP-BC'!$A$1:$N$357,12,FALSE)</f>
        <v>427385</v>
      </c>
      <c r="Q117" s="607">
        <f t="shared" si="47"/>
        <v>15660</v>
      </c>
      <c r="R117" s="606">
        <f>VLOOKUP($D117,'WP-BC'!$A$1:$N$357,14,FALSE)</f>
        <v>0</v>
      </c>
      <c r="S117" s="400">
        <v>443045</v>
      </c>
      <c r="T117" s="401"/>
      <c r="U117" s="400">
        <v>254870</v>
      </c>
      <c r="V117" s="401"/>
      <c r="W117" s="400">
        <f t="shared" si="48"/>
        <v>188175</v>
      </c>
    </row>
    <row r="118" spans="1:23" s="402" customFormat="1">
      <c r="A118" s="396" t="s">
        <v>148</v>
      </c>
      <c r="B118" s="397" t="s">
        <v>244</v>
      </c>
      <c r="C118" s="398" t="s">
        <v>161</v>
      </c>
      <c r="D118" s="597" t="str">
        <f t="shared" si="49"/>
        <v>POLETTI  (Astoria)398Miscellaneous Equipment</v>
      </c>
      <c r="E118" s="618" t="s">
        <v>1648</v>
      </c>
      <c r="F118" s="1224" t="str">
        <f>CONCATENATE("WP-BC, line ",VLOOKUP(D118,'WP-BC'!$A$18:$N$341,2,FALSE))</f>
        <v>WP-BC, line 12cq</v>
      </c>
      <c r="G118" s="1295">
        <v>398</v>
      </c>
      <c r="H118" s="1299" t="s">
        <v>161</v>
      </c>
      <c r="I118" s="1297" t="s">
        <v>83</v>
      </c>
      <c r="J118" s="396"/>
      <c r="K118" s="606">
        <f>VLOOKUP($D118,'WP-BC'!$A$1:$N$357,7,FALSE)</f>
        <v>2960625.65</v>
      </c>
      <c r="L118" s="606">
        <f>VLOOKUP($D118,'WP-BC'!$A$1:$N$357,8,FALSE)</f>
        <v>2964895.93</v>
      </c>
      <c r="M118" s="607">
        <f t="shared" si="46"/>
        <v>-4270.2800000002608</v>
      </c>
      <c r="N118" s="606">
        <f>VLOOKUP($D118,'WP-BC'!$A$1:$N$357,10,FALSE)</f>
        <v>394</v>
      </c>
      <c r="O118" s="606">
        <f>VLOOKUP($D118,'WP-BC'!$A$1:$N$357,11,FALSE)</f>
        <v>2960625.65</v>
      </c>
      <c r="P118" s="606">
        <f>VLOOKUP($D118,'WP-BC'!$A$1:$N$357,12,FALSE)</f>
        <v>2964501.93</v>
      </c>
      <c r="Q118" s="607">
        <f t="shared" si="47"/>
        <v>-3876.2800000002608</v>
      </c>
      <c r="R118" s="606">
        <f>VLOOKUP($D118,'WP-BC'!$A$1:$N$357,14,FALSE)</f>
        <v>394</v>
      </c>
      <c r="S118" s="400">
        <v>3131817.34</v>
      </c>
      <c r="T118" s="401"/>
      <c r="U118" s="400">
        <v>3047113.62</v>
      </c>
      <c r="V118" s="401"/>
      <c r="W118" s="400">
        <f t="shared" si="48"/>
        <v>84703.719999999739</v>
      </c>
    </row>
    <row r="119" spans="1:23" s="402" customFormat="1">
      <c r="A119" s="396" t="s">
        <v>148</v>
      </c>
      <c r="B119" s="397" t="s">
        <v>244</v>
      </c>
      <c r="C119" s="398" t="s">
        <v>161</v>
      </c>
      <c r="D119" s="597" t="str">
        <f t="shared" si="49"/>
        <v>POLETTI  (Astoria)399Other Tangible Property</v>
      </c>
      <c r="E119" s="618" t="s">
        <v>1649</v>
      </c>
      <c r="F119" s="1224" t="str">
        <f>CONCATENATE("WP-BC, line ",VLOOKUP(D119,'WP-BC'!$A$18:$N$341,2,FALSE))</f>
        <v>WP-BC, line 12cr</v>
      </c>
      <c r="G119" s="1295">
        <v>399</v>
      </c>
      <c r="H119" s="1299" t="s">
        <v>161</v>
      </c>
      <c r="I119" s="1297" t="s">
        <v>84</v>
      </c>
      <c r="J119" s="396"/>
      <c r="K119" s="606">
        <f>VLOOKUP($D119,'WP-BC'!$A$1:$N$357,7,FALSE)</f>
        <v>322930</v>
      </c>
      <c r="L119" s="606">
        <f>VLOOKUP($D119,'WP-BC'!$A$1:$N$357,8,FALSE)</f>
        <v>322930</v>
      </c>
      <c r="M119" s="607">
        <f t="shared" si="46"/>
        <v>0</v>
      </c>
      <c r="N119" s="606">
        <f>VLOOKUP($D119,'WP-BC'!$A$1:$N$357,10,FALSE)</f>
        <v>0</v>
      </c>
      <c r="O119" s="606">
        <f>VLOOKUP($D119,'WP-BC'!$A$1:$N$357,11,FALSE)</f>
        <v>322930</v>
      </c>
      <c r="P119" s="606">
        <f>VLOOKUP($D119,'WP-BC'!$A$1:$N$357,12,FALSE)</f>
        <v>322930</v>
      </c>
      <c r="Q119" s="607">
        <f t="shared" si="47"/>
        <v>0</v>
      </c>
      <c r="R119" s="606">
        <f>VLOOKUP($D119,'WP-BC'!$A$1:$N$357,14,FALSE)</f>
        <v>0</v>
      </c>
      <c r="S119" s="403">
        <v>322930</v>
      </c>
      <c r="T119" s="404"/>
      <c r="U119" s="403">
        <v>322930</v>
      </c>
      <c r="V119" s="404"/>
      <c r="W119" s="403">
        <f t="shared" si="48"/>
        <v>0</v>
      </c>
    </row>
    <row r="120" spans="1:23" s="402" customFormat="1">
      <c r="A120" s="396"/>
      <c r="B120" s="397"/>
      <c r="C120" s="398"/>
      <c r="D120" s="597"/>
      <c r="E120" s="618" t="s">
        <v>541</v>
      </c>
      <c r="F120" s="1297"/>
      <c r="G120" s="1295"/>
      <c r="H120" s="1298"/>
      <c r="I120" s="1297"/>
      <c r="J120" s="396"/>
      <c r="K120" s="608" t="s">
        <v>1165</v>
      </c>
      <c r="L120" s="608" t="s">
        <v>1165</v>
      </c>
      <c r="M120" s="608" t="s">
        <v>1165</v>
      </c>
      <c r="N120" s="608" t="s">
        <v>1165</v>
      </c>
      <c r="O120" s="608" t="s">
        <v>1165</v>
      </c>
      <c r="P120" s="608" t="s">
        <v>1165</v>
      </c>
      <c r="Q120" s="608" t="s">
        <v>1165</v>
      </c>
      <c r="R120" s="608" t="s">
        <v>1165</v>
      </c>
      <c r="S120" s="400"/>
      <c r="T120" s="401"/>
      <c r="U120" s="400"/>
      <c r="V120" s="401"/>
      <c r="W120" s="400"/>
    </row>
    <row r="121" spans="1:23" s="402" customFormat="1">
      <c r="A121" s="396"/>
      <c r="B121" s="397"/>
      <c r="C121" s="398"/>
      <c r="D121" s="597"/>
      <c r="E121" s="618"/>
      <c r="F121" s="618"/>
      <c r="G121" s="399"/>
      <c r="H121" s="396"/>
      <c r="I121" s="396"/>
      <c r="J121" s="396"/>
      <c r="K121" s="606"/>
      <c r="L121" s="606"/>
      <c r="M121" s="606"/>
      <c r="N121" s="606"/>
      <c r="O121" s="606"/>
      <c r="P121" s="606"/>
      <c r="Q121" s="606"/>
      <c r="R121" s="606"/>
      <c r="S121" s="400"/>
      <c r="T121" s="401"/>
      <c r="U121" s="400"/>
      <c r="V121" s="401"/>
      <c r="W121" s="400"/>
    </row>
    <row r="122" spans="1:23" s="402" customFormat="1">
      <c r="A122" s="396"/>
      <c r="B122" s="396"/>
      <c r="C122" s="405"/>
      <c r="D122" s="597" t="str">
        <f t="shared" si="49"/>
        <v>SUBTOTAL Poletti</v>
      </c>
      <c r="E122" s="622">
        <v>21</v>
      </c>
      <c r="F122" s="622"/>
      <c r="G122" s="406" t="s">
        <v>238</v>
      </c>
      <c r="H122" s="396"/>
      <c r="I122" s="396"/>
      <c r="J122" s="396"/>
      <c r="K122" s="605">
        <f>SUM(K109:K120)</f>
        <v>10645644.76</v>
      </c>
      <c r="L122" s="605">
        <f t="shared" ref="L122:R122" si="50">SUM(L109:L120)</f>
        <v>8124937.5099999998</v>
      </c>
      <c r="M122" s="605">
        <f t="shared" si="50"/>
        <v>2520707.2499999991</v>
      </c>
      <c r="N122" s="605">
        <f t="shared" si="50"/>
        <v>105659</v>
      </c>
      <c r="O122" s="605">
        <f t="shared" si="50"/>
        <v>10638429.76</v>
      </c>
      <c r="P122" s="605">
        <f t="shared" si="50"/>
        <v>8019278.5099999998</v>
      </c>
      <c r="Q122" s="605">
        <f t="shared" si="50"/>
        <v>2619151.2499999991</v>
      </c>
      <c r="R122" s="605">
        <f t="shared" si="50"/>
        <v>104335.08</v>
      </c>
      <c r="S122" s="410">
        <f t="shared" ref="S122" si="51">SUM(S109:S119)</f>
        <v>8082687.1500000004</v>
      </c>
      <c r="T122" s="401"/>
      <c r="U122" s="410">
        <f>SUM(U109:U119)</f>
        <v>7614697.9100000001</v>
      </c>
      <c r="V122" s="401"/>
      <c r="W122" s="410">
        <f>SUM(W109:W119)</f>
        <v>467989.2399999997</v>
      </c>
    </row>
    <row r="123" spans="1:23" s="116" customFormat="1" ht="24.75" customHeight="1">
      <c r="A123" s="197"/>
      <c r="B123" s="197"/>
      <c r="C123" s="199"/>
      <c r="D123" s="597" t="str">
        <f t="shared" si="49"/>
        <v/>
      </c>
      <c r="E123" s="622">
        <v>22</v>
      </c>
      <c r="F123" s="618"/>
      <c r="G123" s="202"/>
      <c r="H123" s="197"/>
      <c r="I123" s="197"/>
      <c r="J123" s="197"/>
      <c r="K123" s="609"/>
      <c r="L123" s="609"/>
      <c r="M123" s="609"/>
      <c r="N123" s="609"/>
      <c r="O123" s="609"/>
      <c r="P123" s="609"/>
      <c r="Q123" s="609"/>
      <c r="R123" s="609"/>
      <c r="S123" s="125"/>
      <c r="T123" s="123"/>
      <c r="U123" s="125"/>
      <c r="V123" s="123"/>
      <c r="W123" s="125"/>
    </row>
    <row r="124" spans="1:23" s="402" customFormat="1">
      <c r="A124" s="396" t="s">
        <v>148</v>
      </c>
      <c r="B124" s="397" t="s">
        <v>244</v>
      </c>
      <c r="C124" s="398" t="s">
        <v>159</v>
      </c>
      <c r="D124" s="597" t="str">
        <f t="shared" si="49"/>
        <v>BRENTWOOD  (Long Island)398Miscellaneous Equipment</v>
      </c>
      <c r="E124" s="618" t="s">
        <v>1321</v>
      </c>
      <c r="F124" s="1224" t="str">
        <f>CONCATENATE("WP-BC, line ",VLOOKUP(D124,'WP-BC'!$A$18:$N$341,2,FALSE))</f>
        <v>WP-BC, line 12bn</v>
      </c>
      <c r="G124" s="1295">
        <v>398</v>
      </c>
      <c r="H124" s="1299" t="s">
        <v>159</v>
      </c>
      <c r="I124" s="1297" t="s">
        <v>83</v>
      </c>
      <c r="J124" s="396"/>
      <c r="K124" s="606">
        <f>VLOOKUP($D124,'WP-BC'!$A$1:$N$357,7,FALSE)</f>
        <v>181336.84</v>
      </c>
      <c r="L124" s="606">
        <f>VLOOKUP($D124,'WP-BC'!$A$1:$N$357,8,FALSE)</f>
        <v>181337.84</v>
      </c>
      <c r="M124" s="607">
        <f t="shared" ref="M124:M136" si="52">+K124-L124</f>
        <v>-1</v>
      </c>
      <c r="N124" s="606">
        <f>VLOOKUP($D124,'WP-BC'!$A$1:$N$357,10,FALSE)</f>
        <v>0</v>
      </c>
      <c r="O124" s="606">
        <f>VLOOKUP($D124,'WP-BC'!$A$1:$N$357,11,FALSE)</f>
        <v>181336.84</v>
      </c>
      <c r="P124" s="606">
        <f>VLOOKUP($D124,'WP-BC'!$A$1:$N$357,12,FALSE)</f>
        <v>181337.84</v>
      </c>
      <c r="Q124" s="607">
        <f t="shared" ref="Q124:Q136" si="53">+O124-P124</f>
        <v>-1</v>
      </c>
      <c r="R124" s="606">
        <f>VLOOKUP($D124,'WP-BC'!$A$1:$N$357,14,FALSE)</f>
        <v>0</v>
      </c>
      <c r="S124" s="400">
        <v>181336.84</v>
      </c>
      <c r="T124" s="401"/>
      <c r="U124" s="400">
        <v>147903.84</v>
      </c>
      <c r="V124" s="401"/>
      <c r="W124" s="400">
        <f t="shared" ref="W124:W136" si="54">+S124-U124</f>
        <v>33433</v>
      </c>
    </row>
    <row r="125" spans="1:23" s="402" customFormat="1">
      <c r="A125" s="396" t="s">
        <v>148</v>
      </c>
      <c r="B125" s="397" t="s">
        <v>244</v>
      </c>
      <c r="C125" s="398" t="s">
        <v>156</v>
      </c>
      <c r="D125" s="597" t="str">
        <f t="shared" si="49"/>
        <v>GOWANUS  (Brooklyn)396Power Operated Equipment</v>
      </c>
      <c r="E125" s="618" t="s">
        <v>1322</v>
      </c>
      <c r="F125" s="1224" t="str">
        <f>CONCATENATE("WP-BC, line ",VLOOKUP(D125,'WP-BC'!$A$18:$N$341,2,FALSE))</f>
        <v>WP-BC, line 12by</v>
      </c>
      <c r="G125" s="1295">
        <v>396</v>
      </c>
      <c r="H125" s="1299" t="s">
        <v>156</v>
      </c>
      <c r="I125" s="1297" t="s">
        <v>81</v>
      </c>
      <c r="J125" s="396"/>
      <c r="K125" s="606">
        <f>VLOOKUP($D125,'WP-BC'!$A$1:$N$357,7,FALSE)</f>
        <v>28597</v>
      </c>
      <c r="L125" s="606">
        <f>VLOOKUP($D125,'WP-BC'!$A$1:$N$357,8,FALSE)</f>
        <v>26194</v>
      </c>
      <c r="M125" s="607">
        <f t="shared" si="52"/>
        <v>2403</v>
      </c>
      <c r="N125" s="606">
        <f>VLOOKUP($D125,'WP-BC'!$A$1:$N$357,10,FALSE)</f>
        <v>672</v>
      </c>
      <c r="O125" s="606">
        <f>VLOOKUP($D125,'WP-BC'!$A$1:$N$357,11,FALSE)</f>
        <v>28597</v>
      </c>
      <c r="P125" s="606">
        <f>VLOOKUP($D125,'WP-BC'!$A$1:$N$357,12,FALSE)</f>
        <v>25522</v>
      </c>
      <c r="Q125" s="607">
        <f t="shared" si="53"/>
        <v>3075</v>
      </c>
      <c r="R125" s="606">
        <f>VLOOKUP($D125,'WP-BC'!$A$1:$N$357,14,FALSE)</f>
        <v>672</v>
      </c>
      <c r="S125" s="400">
        <v>21882</v>
      </c>
      <c r="T125" s="401"/>
      <c r="U125" s="400">
        <v>11675</v>
      </c>
      <c r="V125" s="401"/>
      <c r="W125" s="400">
        <f t="shared" si="54"/>
        <v>10207</v>
      </c>
    </row>
    <row r="126" spans="1:23" s="402" customFormat="1">
      <c r="A126" s="396" t="s">
        <v>148</v>
      </c>
      <c r="B126" s="397" t="s">
        <v>244</v>
      </c>
      <c r="C126" s="398" t="s">
        <v>156</v>
      </c>
      <c r="D126" s="597" t="str">
        <f t="shared" si="49"/>
        <v>GOWANUS  (Brooklyn)398Miscellaneous Equipment</v>
      </c>
      <c r="E126" s="618" t="s">
        <v>1323</v>
      </c>
      <c r="F126" s="1224" t="str">
        <f>CONCATENATE("WP-BC, line ",VLOOKUP(D126,'WP-BC'!$A$18:$N$341,2,FALSE))</f>
        <v>WP-BC, line 12bz</v>
      </c>
      <c r="G126" s="1295">
        <v>398</v>
      </c>
      <c r="H126" s="1299" t="s">
        <v>156</v>
      </c>
      <c r="I126" s="1297" t="s">
        <v>83</v>
      </c>
      <c r="J126" s="396"/>
      <c r="K126" s="606">
        <f>VLOOKUP($D126,'WP-BC'!$A$1:$N$357,7,FALSE)</f>
        <v>427955.33999999997</v>
      </c>
      <c r="L126" s="606">
        <f>VLOOKUP($D126,'WP-BC'!$A$1:$N$357,8,FALSE)</f>
        <v>427955.33999999997</v>
      </c>
      <c r="M126" s="607">
        <f t="shared" si="52"/>
        <v>0</v>
      </c>
      <c r="N126" s="606">
        <f>VLOOKUP($D126,'WP-BC'!$A$1:$N$357,10,FALSE)</f>
        <v>0</v>
      </c>
      <c r="O126" s="606">
        <f>VLOOKUP($D126,'WP-BC'!$A$1:$N$357,11,FALSE)</f>
        <v>427955.33999999997</v>
      </c>
      <c r="P126" s="606">
        <f>VLOOKUP($D126,'WP-BC'!$A$1:$N$357,12,FALSE)</f>
        <v>427955.33999999997</v>
      </c>
      <c r="Q126" s="607">
        <f t="shared" si="53"/>
        <v>0</v>
      </c>
      <c r="R126" s="606">
        <f>VLOOKUP($D126,'WP-BC'!$A$1:$N$357,14,FALSE)</f>
        <v>0</v>
      </c>
      <c r="S126" s="400">
        <v>427955.33999999997</v>
      </c>
      <c r="T126" s="401"/>
      <c r="U126" s="400">
        <v>373839.33999999997</v>
      </c>
      <c r="V126" s="401"/>
      <c r="W126" s="400">
        <f t="shared" si="54"/>
        <v>54116</v>
      </c>
    </row>
    <row r="127" spans="1:23" s="402" customFormat="1">
      <c r="A127" s="396" t="s">
        <v>148</v>
      </c>
      <c r="B127" s="397" t="s">
        <v>244</v>
      </c>
      <c r="C127" s="398" t="s">
        <v>157</v>
      </c>
      <c r="D127" s="597" t="str">
        <f t="shared" si="49"/>
        <v>HARLEM RIVER YARDS  (Bronx)396Power Operated Equipment</v>
      </c>
      <c r="E127" s="618" t="s">
        <v>1324</v>
      </c>
      <c r="F127" s="1224" t="str">
        <f>CONCATENATE("WP-BC, line ",VLOOKUP(D127,'WP-BC'!$A$18:$N$341,2,FALSE))</f>
        <v>WP-BC, line 12ca</v>
      </c>
      <c r="G127" s="1295">
        <v>396</v>
      </c>
      <c r="H127" s="1299" t="s">
        <v>157</v>
      </c>
      <c r="I127" s="1297" t="s">
        <v>81</v>
      </c>
      <c r="J127" s="396"/>
      <c r="K127" s="606">
        <f>VLOOKUP($D127,'WP-BC'!$A$1:$N$357,7,FALSE)</f>
        <v>21882</v>
      </c>
      <c r="L127" s="606">
        <f>VLOOKUP($D127,'WP-BC'!$A$1:$N$357,8,FALSE)</f>
        <v>21882</v>
      </c>
      <c r="M127" s="607">
        <f t="shared" si="52"/>
        <v>0</v>
      </c>
      <c r="N127" s="606">
        <f>VLOOKUP($D127,'WP-BC'!$A$1:$N$357,10,FALSE)</f>
        <v>0</v>
      </c>
      <c r="O127" s="606">
        <f>VLOOKUP($D127,'WP-BC'!$A$1:$N$357,11,FALSE)</f>
        <v>21882</v>
      </c>
      <c r="P127" s="606">
        <f>VLOOKUP($D127,'WP-BC'!$A$1:$N$357,12,FALSE)</f>
        <v>21882</v>
      </c>
      <c r="Q127" s="607">
        <f t="shared" si="53"/>
        <v>0</v>
      </c>
      <c r="R127" s="606">
        <f>VLOOKUP($D127,'WP-BC'!$A$1:$N$357,14,FALSE)</f>
        <v>0</v>
      </c>
      <c r="S127" s="400">
        <v>21882</v>
      </c>
      <c r="T127" s="401"/>
      <c r="U127" s="400">
        <v>11675</v>
      </c>
      <c r="V127" s="401"/>
      <c r="W127" s="400">
        <f t="shared" si="54"/>
        <v>10207</v>
      </c>
    </row>
    <row r="128" spans="1:23" s="402" customFormat="1">
      <c r="A128" s="396" t="s">
        <v>148</v>
      </c>
      <c r="B128" s="397" t="s">
        <v>244</v>
      </c>
      <c r="C128" s="398" t="s">
        <v>157</v>
      </c>
      <c r="D128" s="597" t="str">
        <f t="shared" si="49"/>
        <v>HARLEM RIVER YARDS  (Bronx)398Miscellaneous Equipment</v>
      </c>
      <c r="E128" s="618" t="s">
        <v>1325</v>
      </c>
      <c r="F128" s="1224" t="str">
        <f>CONCATENATE("WP-BC, line ",VLOOKUP(D128,'WP-BC'!$A$18:$N$341,2,FALSE))</f>
        <v>WP-BC, line 12cb</v>
      </c>
      <c r="G128" s="1295">
        <v>398</v>
      </c>
      <c r="H128" s="1299" t="s">
        <v>157</v>
      </c>
      <c r="I128" s="1297" t="s">
        <v>83</v>
      </c>
      <c r="J128" s="396"/>
      <c r="K128" s="606">
        <f>VLOOKUP($D128,'WP-BC'!$A$1:$N$357,7,FALSE)</f>
        <v>1166179.73</v>
      </c>
      <c r="L128" s="606">
        <f>VLOOKUP($D128,'WP-BC'!$A$1:$N$357,8,FALSE)</f>
        <v>1166179.73</v>
      </c>
      <c r="M128" s="607">
        <f t="shared" si="52"/>
        <v>0</v>
      </c>
      <c r="N128" s="606">
        <f>VLOOKUP($D128,'WP-BC'!$A$1:$N$357,10,FALSE)</f>
        <v>0</v>
      </c>
      <c r="O128" s="606">
        <f>VLOOKUP($D128,'WP-BC'!$A$1:$N$357,11,FALSE)</f>
        <v>1166179.73</v>
      </c>
      <c r="P128" s="606">
        <f>VLOOKUP($D128,'WP-BC'!$A$1:$N$357,12,FALSE)</f>
        <v>1166179.73</v>
      </c>
      <c r="Q128" s="607">
        <f t="shared" si="53"/>
        <v>0</v>
      </c>
      <c r="R128" s="606">
        <f>VLOOKUP($D128,'WP-BC'!$A$1:$N$357,14,FALSE)</f>
        <v>0</v>
      </c>
      <c r="S128" s="400">
        <v>860179.7300000001</v>
      </c>
      <c r="T128" s="401"/>
      <c r="U128" s="400">
        <v>503709.73</v>
      </c>
      <c r="V128" s="401"/>
      <c r="W128" s="400">
        <f t="shared" si="54"/>
        <v>356470.00000000012</v>
      </c>
    </row>
    <row r="129" spans="1:25" s="402" customFormat="1">
      <c r="A129" s="396" t="s">
        <v>148</v>
      </c>
      <c r="B129" s="397" t="s">
        <v>244</v>
      </c>
      <c r="C129" s="398" t="s">
        <v>158</v>
      </c>
      <c r="D129" s="597" t="str">
        <f t="shared" si="49"/>
        <v>HELLGATE  (Bronx)396Power Operated Equipment</v>
      </c>
      <c r="E129" s="618" t="s">
        <v>1326</v>
      </c>
      <c r="F129" s="1224" t="str">
        <f>CONCATENATE("WP-BC, line ",VLOOKUP(D129,'WP-BC'!$A$18:$N$341,2,FALSE))</f>
        <v>WP-BC, line 12cc</v>
      </c>
      <c r="G129" s="1295">
        <v>396</v>
      </c>
      <c r="H129" s="1299" t="s">
        <v>158</v>
      </c>
      <c r="I129" s="1297" t="s">
        <v>81</v>
      </c>
      <c r="J129" s="396"/>
      <c r="K129" s="606">
        <f>VLOOKUP($D129,'WP-BC'!$A$1:$N$357,7,FALSE)</f>
        <v>22076</v>
      </c>
      <c r="L129" s="606">
        <f>VLOOKUP($D129,'WP-BC'!$A$1:$N$357,8,FALSE)</f>
        <v>22076</v>
      </c>
      <c r="M129" s="607">
        <f t="shared" si="52"/>
        <v>0</v>
      </c>
      <c r="N129" s="606">
        <f>VLOOKUP($D129,'WP-BC'!$A$1:$N$357,10,FALSE)</f>
        <v>0</v>
      </c>
      <c r="O129" s="606">
        <f>VLOOKUP($D129,'WP-BC'!$A$1:$N$357,11,FALSE)</f>
        <v>22076</v>
      </c>
      <c r="P129" s="606">
        <f>VLOOKUP($D129,'WP-BC'!$A$1:$N$357,12,FALSE)</f>
        <v>22076</v>
      </c>
      <c r="Q129" s="607">
        <f t="shared" si="53"/>
        <v>0</v>
      </c>
      <c r="R129" s="606">
        <f>VLOOKUP($D129,'WP-BC'!$A$1:$N$357,14,FALSE)</f>
        <v>0</v>
      </c>
      <c r="S129" s="400">
        <v>22076</v>
      </c>
      <c r="T129" s="401"/>
      <c r="U129" s="400">
        <v>11776</v>
      </c>
      <c r="V129" s="401"/>
      <c r="W129" s="400">
        <f t="shared" si="54"/>
        <v>10300</v>
      </c>
    </row>
    <row r="130" spans="1:25" s="402" customFormat="1">
      <c r="A130" s="396" t="s">
        <v>148</v>
      </c>
      <c r="B130" s="397" t="s">
        <v>244</v>
      </c>
      <c r="C130" s="398" t="s">
        <v>158</v>
      </c>
      <c r="D130" s="597" t="str">
        <f t="shared" si="49"/>
        <v>HELLGATE  (Bronx)398Miscellaneous Equipment</v>
      </c>
      <c r="E130" s="618" t="s">
        <v>1327</v>
      </c>
      <c r="F130" s="1224" t="str">
        <f>CONCATENATE("WP-BC, line ",VLOOKUP(D130,'WP-BC'!$A$18:$N$341,2,FALSE))</f>
        <v>WP-BC, line 12cd</v>
      </c>
      <c r="G130" s="1295">
        <v>398</v>
      </c>
      <c r="H130" s="1299" t="s">
        <v>158</v>
      </c>
      <c r="I130" s="1297" t="s">
        <v>83</v>
      </c>
      <c r="J130" s="396"/>
      <c r="K130" s="606">
        <f>VLOOKUP($D130,'WP-BC'!$A$1:$N$357,7,FALSE)</f>
        <v>1272183.1099999999</v>
      </c>
      <c r="L130" s="606">
        <f>VLOOKUP($D130,'WP-BC'!$A$1:$N$357,8,FALSE)</f>
        <v>1272183.5899999999</v>
      </c>
      <c r="M130" s="607">
        <f t="shared" si="52"/>
        <v>-0.47999999998137355</v>
      </c>
      <c r="N130" s="606">
        <f>VLOOKUP($D130,'WP-BC'!$A$1:$N$357,10,FALSE)</f>
        <v>2489</v>
      </c>
      <c r="O130" s="606">
        <f>VLOOKUP($D130,'WP-BC'!$A$1:$N$357,11,FALSE)</f>
        <v>1272183.1099999999</v>
      </c>
      <c r="P130" s="606">
        <f>VLOOKUP($D130,'WP-BC'!$A$1:$N$357,12,FALSE)</f>
        <v>1269694.5899999999</v>
      </c>
      <c r="Q130" s="607">
        <f t="shared" si="53"/>
        <v>2488.5200000000186</v>
      </c>
      <c r="R130" s="606">
        <f>VLOOKUP($D130,'WP-BC'!$A$1:$N$357,14,FALSE)</f>
        <v>3330</v>
      </c>
      <c r="S130" s="400">
        <v>1238891.6099999999</v>
      </c>
      <c r="T130" s="401"/>
      <c r="U130" s="400">
        <v>554089.09</v>
      </c>
      <c r="V130" s="401"/>
      <c r="W130" s="400">
        <f t="shared" si="54"/>
        <v>684802.5199999999</v>
      </c>
    </row>
    <row r="131" spans="1:25" s="402" customFormat="1">
      <c r="A131" s="396" t="s">
        <v>148</v>
      </c>
      <c r="B131" s="397" t="s">
        <v>244</v>
      </c>
      <c r="C131" s="398" t="s">
        <v>165</v>
      </c>
      <c r="D131" s="597" t="str">
        <f t="shared" si="49"/>
        <v>KENT  (Brooklyn)396Power Operated Equipment</v>
      </c>
      <c r="E131" s="618" t="s">
        <v>1650</v>
      </c>
      <c r="F131" s="1224" t="str">
        <f>CONCATENATE("WP-BC, line ",VLOOKUP(D131,'WP-BC'!$A$18:$N$341,2,FALSE))</f>
        <v>WP-BC, line 12cf</v>
      </c>
      <c r="G131" s="1295">
        <v>396</v>
      </c>
      <c r="H131" s="1299" t="s">
        <v>165</v>
      </c>
      <c r="I131" s="1297" t="s">
        <v>81</v>
      </c>
      <c r="J131" s="396"/>
      <c r="K131" s="606">
        <f>VLOOKUP($D131,'WP-BC'!$A$1:$N$357,7,FALSE)</f>
        <v>22076</v>
      </c>
      <c r="L131" s="606">
        <f>VLOOKUP($D131,'WP-BC'!$A$1:$N$357,8,FALSE)</f>
        <v>22076</v>
      </c>
      <c r="M131" s="607">
        <f t="shared" si="52"/>
        <v>0</v>
      </c>
      <c r="N131" s="606">
        <f>VLOOKUP($D131,'WP-BC'!$A$1:$N$357,10,FALSE)</f>
        <v>0</v>
      </c>
      <c r="O131" s="606">
        <f>VLOOKUP($D131,'WP-BC'!$A$1:$N$357,11,FALSE)</f>
        <v>22076</v>
      </c>
      <c r="P131" s="606">
        <f>VLOOKUP($D131,'WP-BC'!$A$1:$N$357,12,FALSE)</f>
        <v>22076</v>
      </c>
      <c r="Q131" s="607">
        <f t="shared" si="53"/>
        <v>0</v>
      </c>
      <c r="R131" s="606">
        <f>VLOOKUP($D131,'WP-BC'!$A$1:$N$357,14,FALSE)</f>
        <v>0</v>
      </c>
      <c r="S131" s="400">
        <v>22076</v>
      </c>
      <c r="T131" s="401"/>
      <c r="U131" s="400">
        <v>11776</v>
      </c>
      <c r="V131" s="401"/>
      <c r="W131" s="400">
        <f t="shared" si="54"/>
        <v>10300</v>
      </c>
    </row>
    <row r="132" spans="1:25" s="402" customFormat="1">
      <c r="A132" s="396" t="s">
        <v>148</v>
      </c>
      <c r="B132" s="397" t="s">
        <v>244</v>
      </c>
      <c r="C132" s="398" t="s">
        <v>165</v>
      </c>
      <c r="D132" s="597" t="str">
        <f t="shared" si="49"/>
        <v>KENT  (Brooklyn)398Miscellaneous Equipment</v>
      </c>
      <c r="E132" s="618" t="s">
        <v>1651</v>
      </c>
      <c r="F132" s="1224" t="str">
        <f>CONCATENATE("WP-BC, line ",VLOOKUP(D132,'WP-BC'!$A$18:$N$341,2,FALSE))</f>
        <v>WP-BC, line 12cg</v>
      </c>
      <c r="G132" s="1295">
        <v>398</v>
      </c>
      <c r="H132" s="1299" t="s">
        <v>165</v>
      </c>
      <c r="I132" s="1297" t="s">
        <v>83</v>
      </c>
      <c r="J132" s="396"/>
      <c r="K132" s="606">
        <f>VLOOKUP($D132,'WP-BC'!$A$1:$N$357,7,FALSE)</f>
        <v>228133.34</v>
      </c>
      <c r="L132" s="606">
        <f>VLOOKUP($D132,'WP-BC'!$A$1:$N$357,8,FALSE)</f>
        <v>228133.34</v>
      </c>
      <c r="M132" s="607">
        <f t="shared" si="52"/>
        <v>0</v>
      </c>
      <c r="N132" s="606">
        <f>VLOOKUP($D132,'WP-BC'!$A$1:$N$357,10,FALSE)</f>
        <v>0</v>
      </c>
      <c r="O132" s="606">
        <f>VLOOKUP($D132,'WP-BC'!$A$1:$N$357,11,FALSE)</f>
        <v>228133.34</v>
      </c>
      <c r="P132" s="606">
        <f>VLOOKUP($D132,'WP-BC'!$A$1:$N$357,12,FALSE)</f>
        <v>228133.34</v>
      </c>
      <c r="Q132" s="607">
        <f t="shared" si="53"/>
        <v>0</v>
      </c>
      <c r="R132" s="606">
        <f>VLOOKUP($D132,'WP-BC'!$A$1:$N$357,14,FALSE)</f>
        <v>0</v>
      </c>
      <c r="S132" s="400">
        <v>228133.34</v>
      </c>
      <c r="T132" s="401"/>
      <c r="U132" s="400">
        <v>196578.34</v>
      </c>
      <c r="V132" s="401"/>
      <c r="W132" s="400">
        <f t="shared" si="54"/>
        <v>31555</v>
      </c>
    </row>
    <row r="133" spans="1:25" s="402" customFormat="1">
      <c r="A133" s="396" t="s">
        <v>148</v>
      </c>
      <c r="B133" s="397" t="s">
        <v>244</v>
      </c>
      <c r="C133" s="398" t="s">
        <v>166</v>
      </c>
      <c r="D133" s="597" t="str">
        <f t="shared" si="49"/>
        <v>POUCH TERMINAL  (Richmond)396Power Operated Equipment</v>
      </c>
      <c r="E133" s="618" t="s">
        <v>1652</v>
      </c>
      <c r="F133" s="1224" t="str">
        <f>CONCATENATE("WP-BC, line ",VLOOKUP(D133,'WP-BC'!$A$18:$N$350,2,FALSE))</f>
        <v>WP-BC, line 12cs</v>
      </c>
      <c r="G133" s="1295">
        <v>396</v>
      </c>
      <c r="H133" s="1299" t="s">
        <v>166</v>
      </c>
      <c r="I133" s="1297" t="s">
        <v>81</v>
      </c>
      <c r="J133" s="396"/>
      <c r="K133" s="606">
        <f>VLOOKUP($D133,'WP-BC'!$A$1:$N$357,7,FALSE)</f>
        <v>22076</v>
      </c>
      <c r="L133" s="606">
        <f>VLOOKUP($D133,'WP-BC'!$A$1:$N$357,8,FALSE)</f>
        <v>22076</v>
      </c>
      <c r="M133" s="607">
        <f t="shared" si="52"/>
        <v>0</v>
      </c>
      <c r="N133" s="606">
        <f>VLOOKUP($D133,'WP-BC'!$A$1:$N$357,10,FALSE)</f>
        <v>0</v>
      </c>
      <c r="O133" s="606">
        <f>VLOOKUP($D133,'WP-BC'!$A$1:$N$357,11,FALSE)</f>
        <v>22076</v>
      </c>
      <c r="P133" s="606">
        <f>VLOOKUP($D133,'WP-BC'!$A$1:$N$357,12,FALSE)</f>
        <v>22076</v>
      </c>
      <c r="Q133" s="607">
        <f t="shared" si="53"/>
        <v>0</v>
      </c>
      <c r="R133" s="606">
        <f>VLOOKUP($D133,'WP-BC'!$A$1:$N$357,14,FALSE)</f>
        <v>0</v>
      </c>
      <c r="S133" s="400">
        <v>22076</v>
      </c>
      <c r="T133" s="401"/>
      <c r="U133" s="400">
        <v>11776</v>
      </c>
      <c r="V133" s="401"/>
      <c r="W133" s="400">
        <f t="shared" si="54"/>
        <v>10300</v>
      </c>
    </row>
    <row r="134" spans="1:25" s="402" customFormat="1">
      <c r="A134" s="396" t="s">
        <v>148</v>
      </c>
      <c r="B134" s="397" t="s">
        <v>244</v>
      </c>
      <c r="C134" s="398" t="s">
        <v>166</v>
      </c>
      <c r="D134" s="597" t="str">
        <f t="shared" si="49"/>
        <v>POUCH TERMINAL  (Richmond)398Miscellaneous Equipment</v>
      </c>
      <c r="E134" s="618" t="s">
        <v>1653</v>
      </c>
      <c r="F134" s="1224" t="str">
        <f>CONCATENATE("WP-BC, line ",VLOOKUP(D134,'WP-BC'!$A$18:$N$350,2,FALSE))</f>
        <v>WP-BC, line 12ct</v>
      </c>
      <c r="G134" s="1295">
        <v>398</v>
      </c>
      <c r="H134" s="1299" t="s">
        <v>166</v>
      </c>
      <c r="I134" s="1297" t="s">
        <v>83</v>
      </c>
      <c r="J134" s="396"/>
      <c r="K134" s="606">
        <f>VLOOKUP($D134,'WP-BC'!$A$1:$N$357,7,FALSE)</f>
        <v>313431</v>
      </c>
      <c r="L134" s="606">
        <f>VLOOKUP($D134,'WP-BC'!$A$1:$N$357,8,FALSE)</f>
        <v>171153</v>
      </c>
      <c r="M134" s="607">
        <f t="shared" si="52"/>
        <v>142278</v>
      </c>
      <c r="N134" s="606">
        <f>VLOOKUP($D134,'WP-BC'!$A$1:$N$357,10,FALSE)</f>
        <v>0</v>
      </c>
      <c r="O134" s="606">
        <f>VLOOKUP($D134,'WP-BC'!$A$1:$N$357,11,FALSE)</f>
        <v>313431</v>
      </c>
      <c r="P134" s="606">
        <f>VLOOKUP($D134,'WP-BC'!$A$1:$N$357,12,FALSE)</f>
        <v>171153</v>
      </c>
      <c r="Q134" s="607">
        <f t="shared" si="53"/>
        <v>142278</v>
      </c>
      <c r="R134" s="606">
        <f>VLOOKUP($D134,'WP-BC'!$A$1:$N$357,14,FALSE)</f>
        <v>0</v>
      </c>
      <c r="S134" s="400">
        <v>171154</v>
      </c>
      <c r="T134" s="401"/>
      <c r="U134" s="400">
        <v>151602</v>
      </c>
      <c r="V134" s="401"/>
      <c r="W134" s="400">
        <f t="shared" si="54"/>
        <v>19552</v>
      </c>
    </row>
    <row r="135" spans="1:25" s="402" customFormat="1">
      <c r="A135" s="396" t="s">
        <v>148</v>
      </c>
      <c r="B135" s="397" t="s">
        <v>244</v>
      </c>
      <c r="C135" s="398" t="s">
        <v>167</v>
      </c>
      <c r="D135" s="597" t="str">
        <f t="shared" si="49"/>
        <v>VERNON BOULEVARD  (Queens)396Power Operated Equipment</v>
      </c>
      <c r="E135" s="618" t="s">
        <v>1654</v>
      </c>
      <c r="F135" s="1224" t="str">
        <f>CONCATENATE("WP-BC, line ",VLOOKUP(D135,'WP-BC'!$A$18:$N$350,2,FALSE))</f>
        <v>WP-BC, line 12cu</v>
      </c>
      <c r="G135" s="1295">
        <v>396</v>
      </c>
      <c r="H135" s="1303" t="s">
        <v>167</v>
      </c>
      <c r="I135" s="1302" t="s">
        <v>81</v>
      </c>
      <c r="J135" s="396"/>
      <c r="K135" s="606">
        <f>VLOOKUP($D135,'WP-BC'!$A$1:$N$357,7,FALSE)</f>
        <v>22076</v>
      </c>
      <c r="L135" s="606">
        <f>VLOOKUP($D135,'WP-BC'!$A$1:$N$357,8,FALSE)</f>
        <v>11029</v>
      </c>
      <c r="M135" s="607">
        <f t="shared" si="52"/>
        <v>11047</v>
      </c>
      <c r="N135" s="606">
        <f>VLOOKUP($D135,'WP-BC'!$A$1:$N$357,10,FALSE)</f>
        <v>0</v>
      </c>
      <c r="O135" s="606">
        <f>VLOOKUP($D135,'WP-BC'!$A$1:$N$357,11,FALSE)</f>
        <v>22076</v>
      </c>
      <c r="P135" s="606">
        <f>VLOOKUP($D135,'WP-BC'!$A$1:$N$357,12,FALSE)</f>
        <v>11029</v>
      </c>
      <c r="Q135" s="607">
        <f t="shared" si="53"/>
        <v>11047</v>
      </c>
      <c r="R135" s="606">
        <f>VLOOKUP($D135,'WP-BC'!$A$1:$N$357,14,FALSE)</f>
        <v>0</v>
      </c>
      <c r="S135" s="400">
        <v>22076</v>
      </c>
      <c r="T135" s="401"/>
      <c r="U135" s="400">
        <v>5152</v>
      </c>
      <c r="V135" s="401"/>
      <c r="W135" s="400">
        <f t="shared" si="54"/>
        <v>16924</v>
      </c>
    </row>
    <row r="136" spans="1:25" s="402" customFormat="1">
      <c r="A136" s="396" t="s">
        <v>148</v>
      </c>
      <c r="B136" s="397" t="s">
        <v>244</v>
      </c>
      <c r="C136" s="398" t="s">
        <v>167</v>
      </c>
      <c r="D136" s="597" t="str">
        <f>CONCATENATE(H136,G136,I136)</f>
        <v>VERNON BOULEVARD  (Queens)398Miscellaneous Equipment</v>
      </c>
      <c r="E136" s="618" t="s">
        <v>1655</v>
      </c>
      <c r="F136" s="1224" t="str">
        <f>CONCATENATE("WP-BC, line ",VLOOKUP(D136,'WP-BC'!$A$18:$N$350,2,FALSE))</f>
        <v>WP-BC, line 12cv</v>
      </c>
      <c r="G136" s="1295">
        <v>398</v>
      </c>
      <c r="H136" s="1303" t="s">
        <v>167</v>
      </c>
      <c r="I136" s="1302" t="s">
        <v>83</v>
      </c>
      <c r="J136" s="396"/>
      <c r="K136" s="606">
        <f>VLOOKUP($D136,'WP-BC'!$A$1:$N$357,7,FALSE)</f>
        <v>245850</v>
      </c>
      <c r="L136" s="606">
        <f>VLOOKUP($D136,'WP-BC'!$A$1:$N$357,8,FALSE)</f>
        <v>100831</v>
      </c>
      <c r="M136" s="607">
        <f t="shared" si="52"/>
        <v>145019</v>
      </c>
      <c r="N136" s="606">
        <f>VLOOKUP($D136,'WP-BC'!$A$1:$N$357,10,FALSE)</f>
        <v>0</v>
      </c>
      <c r="O136" s="606">
        <f>VLOOKUP($D136,'WP-BC'!$A$1:$N$357,11,FALSE)</f>
        <v>245850</v>
      </c>
      <c r="P136" s="606">
        <f>VLOOKUP($D136,'WP-BC'!$A$1:$N$357,12,FALSE)</f>
        <v>100831</v>
      </c>
      <c r="Q136" s="607">
        <f t="shared" si="53"/>
        <v>145019</v>
      </c>
      <c r="R136" s="606">
        <f>VLOOKUP($D136,'WP-BC'!$A$1:$N$357,14,FALSE)</f>
        <v>0</v>
      </c>
      <c r="S136" s="403">
        <v>245850</v>
      </c>
      <c r="T136" s="404"/>
      <c r="U136" s="403">
        <v>83052</v>
      </c>
      <c r="V136" s="404"/>
      <c r="W136" s="403">
        <f t="shared" si="54"/>
        <v>162798</v>
      </c>
    </row>
    <row r="137" spans="1:25" s="402" customFormat="1">
      <c r="A137" s="396"/>
      <c r="B137" s="397"/>
      <c r="C137" s="398"/>
      <c r="D137" s="597"/>
      <c r="E137" s="618" t="s">
        <v>541</v>
      </c>
      <c r="F137" s="1297"/>
      <c r="G137" s="1295"/>
      <c r="H137" s="1298"/>
      <c r="I137" s="1297"/>
      <c r="J137" s="396"/>
      <c r="K137" s="608" t="s">
        <v>1165</v>
      </c>
      <c r="L137" s="608" t="s">
        <v>1165</v>
      </c>
      <c r="M137" s="608" t="s">
        <v>1165</v>
      </c>
      <c r="N137" s="608" t="s">
        <v>1165</v>
      </c>
      <c r="O137" s="608" t="s">
        <v>1165</v>
      </c>
      <c r="P137" s="608" t="s">
        <v>1165</v>
      </c>
      <c r="Q137" s="608" t="s">
        <v>1165</v>
      </c>
      <c r="R137" s="608" t="s">
        <v>1165</v>
      </c>
      <c r="S137" s="400"/>
      <c r="T137" s="401"/>
      <c r="U137" s="400"/>
      <c r="V137" s="401"/>
      <c r="W137" s="400"/>
    </row>
    <row r="138" spans="1:25" s="402" customFormat="1">
      <c r="A138" s="396"/>
      <c r="B138" s="397"/>
      <c r="C138" s="398"/>
      <c r="D138" s="597"/>
      <c r="E138" s="618"/>
      <c r="F138" s="618"/>
      <c r="G138" s="399"/>
      <c r="H138" s="396"/>
      <c r="I138" s="396"/>
      <c r="J138" s="396"/>
      <c r="K138" s="606"/>
      <c r="L138" s="606"/>
      <c r="M138" s="606"/>
      <c r="N138" s="606"/>
      <c r="O138" s="606"/>
      <c r="P138" s="606"/>
      <c r="Q138" s="606"/>
      <c r="R138" s="606"/>
      <c r="S138" s="400"/>
      <c r="T138" s="401"/>
      <c r="U138" s="400"/>
      <c r="V138" s="401"/>
      <c r="W138" s="400"/>
    </row>
    <row r="139" spans="1:25" s="116" customFormat="1">
      <c r="A139" s="197"/>
      <c r="B139" s="197"/>
      <c r="C139" s="199"/>
      <c r="D139" s="597" t="str">
        <f t="shared" si="49"/>
        <v>SUBTOTAL SCPP</v>
      </c>
      <c r="E139" s="622">
        <v>23</v>
      </c>
      <c r="F139" s="622"/>
      <c r="G139" s="203" t="s">
        <v>239</v>
      </c>
      <c r="H139" s="197"/>
      <c r="I139" s="197"/>
      <c r="J139" s="197"/>
      <c r="K139" s="610">
        <f>SUM(K124:K137)</f>
        <v>3973852.3599999994</v>
      </c>
      <c r="L139" s="610">
        <f t="shared" ref="L139:R139" si="55">SUM(L124:L137)</f>
        <v>3673106.84</v>
      </c>
      <c r="M139" s="610">
        <f t="shared" si="55"/>
        <v>300745.52</v>
      </c>
      <c r="N139" s="610">
        <f t="shared" si="55"/>
        <v>3161</v>
      </c>
      <c r="O139" s="610">
        <f t="shared" si="55"/>
        <v>3973852.3599999994</v>
      </c>
      <c r="P139" s="610">
        <f t="shared" si="55"/>
        <v>3669945.84</v>
      </c>
      <c r="Q139" s="610">
        <f t="shared" si="55"/>
        <v>303906.52</v>
      </c>
      <c r="R139" s="610">
        <f t="shared" si="55"/>
        <v>4002</v>
      </c>
      <c r="S139" s="124">
        <f t="shared" ref="S139" si="56">SUM(S124:S136)</f>
        <v>3485568.86</v>
      </c>
      <c r="U139" s="124">
        <f>SUM(U124:U136)</f>
        <v>2074604.34</v>
      </c>
      <c r="W139" s="124">
        <f>SUM(W124:W136)</f>
        <v>1410964.52</v>
      </c>
    </row>
    <row r="140" spans="1:25" s="116" customFormat="1">
      <c r="A140" s="197"/>
      <c r="B140" s="197"/>
      <c r="C140" s="199"/>
      <c r="D140" s="597"/>
      <c r="E140" s="622"/>
      <c r="F140" s="622"/>
      <c r="G140" s="203"/>
      <c r="H140" s="197"/>
      <c r="I140" s="197"/>
      <c r="J140" s="197"/>
      <c r="K140" s="610"/>
      <c r="L140" s="610"/>
      <c r="M140" s="610"/>
      <c r="N140" s="610"/>
      <c r="O140" s="610"/>
      <c r="P140" s="610"/>
      <c r="Q140" s="610"/>
      <c r="R140" s="610"/>
      <c r="S140" s="124"/>
      <c r="U140" s="124"/>
      <c r="W140" s="124"/>
    </row>
    <row r="141" spans="1:25" s="116" customFormat="1">
      <c r="A141" s="396"/>
      <c r="B141" s="397"/>
      <c r="C141" s="398"/>
      <c r="D141" s="597" t="str">
        <f t="shared" ref="D141" si="57">CONCATENATE(H141,G141,I141)</f>
        <v/>
      </c>
      <c r="E141" s="622">
        <v>24</v>
      </c>
      <c r="F141" s="622"/>
      <c r="G141" s="203"/>
      <c r="H141" s="197"/>
      <c r="I141" s="197"/>
      <c r="J141" s="197"/>
      <c r="K141" s="610"/>
      <c r="L141" s="610"/>
      <c r="M141" s="610"/>
      <c r="N141" s="610"/>
      <c r="O141" s="610"/>
      <c r="P141" s="610"/>
      <c r="Q141" s="610"/>
      <c r="R141" s="610"/>
      <c r="S141" s="124"/>
      <c r="U141" s="124"/>
      <c r="W141" s="124"/>
    </row>
    <row r="142" spans="1:25" s="402" customFormat="1">
      <c r="A142" s="396" t="s">
        <v>148</v>
      </c>
      <c r="B142" s="397" t="s">
        <v>244</v>
      </c>
      <c r="C142" s="398" t="s">
        <v>2044</v>
      </c>
      <c r="D142" s="597" t="str">
        <f>CONCATENATE(H142,G142,I142)</f>
        <v>New York Energy Manager121Non-utility Property</v>
      </c>
      <c r="E142" s="163" t="s">
        <v>1328</v>
      </c>
      <c r="F142" s="1224" t="str">
        <f>CONCATENATE("WP-BC, line ",VLOOKUP(D142,'WP-BC'!$A$18:$N$350,2,FALSE))</f>
        <v>WP-BC, line 12ch</v>
      </c>
      <c r="G142" s="1295">
        <v>121</v>
      </c>
      <c r="H142" s="1634" t="s">
        <v>2044</v>
      </c>
      <c r="I142" s="1633" t="s">
        <v>2046</v>
      </c>
      <c r="J142" s="396"/>
      <c r="K142" s="653">
        <f>VLOOKUP($D142,'WP-BC'!$A$1:$N$357,7,FALSE)</f>
        <v>597048.14580000006</v>
      </c>
      <c r="L142" s="653">
        <f>VLOOKUP($D142,'WP-BC'!$A$1:$N$357,8,FALSE)</f>
        <v>298101.92580000003</v>
      </c>
      <c r="M142" s="653">
        <f t="shared" ref="M142" si="58">+K142-L142</f>
        <v>298946.22000000003</v>
      </c>
      <c r="N142" s="653">
        <f>VLOOKUP($D142,'WP-BC'!$A$1:$N$357,10,FALSE)</f>
        <v>110284.2</v>
      </c>
      <c r="O142" s="653">
        <f>VLOOKUP($D142,'WP-BC'!$A$1:$N$357,11,FALSE)</f>
        <v>597048.14579999994</v>
      </c>
      <c r="P142" s="653">
        <f>VLOOKUP($D142,'WP-BC'!$A$1:$N$357,12,FALSE)</f>
        <v>187817.72580000001</v>
      </c>
      <c r="Q142" s="653">
        <f t="shared" ref="Q142" si="59">+O142-P142</f>
        <v>409230.41999999993</v>
      </c>
      <c r="R142" s="653">
        <f>VLOOKUP($D142,'WP-BC'!$A$1:$N$357,14,FALSE)</f>
        <v>111295.7292</v>
      </c>
      <c r="S142" s="124"/>
      <c r="T142" s="116"/>
      <c r="U142" s="124"/>
      <c r="V142" s="116"/>
      <c r="W142" s="124"/>
      <c r="X142" s="602"/>
      <c r="Y142" s="602"/>
    </row>
    <row r="143" spans="1:25" s="116" customFormat="1">
      <c r="A143" s="396" t="s">
        <v>148</v>
      </c>
      <c r="B143" s="397" t="s">
        <v>244</v>
      </c>
      <c r="C143" s="398" t="s">
        <v>2044</v>
      </c>
      <c r="D143" s="597" t="str">
        <f>CONCATENATE(H143,G143,I143)</f>
        <v>Evolve &amp; Re-Imagine121Non-utility Property</v>
      </c>
      <c r="E143" s="163" t="s">
        <v>1329</v>
      </c>
      <c r="F143" s="1224" t="str">
        <f>CONCATENATE("WP-BC, line ",VLOOKUP(D143,'WP-BC'!$A$18:$N$350,2,FALSE))</f>
        <v>WP-BC, line 12bo</v>
      </c>
      <c r="G143" s="1295">
        <v>121</v>
      </c>
      <c r="H143" s="1634" t="s">
        <v>2055</v>
      </c>
      <c r="I143" s="1633" t="s">
        <v>2046</v>
      </c>
      <c r="J143" s="396"/>
      <c r="K143" s="653">
        <f>VLOOKUP($D143,'WP-BC'!$A$1:$N$357,7,FALSE)</f>
        <v>14658133.5</v>
      </c>
      <c r="L143" s="653">
        <f>VLOOKUP($D143,'WP-BC'!$A$1:$N$357,8,FALSE)</f>
        <v>671036.54</v>
      </c>
      <c r="M143" s="653">
        <f t="shared" ref="M143" si="60">+K143-L143</f>
        <v>13987096.960000001</v>
      </c>
      <c r="N143" s="653">
        <f>VLOOKUP($D143,'WP-BC'!$A$1:$N$357,10,FALSE)</f>
        <v>671036.54</v>
      </c>
      <c r="O143" s="653">
        <f>VLOOKUP($D143,'WP-BC'!$A$1:$N$357,11,FALSE)</f>
        <v>0</v>
      </c>
      <c r="P143" s="653">
        <f>VLOOKUP($D143,'WP-BC'!$A$1:$N$357,12,FALSE)</f>
        <v>0</v>
      </c>
      <c r="Q143" s="653">
        <f t="shared" ref="Q143" si="61">+O143-P143</f>
        <v>0</v>
      </c>
      <c r="R143" s="653">
        <f>VLOOKUP($D143,'WP-BC'!$A$1:$N$357,14,FALSE)</f>
        <v>0</v>
      </c>
      <c r="S143" s="124"/>
      <c r="U143" s="124"/>
      <c r="W143" s="124"/>
    </row>
    <row r="144" spans="1:25" s="116" customFormat="1">
      <c r="A144" s="197"/>
      <c r="B144" s="197"/>
      <c r="C144" s="199"/>
      <c r="D144" s="597"/>
      <c r="E144" s="618"/>
      <c r="F144" s="618"/>
      <c r="G144" s="203"/>
      <c r="H144" s="197"/>
      <c r="I144" s="197"/>
      <c r="J144" s="197"/>
      <c r="K144" s="610"/>
      <c r="L144" s="610"/>
      <c r="M144" s="610"/>
      <c r="N144" s="610"/>
      <c r="O144" s="610"/>
      <c r="P144" s="610"/>
      <c r="Q144" s="610"/>
      <c r="R144" s="610"/>
      <c r="S144" s="124"/>
      <c r="U144" s="124"/>
      <c r="W144" s="124"/>
    </row>
    <row r="145" spans="1:25" s="116" customFormat="1">
      <c r="A145" s="396"/>
      <c r="B145" s="397"/>
      <c r="C145" s="398"/>
      <c r="D145" s="597" t="str">
        <f>CONCATENATE(H145,G145,I145)</f>
        <v/>
      </c>
      <c r="E145" s="163" t="s">
        <v>541</v>
      </c>
      <c r="F145" s="1224"/>
      <c r="G145" s="1295"/>
      <c r="H145" s="1634"/>
      <c r="I145" s="1633"/>
      <c r="J145" s="396"/>
      <c r="K145" s="653">
        <v>0</v>
      </c>
      <c r="L145" s="653">
        <v>0</v>
      </c>
      <c r="M145" s="653">
        <v>0</v>
      </c>
      <c r="N145" s="653">
        <v>0</v>
      </c>
      <c r="O145" s="653">
        <v>0</v>
      </c>
      <c r="P145" s="653">
        <v>0</v>
      </c>
      <c r="Q145" s="653">
        <v>0</v>
      </c>
      <c r="R145" s="653">
        <v>0</v>
      </c>
      <c r="S145" s="124"/>
      <c r="U145" s="124"/>
      <c r="W145" s="124"/>
    </row>
    <row r="146" spans="1:25" s="116" customFormat="1">
      <c r="A146" s="197"/>
      <c r="B146" s="197"/>
      <c r="C146" s="199"/>
      <c r="D146" s="597"/>
      <c r="E146" s="618"/>
      <c r="F146" s="618"/>
      <c r="G146" s="203"/>
      <c r="H146" s="197"/>
      <c r="I146" s="197"/>
      <c r="J146" s="197"/>
      <c r="K146" s="610"/>
      <c r="L146" s="610"/>
      <c r="M146" s="610"/>
      <c r="N146" s="610"/>
      <c r="O146" s="610"/>
      <c r="P146" s="610"/>
      <c r="Q146" s="610"/>
      <c r="R146" s="610"/>
      <c r="S146" s="124"/>
      <c r="U146" s="124"/>
      <c r="W146" s="124"/>
    </row>
    <row r="147" spans="1:25" s="197" customFormat="1" ht="18">
      <c r="C147" s="199"/>
      <c r="D147" s="199"/>
      <c r="E147" s="624">
        <v>25</v>
      </c>
      <c r="F147" s="619"/>
      <c r="G147" s="200" t="s">
        <v>160</v>
      </c>
      <c r="K147" s="610">
        <f>K88+K94+K107+K122+K139</f>
        <v>24715991.979999997</v>
      </c>
      <c r="L147" s="610">
        <f>L88+L94+L107+L122+L139</f>
        <v>16883098.149999999</v>
      </c>
      <c r="M147" s="610">
        <f t="shared" ref="M147:R147" si="62">M88+M94+M107+M122+M139</f>
        <v>7832893.8300000001</v>
      </c>
      <c r="N147" s="610">
        <f t="shared" si="62"/>
        <v>711787.34</v>
      </c>
      <c r="O147" s="610">
        <f t="shared" si="62"/>
        <v>21931392.140000001</v>
      </c>
      <c r="P147" s="610">
        <f t="shared" si="62"/>
        <v>16171310.809999999</v>
      </c>
      <c r="Q147" s="610">
        <f t="shared" si="62"/>
        <v>5760081.3300000001</v>
      </c>
      <c r="R147" s="610">
        <f t="shared" si="62"/>
        <v>592411.19999999995</v>
      </c>
      <c r="S147" s="1607">
        <f>S88+S94+S107+S122+S139</f>
        <v>13321260.369999999</v>
      </c>
      <c r="U147" s="1607">
        <f>U88+U94+U107+U122+U139</f>
        <v>10620710.58</v>
      </c>
      <c r="W147" s="1607">
        <f>W88+W94+W107+W122+W139</f>
        <v>2700549.79</v>
      </c>
      <c r="Y147" s="1608"/>
    </row>
    <row r="151" spans="1:25">
      <c r="H151" s="368"/>
    </row>
  </sheetData>
  <customSheetViews>
    <customSheetView guid="{B321D76C-CDE5-48BB-9CDE-80FF97D58FCF}" scale="70" showPageBreaks="1" fitToPage="1" printArea="1" hiddenColumns="1" view="pageBreakPreview" topLeftCell="I1">
      <selection activeCell="D33" sqref="D33"/>
      <rowBreaks count="2" manualBreakCount="2">
        <brk id="75" min="4" max="22" man="1"/>
        <brk id="119" min="4" max="23" man="1"/>
      </rowBreaks>
      <pageMargins left="0.25" right="0.25" top="0.25" bottom="0.25" header="0" footer="0.5"/>
      <printOptions horizontalCentered="1"/>
      <pageSetup scale="37" fitToHeight="0" orientation="landscape" r:id="rId1"/>
      <headerFooter alignWithMargins="0"/>
    </customSheetView>
  </customSheetViews>
  <mergeCells count="7">
    <mergeCell ref="K13:N13"/>
    <mergeCell ref="G4:Q4"/>
    <mergeCell ref="G5:Q5"/>
    <mergeCell ref="G6:Q6"/>
    <mergeCell ref="G8:Q8"/>
    <mergeCell ref="G9:Q9"/>
    <mergeCell ref="O13:R13"/>
  </mergeCells>
  <printOptions horizontalCentered="1"/>
  <pageMargins left="0.25" right="0.25" top="0.25" bottom="0.25" header="0" footer="0.5"/>
  <pageSetup scale="37" fitToHeight="0" orientation="landscape" r:id="rId2"/>
  <headerFooter alignWithMargins="0"/>
  <rowBreaks count="2" manualBreakCount="2">
    <brk id="75" min="4" max="22" man="1"/>
    <brk id="122" min="4" max="23"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0070C0"/>
    <pageSetUpPr fitToPage="1"/>
  </sheetPr>
  <dimension ref="A1:XFA366"/>
  <sheetViews>
    <sheetView view="pageBreakPreview" topLeftCell="B1" zoomScale="80" zoomScaleNormal="90" zoomScaleSheetLayoutView="80" workbookViewId="0">
      <selection activeCell="B349" sqref="B349"/>
    </sheetView>
  </sheetViews>
  <sheetFormatPr defaultColWidth="8.109375" defaultRowHeight="15" outlineLevelRow="1"/>
  <cols>
    <col min="1" max="1" width="60.44140625" style="1677" hidden="1" customWidth="1"/>
    <col min="2" max="2" width="8.109375" style="1648"/>
    <col min="3" max="3" width="14.77734375" style="783" customWidth="1"/>
    <col min="4" max="4" width="40.77734375" style="1648" customWidth="1"/>
    <col min="5" max="5" width="10.109375" style="783" customWidth="1"/>
    <col min="6" max="6" width="49.77734375" style="783" bestFit="1" customWidth="1"/>
    <col min="7" max="7" width="19.33203125" style="783" bestFit="1" customWidth="1"/>
    <col min="8" max="8" width="23.109375" style="783" customWidth="1"/>
    <col min="9" max="9" width="19.33203125" style="783" bestFit="1" customWidth="1"/>
    <col min="10" max="10" width="19.5546875" style="783" customWidth="1"/>
    <col min="11" max="11" width="29.109375" style="783" customWidth="1"/>
    <col min="12" max="12" width="22.33203125" style="783" customWidth="1"/>
    <col min="13" max="13" width="24" style="783" customWidth="1"/>
    <col min="14" max="14" width="19.77734375" style="783" customWidth="1"/>
    <col min="15" max="15" width="8.109375" customWidth="1"/>
    <col min="16" max="19" width="17.33203125" customWidth="1"/>
    <col min="20" max="23" width="17.21875" customWidth="1"/>
    <col min="27" max="16384" width="8.109375" style="1678"/>
  </cols>
  <sheetData>
    <row r="1" spans="1:26" s="1614" customFormat="1" ht="25.5" customHeight="1">
      <c r="A1" s="1609"/>
      <c r="B1" s="1610"/>
      <c r="C1" s="1611" t="s">
        <v>964</v>
      </c>
      <c r="D1" s="1612"/>
      <c r="E1" s="1613"/>
      <c r="F1" s="1613"/>
      <c r="G1" s="764"/>
      <c r="H1" s="765"/>
      <c r="I1" s="764"/>
      <c r="J1" s="764"/>
      <c r="K1" s="764"/>
      <c r="L1" s="764"/>
      <c r="M1" s="764"/>
      <c r="N1" s="764"/>
      <c r="O1"/>
      <c r="P1"/>
      <c r="Q1"/>
      <c r="R1"/>
      <c r="S1"/>
      <c r="T1"/>
      <c r="U1"/>
      <c r="V1"/>
      <c r="W1"/>
      <c r="X1"/>
      <c r="Y1"/>
      <c r="Z1"/>
    </row>
    <row r="2" spans="1:26" s="1619" customFormat="1" ht="17.399999999999999">
      <c r="A2" s="1615"/>
      <c r="B2" s="1616"/>
      <c r="C2" s="1617"/>
      <c r="D2" s="1543"/>
      <c r="E2" s="1618"/>
      <c r="F2" s="1543"/>
      <c r="G2" s="766"/>
      <c r="H2" s="766"/>
      <c r="I2" s="767"/>
      <c r="J2" s="767"/>
      <c r="K2" s="767"/>
      <c r="L2" s="767"/>
      <c r="M2" s="767"/>
      <c r="N2" s="767"/>
      <c r="O2"/>
      <c r="P2"/>
      <c r="Q2"/>
      <c r="R2"/>
      <c r="S2"/>
      <c r="T2"/>
      <c r="U2"/>
      <c r="V2"/>
      <c r="W2"/>
      <c r="X2"/>
      <c r="Y2"/>
      <c r="Z2"/>
    </row>
    <row r="3" spans="1:26" s="1619" customFormat="1" ht="17.399999999999999">
      <c r="A3" s="1615"/>
      <c r="B3" s="1616"/>
      <c r="C3" s="2049" t="s">
        <v>200</v>
      </c>
      <c r="D3" s="2049"/>
      <c r="E3" s="2049"/>
      <c r="F3" s="2049"/>
      <c r="G3" s="2049"/>
      <c r="H3" s="2049"/>
      <c r="I3" s="2049"/>
      <c r="J3" s="2049"/>
      <c r="K3" s="2049"/>
      <c r="L3" s="2049"/>
      <c r="M3" s="2049"/>
      <c r="N3" s="1620"/>
      <c r="O3"/>
      <c r="P3"/>
      <c r="Q3"/>
      <c r="R3"/>
      <c r="S3"/>
      <c r="T3"/>
      <c r="U3"/>
      <c r="V3"/>
      <c r="W3"/>
      <c r="X3"/>
      <c r="Y3"/>
      <c r="Z3"/>
    </row>
    <row r="4" spans="1:26" s="1619" customFormat="1" ht="17.399999999999999">
      <c r="A4" s="1615"/>
      <c r="B4" s="1616"/>
      <c r="C4" s="2049" t="s">
        <v>103</v>
      </c>
      <c r="D4" s="2049"/>
      <c r="E4" s="2049"/>
      <c r="F4" s="2049"/>
      <c r="G4" s="2049"/>
      <c r="H4" s="2049"/>
      <c r="I4" s="2049"/>
      <c r="J4" s="2049"/>
      <c r="K4" s="2049"/>
      <c r="L4" s="2049"/>
      <c r="M4" s="2049"/>
      <c r="N4" s="1620"/>
      <c r="O4"/>
      <c r="P4"/>
      <c r="Q4"/>
      <c r="R4"/>
      <c r="S4"/>
      <c r="T4"/>
      <c r="U4"/>
      <c r="V4"/>
      <c r="W4"/>
      <c r="X4"/>
      <c r="Y4"/>
      <c r="Z4"/>
    </row>
    <row r="5" spans="1:26" s="1619" customFormat="1" ht="17.399999999999999">
      <c r="A5" s="1615"/>
      <c r="B5" s="1616"/>
      <c r="C5" s="2031" t="str">
        <f>SUMMARY!A7</f>
        <v>YEAR ENDING DECEMBER 31, 2021</v>
      </c>
      <c r="D5" s="2031"/>
      <c r="E5" s="2031"/>
      <c r="F5" s="2031"/>
      <c r="G5" s="2031"/>
      <c r="H5" s="2031"/>
      <c r="I5" s="2031"/>
      <c r="J5" s="2031"/>
      <c r="K5" s="2031"/>
      <c r="L5" s="2031"/>
      <c r="M5" s="2031"/>
      <c r="N5" s="1621"/>
      <c r="O5"/>
      <c r="P5"/>
      <c r="Q5"/>
      <c r="R5"/>
      <c r="S5"/>
      <c r="T5"/>
      <c r="U5"/>
      <c r="V5"/>
      <c r="W5"/>
      <c r="X5"/>
      <c r="Y5"/>
      <c r="Z5"/>
    </row>
    <row r="6" spans="1:26" s="1619" customFormat="1" ht="12" customHeight="1">
      <c r="A6" s="1615"/>
      <c r="B6" s="1616"/>
      <c r="C6" s="1543"/>
      <c r="D6" s="1543"/>
      <c r="E6" s="1622"/>
      <c r="F6" s="1543"/>
      <c r="G6" s="766"/>
      <c r="H6" s="766"/>
      <c r="I6" s="767"/>
      <c r="J6" s="767"/>
      <c r="K6" s="767"/>
      <c r="L6" s="767"/>
      <c r="M6" s="767"/>
      <c r="N6" s="767"/>
      <c r="O6"/>
      <c r="P6"/>
      <c r="Q6"/>
      <c r="R6"/>
      <c r="S6"/>
      <c r="T6"/>
      <c r="U6"/>
      <c r="V6"/>
      <c r="W6"/>
      <c r="X6"/>
      <c r="Y6"/>
      <c r="Z6"/>
    </row>
    <row r="7" spans="1:26" s="1619" customFormat="1" ht="17.399999999999999">
      <c r="A7" s="1615"/>
      <c r="B7" s="1616"/>
      <c r="C7" s="2050" t="s">
        <v>965</v>
      </c>
      <c r="D7" s="2050"/>
      <c r="E7" s="2050"/>
      <c r="F7" s="2050"/>
      <c r="G7" s="2050"/>
      <c r="H7" s="2050"/>
      <c r="I7" s="2050"/>
      <c r="J7" s="2050"/>
      <c r="K7" s="2050"/>
      <c r="L7" s="2050"/>
      <c r="M7" s="2050"/>
      <c r="N7" s="1623"/>
      <c r="O7"/>
      <c r="P7"/>
      <c r="Q7"/>
      <c r="R7"/>
      <c r="S7"/>
      <c r="T7"/>
      <c r="U7"/>
      <c r="V7"/>
      <c r="W7"/>
      <c r="X7"/>
      <c r="Y7"/>
      <c r="Z7"/>
    </row>
    <row r="8" spans="1:26" s="1619" customFormat="1" ht="17.399999999999999">
      <c r="A8" s="1615"/>
      <c r="B8" s="1616"/>
      <c r="C8" s="2049" t="s">
        <v>735</v>
      </c>
      <c r="D8" s="2049"/>
      <c r="E8" s="2049"/>
      <c r="F8" s="2049"/>
      <c r="G8" s="2049"/>
      <c r="H8" s="2049"/>
      <c r="I8" s="2049"/>
      <c r="J8" s="2049"/>
      <c r="K8" s="2049"/>
      <c r="L8" s="2049"/>
      <c r="M8" s="2049"/>
      <c r="N8" s="1620"/>
      <c r="O8"/>
      <c r="P8"/>
      <c r="Q8"/>
      <c r="R8"/>
      <c r="S8"/>
      <c r="T8"/>
      <c r="U8"/>
      <c r="V8"/>
      <c r="W8"/>
      <c r="X8"/>
      <c r="Y8"/>
      <c r="Z8"/>
    </row>
    <row r="9" spans="1:26" s="155" customFormat="1">
      <c r="A9" s="594"/>
      <c r="B9" s="628"/>
      <c r="C9" s="628"/>
      <c r="D9" s="628"/>
      <c r="E9" s="1624"/>
      <c r="F9" s="1624"/>
      <c r="G9" s="370"/>
      <c r="H9" s="370"/>
      <c r="I9" s="370"/>
      <c r="J9" s="370"/>
      <c r="K9" s="370"/>
      <c r="L9" s="370"/>
      <c r="M9" s="370"/>
      <c r="N9" s="370"/>
      <c r="O9"/>
      <c r="P9"/>
      <c r="Q9"/>
      <c r="R9"/>
      <c r="S9"/>
      <c r="T9"/>
      <c r="U9"/>
      <c r="V9"/>
      <c r="W9"/>
      <c r="X9"/>
      <c r="Y9"/>
      <c r="Z9"/>
    </row>
    <row r="10" spans="1:26" s="155" customFormat="1" ht="15.6">
      <c r="A10" s="594"/>
      <c r="B10" s="628"/>
      <c r="C10" s="628"/>
      <c r="D10" s="628"/>
      <c r="E10" s="1624"/>
      <c r="F10" s="1624"/>
      <c r="G10" s="2046" t="s">
        <v>2048</v>
      </c>
      <c r="H10" s="2047"/>
      <c r="I10" s="2047"/>
      <c r="J10" s="2047"/>
      <c r="K10" s="2046" t="s">
        <v>2015</v>
      </c>
      <c r="L10" s="2047"/>
      <c r="M10" s="2047"/>
      <c r="N10" s="2048"/>
      <c r="O10"/>
      <c r="P10"/>
      <c r="Q10"/>
      <c r="R10"/>
      <c r="S10"/>
      <c r="T10"/>
      <c r="U10"/>
      <c r="V10"/>
      <c r="W10"/>
      <c r="X10"/>
      <c r="Y10"/>
      <c r="Z10"/>
    </row>
    <row r="11" spans="1:26" s="155" customFormat="1">
      <c r="A11" s="594"/>
      <c r="B11" s="628"/>
      <c r="C11" s="628"/>
      <c r="D11" s="628"/>
      <c r="E11" s="1624"/>
      <c r="F11" s="1624"/>
      <c r="G11" s="768"/>
      <c r="H11" s="768"/>
      <c r="I11" s="768"/>
      <c r="J11" s="768"/>
      <c r="K11" s="768"/>
      <c r="L11" s="768"/>
      <c r="M11" s="768"/>
      <c r="N11" s="768"/>
      <c r="O11"/>
      <c r="P11"/>
      <c r="Q11"/>
      <c r="R11"/>
      <c r="S11"/>
      <c r="T11"/>
      <c r="U11"/>
      <c r="V11"/>
      <c r="W11"/>
      <c r="X11"/>
      <c r="Y11"/>
      <c r="Z11"/>
    </row>
    <row r="12" spans="1:26" s="155" customFormat="1" ht="15.6" thickBot="1">
      <c r="A12" s="594"/>
      <c r="B12" s="628"/>
      <c r="C12" s="769" t="s">
        <v>192</v>
      </c>
      <c r="D12" s="769" t="s">
        <v>193</v>
      </c>
      <c r="E12" s="769" t="s">
        <v>194</v>
      </c>
      <c r="F12" s="769" t="s">
        <v>195</v>
      </c>
      <c r="G12" s="769" t="s">
        <v>196</v>
      </c>
      <c r="H12" s="769" t="s">
        <v>371</v>
      </c>
      <c r="I12" s="769" t="s">
        <v>372</v>
      </c>
      <c r="J12" s="769" t="s">
        <v>900</v>
      </c>
      <c r="K12" s="769" t="s">
        <v>901</v>
      </c>
      <c r="L12" s="769" t="s">
        <v>902</v>
      </c>
      <c r="M12" s="769" t="s">
        <v>903</v>
      </c>
      <c r="N12" s="769" t="s">
        <v>1225</v>
      </c>
      <c r="O12"/>
      <c r="P12"/>
      <c r="Q12"/>
      <c r="R12"/>
      <c r="S12"/>
      <c r="T12"/>
      <c r="U12"/>
      <c r="V12"/>
      <c r="W12"/>
      <c r="X12"/>
      <c r="Y12"/>
      <c r="Z12"/>
    </row>
    <row r="13" spans="1:26" s="156" customFormat="1" ht="46.5" customHeight="1">
      <c r="A13" s="595"/>
      <c r="B13" s="629"/>
      <c r="C13" s="629" t="s">
        <v>437</v>
      </c>
      <c r="D13" s="629" t="s">
        <v>438</v>
      </c>
      <c r="E13" s="1625" t="s">
        <v>439</v>
      </c>
      <c r="F13" s="1625" t="s">
        <v>104</v>
      </c>
      <c r="G13" s="770" t="s">
        <v>796</v>
      </c>
      <c r="H13" s="770" t="s">
        <v>797</v>
      </c>
      <c r="I13" s="770" t="s">
        <v>798</v>
      </c>
      <c r="J13" s="770" t="s">
        <v>795</v>
      </c>
      <c r="K13" s="770" t="s">
        <v>796</v>
      </c>
      <c r="L13" s="770" t="s">
        <v>797</v>
      </c>
      <c r="M13" s="770" t="s">
        <v>799</v>
      </c>
      <c r="N13" s="770" t="s">
        <v>795</v>
      </c>
      <c r="O13"/>
      <c r="P13"/>
      <c r="Q13"/>
      <c r="R13"/>
      <c r="S13"/>
      <c r="T13"/>
      <c r="U13"/>
      <c r="V13"/>
      <c r="W13"/>
      <c r="X13"/>
      <c r="Y13"/>
      <c r="Z13"/>
    </row>
    <row r="14" spans="1:26" s="1444" customFormat="1" ht="15.75" customHeight="1">
      <c r="A14" s="595"/>
      <c r="B14" s="629"/>
      <c r="C14" s="629"/>
      <c r="D14" s="629"/>
      <c r="E14" s="1625"/>
      <c r="F14" s="1625"/>
      <c r="G14" s="771"/>
      <c r="H14" s="771"/>
      <c r="I14" s="771"/>
      <c r="J14" s="771"/>
      <c r="K14" s="771"/>
      <c r="L14" s="771"/>
      <c r="M14" s="771"/>
      <c r="N14" s="771"/>
      <c r="O14"/>
      <c r="P14"/>
      <c r="Q14"/>
      <c r="R14"/>
      <c r="S14"/>
      <c r="T14"/>
      <c r="U14"/>
      <c r="V14"/>
      <c r="W14"/>
      <c r="X14"/>
      <c r="Y14"/>
      <c r="Z14"/>
    </row>
    <row r="15" spans="1:26" s="1445" customFormat="1" ht="16.5" customHeight="1" thickBot="1">
      <c r="A15" s="596"/>
      <c r="B15" s="630"/>
      <c r="C15" s="1626"/>
      <c r="D15" s="1627"/>
      <c r="E15" s="1628" t="s">
        <v>620</v>
      </c>
      <c r="F15" s="1628"/>
      <c r="G15" s="772"/>
      <c r="H15" s="772"/>
      <c r="I15" s="772"/>
      <c r="J15" s="772"/>
      <c r="K15" s="772"/>
      <c r="L15" s="772"/>
      <c r="M15" s="772"/>
      <c r="N15" s="772"/>
      <c r="O15"/>
      <c r="P15"/>
      <c r="Q15"/>
      <c r="R15"/>
      <c r="S15"/>
      <c r="T15"/>
      <c r="U15"/>
      <c r="V15"/>
      <c r="W15"/>
      <c r="X15"/>
      <c r="Y15"/>
      <c r="Z15"/>
    </row>
    <row r="16" spans="1:26" s="1444" customFormat="1" ht="16.5" customHeight="1" outlineLevel="1">
      <c r="A16" s="595"/>
      <c r="B16" s="629"/>
      <c r="C16" s="1629"/>
      <c r="D16" s="1630"/>
      <c r="E16" s="1625"/>
      <c r="F16" s="1625"/>
      <c r="G16" s="771"/>
      <c r="H16" s="771"/>
      <c r="I16" s="771"/>
      <c r="J16" s="771"/>
      <c r="K16" s="771"/>
      <c r="L16" s="771"/>
      <c r="M16" s="771"/>
      <c r="N16" s="771"/>
      <c r="O16"/>
      <c r="P16"/>
      <c r="Q16"/>
      <c r="R16"/>
      <c r="S16"/>
      <c r="T16"/>
      <c r="U16"/>
      <c r="V16"/>
      <c r="W16"/>
      <c r="X16"/>
      <c r="Y16"/>
      <c r="Z16"/>
    </row>
    <row r="17" spans="1:26" s="1445" customFormat="1" ht="16.5" customHeight="1" outlineLevel="1" thickBot="1">
      <c r="A17" s="596"/>
      <c r="B17" s="630">
        <v>1</v>
      </c>
      <c r="C17" s="1626"/>
      <c r="D17" s="1627"/>
      <c r="E17" s="1628"/>
      <c r="F17" s="1628" t="s">
        <v>608</v>
      </c>
      <c r="G17" s="772"/>
      <c r="H17" s="772"/>
      <c r="I17" s="772"/>
      <c r="J17" s="772"/>
      <c r="K17" s="772"/>
      <c r="L17" s="772"/>
      <c r="M17" s="772"/>
      <c r="N17" s="772"/>
      <c r="O17"/>
      <c r="P17"/>
      <c r="Q17"/>
      <c r="R17"/>
      <c r="S17"/>
      <c r="T17"/>
      <c r="U17"/>
      <c r="V17"/>
      <c r="W17"/>
      <c r="X17"/>
      <c r="Y17"/>
      <c r="Z17"/>
    </row>
    <row r="18" spans="1:26" s="1635" customFormat="1" ht="15.75" customHeight="1" outlineLevel="1">
      <c r="A18" s="1631" t="str">
        <f>CONCATENATE(D18,E18,F18)</f>
        <v>BLENHEIM - GILBOA350Land &amp; Land Rights</v>
      </c>
      <c r="B18" s="1632" t="s">
        <v>471</v>
      </c>
      <c r="C18" s="1633" t="s">
        <v>34</v>
      </c>
      <c r="D18" s="1634" t="s">
        <v>1889</v>
      </c>
      <c r="E18" s="1633">
        <v>350</v>
      </c>
      <c r="F18" s="1633" t="s">
        <v>1890</v>
      </c>
      <c r="G18" s="1304">
        <v>2249581</v>
      </c>
      <c r="H18" s="1304">
        <v>0</v>
      </c>
      <c r="I18" s="1304">
        <v>2249581</v>
      </c>
      <c r="J18" s="1304">
        <v>0</v>
      </c>
      <c r="K18" s="1304">
        <v>2249581</v>
      </c>
      <c r="L18" s="1304">
        <v>0</v>
      </c>
      <c r="M18" s="1304">
        <v>2249581</v>
      </c>
      <c r="N18" s="1304">
        <v>0</v>
      </c>
      <c r="O18"/>
      <c r="P18"/>
      <c r="Q18"/>
      <c r="R18"/>
      <c r="S18"/>
      <c r="T18"/>
      <c r="U18"/>
      <c r="V18"/>
      <c r="W18"/>
      <c r="X18"/>
      <c r="Y18"/>
      <c r="Z18"/>
    </row>
    <row r="19" spans="1:26" s="1635" customFormat="1" ht="15.75" customHeight="1" outlineLevel="1">
      <c r="A19" s="1631" t="str">
        <f t="shared" ref="A19:A52" si="0">CONCATENATE(D19,E19,F19)</f>
        <v>J. A. FITZPATRICK350Land &amp; Land Rights</v>
      </c>
      <c r="B19" s="1632" t="s">
        <v>473</v>
      </c>
      <c r="C19" s="1633" t="s">
        <v>34</v>
      </c>
      <c r="D19" s="1634" t="s">
        <v>1891</v>
      </c>
      <c r="E19" s="1633">
        <v>350</v>
      </c>
      <c r="F19" s="1633" t="s">
        <v>1890</v>
      </c>
      <c r="G19" s="1304">
        <v>0</v>
      </c>
      <c r="H19" s="1304">
        <v>0</v>
      </c>
      <c r="I19" s="1304">
        <v>0</v>
      </c>
      <c r="J19" s="1304">
        <v>0</v>
      </c>
      <c r="K19" s="1304">
        <v>0</v>
      </c>
      <c r="L19" s="1304">
        <v>0</v>
      </c>
      <c r="M19" s="1304">
        <v>0</v>
      </c>
      <c r="N19" s="1304">
        <v>0</v>
      </c>
      <c r="O19"/>
      <c r="P19"/>
      <c r="Q19"/>
      <c r="R19"/>
      <c r="S19"/>
      <c r="T19"/>
      <c r="U19"/>
      <c r="V19"/>
      <c r="W19"/>
      <c r="X19"/>
      <c r="Y19"/>
      <c r="Z19"/>
    </row>
    <row r="20" spans="1:26" s="1635" customFormat="1" ht="15.75" customHeight="1" outlineLevel="1">
      <c r="A20" s="1631" t="str">
        <f t="shared" si="0"/>
        <v>LONG ISLAND SOUND CABLE350Land &amp; Land Rights</v>
      </c>
      <c r="B20" s="1632" t="s">
        <v>494</v>
      </c>
      <c r="C20" s="1633" t="s">
        <v>34</v>
      </c>
      <c r="D20" s="1634" t="s">
        <v>1892</v>
      </c>
      <c r="E20" s="1633">
        <v>350</v>
      </c>
      <c r="F20" s="1633" t="s">
        <v>1890</v>
      </c>
      <c r="G20" s="1304">
        <v>13469254</v>
      </c>
      <c r="H20" s="1304">
        <v>0</v>
      </c>
      <c r="I20" s="1304">
        <v>13469254</v>
      </c>
      <c r="J20" s="1304">
        <v>0</v>
      </c>
      <c r="K20" s="1304">
        <v>13469254</v>
      </c>
      <c r="L20" s="1304">
        <v>0</v>
      </c>
      <c r="M20" s="1304">
        <v>13469254</v>
      </c>
      <c r="N20" s="1304">
        <v>0</v>
      </c>
      <c r="O20"/>
      <c r="P20"/>
      <c r="Q20"/>
      <c r="R20"/>
      <c r="S20"/>
      <c r="T20"/>
      <c r="U20"/>
      <c r="V20"/>
      <c r="W20"/>
      <c r="X20"/>
      <c r="Y20"/>
      <c r="Z20"/>
    </row>
    <row r="21" spans="1:26" s="1635" customFormat="1" ht="15.75" customHeight="1" outlineLevel="1">
      <c r="A21" s="1631" t="str">
        <f t="shared" si="0"/>
        <v>MARCY-SOUTH350Land &amp; Land Rights</v>
      </c>
      <c r="B21" s="1632" t="s">
        <v>495</v>
      </c>
      <c r="C21" s="1633" t="s">
        <v>34</v>
      </c>
      <c r="D21" s="1634" t="s">
        <v>1893</v>
      </c>
      <c r="E21" s="1633">
        <v>350</v>
      </c>
      <c r="F21" s="1633" t="s">
        <v>1890</v>
      </c>
      <c r="G21" s="1304">
        <v>22206093</v>
      </c>
      <c r="H21" s="1304">
        <v>0</v>
      </c>
      <c r="I21" s="1304">
        <v>22206093</v>
      </c>
      <c r="J21" s="1304">
        <v>0</v>
      </c>
      <c r="K21" s="1304">
        <v>22206093</v>
      </c>
      <c r="L21" s="1304">
        <v>0</v>
      </c>
      <c r="M21" s="1304">
        <v>22206093</v>
      </c>
      <c r="N21" s="1304">
        <v>0</v>
      </c>
      <c r="O21"/>
      <c r="P21"/>
      <c r="Q21"/>
      <c r="R21"/>
      <c r="S21"/>
      <c r="T21"/>
      <c r="U21"/>
      <c r="V21"/>
      <c r="W21"/>
      <c r="X21"/>
      <c r="Y21"/>
      <c r="Z21"/>
    </row>
    <row r="22" spans="1:26" s="1635" customFormat="1" ht="15.75" customHeight="1" outlineLevel="1">
      <c r="A22" s="1631" t="str">
        <f t="shared" si="0"/>
        <v>MASSENA - MARCY  (Clark)350Land &amp; Land Rights</v>
      </c>
      <c r="B22" s="1632" t="s">
        <v>496</v>
      </c>
      <c r="C22" s="1633" t="s">
        <v>34</v>
      </c>
      <c r="D22" s="1634" t="s">
        <v>1894</v>
      </c>
      <c r="E22" s="1633">
        <v>350</v>
      </c>
      <c r="F22" s="1633" t="s">
        <v>1890</v>
      </c>
      <c r="G22" s="1304">
        <v>2668531</v>
      </c>
      <c r="H22" s="1304">
        <v>0</v>
      </c>
      <c r="I22" s="1304">
        <v>2668531</v>
      </c>
      <c r="J22" s="1304">
        <v>0</v>
      </c>
      <c r="K22" s="1304">
        <v>2668531</v>
      </c>
      <c r="L22" s="1304">
        <v>0</v>
      </c>
      <c r="M22" s="1304">
        <v>2668531</v>
      </c>
      <c r="N22" s="1304">
        <v>0</v>
      </c>
      <c r="O22"/>
      <c r="P22"/>
      <c r="Q22"/>
      <c r="R22"/>
      <c r="S22"/>
      <c r="T22"/>
      <c r="U22"/>
      <c r="V22"/>
      <c r="W22"/>
      <c r="X22"/>
      <c r="Y22"/>
      <c r="Z22"/>
    </row>
    <row r="23" spans="1:26" s="1635" customFormat="1" ht="15.75" customHeight="1" outlineLevel="1">
      <c r="A23" s="1631" t="str">
        <f t="shared" si="0"/>
        <v>NIAGARA350Land &amp; Land Rights</v>
      </c>
      <c r="B23" s="1632" t="s">
        <v>497</v>
      </c>
      <c r="C23" s="1633" t="s">
        <v>34</v>
      </c>
      <c r="D23" s="1634" t="s">
        <v>30</v>
      </c>
      <c r="E23" s="1633">
        <v>350</v>
      </c>
      <c r="F23" s="1633" t="s">
        <v>1890</v>
      </c>
      <c r="G23" s="1304">
        <v>5021928.49</v>
      </c>
      <c r="H23" s="1304">
        <v>0</v>
      </c>
      <c r="I23" s="1304">
        <v>5021928.49</v>
      </c>
      <c r="J23" s="1304">
        <v>0</v>
      </c>
      <c r="K23" s="1304">
        <v>5021928.49</v>
      </c>
      <c r="L23" s="1304">
        <v>0</v>
      </c>
      <c r="M23" s="1304">
        <v>5021928.49</v>
      </c>
      <c r="N23" s="1304">
        <v>0</v>
      </c>
      <c r="O23"/>
      <c r="P23"/>
      <c r="Q23"/>
      <c r="R23"/>
      <c r="S23"/>
      <c r="T23"/>
      <c r="U23"/>
      <c r="V23"/>
      <c r="W23"/>
      <c r="X23"/>
      <c r="Y23"/>
      <c r="Z23"/>
    </row>
    <row r="24" spans="1:26" s="1635" customFormat="1" ht="15.75" customHeight="1" outlineLevel="1">
      <c r="A24" s="1631" t="str">
        <f t="shared" si="0"/>
        <v>St.  LAWRENCE / FDR350Land &amp; Land Rights</v>
      </c>
      <c r="B24" s="1632" t="s">
        <v>498</v>
      </c>
      <c r="C24" s="1633" t="s">
        <v>34</v>
      </c>
      <c r="D24" s="1634" t="s">
        <v>1895</v>
      </c>
      <c r="E24" s="1633">
        <v>350</v>
      </c>
      <c r="F24" s="1633" t="s">
        <v>1890</v>
      </c>
      <c r="G24" s="1304">
        <v>1740693</v>
      </c>
      <c r="H24" s="1304">
        <v>0</v>
      </c>
      <c r="I24" s="1304">
        <v>1740693</v>
      </c>
      <c r="J24" s="1304">
        <v>0</v>
      </c>
      <c r="K24" s="1304">
        <v>1740693</v>
      </c>
      <c r="L24" s="1304">
        <v>0</v>
      </c>
      <c r="M24" s="1304">
        <v>1740693</v>
      </c>
      <c r="N24" s="1304">
        <v>0</v>
      </c>
      <c r="O24"/>
      <c r="P24"/>
      <c r="Q24"/>
      <c r="R24"/>
      <c r="S24"/>
      <c r="T24"/>
      <c r="U24"/>
      <c r="V24"/>
      <c r="W24"/>
      <c r="X24"/>
      <c r="Y24"/>
      <c r="Z24"/>
    </row>
    <row r="25" spans="1:26" s="1635" customFormat="1" ht="15.75" customHeight="1" outlineLevel="1">
      <c r="A25" s="1631" t="str">
        <f t="shared" si="0"/>
        <v>BLENHEIM - GILBOA389Land &amp; Land Rights</v>
      </c>
      <c r="B25" s="1632" t="s">
        <v>499</v>
      </c>
      <c r="C25" s="1633" t="s">
        <v>107</v>
      </c>
      <c r="D25" s="1634" t="s">
        <v>1889</v>
      </c>
      <c r="E25" s="1633">
        <v>389</v>
      </c>
      <c r="F25" s="1633" t="s">
        <v>1890</v>
      </c>
      <c r="G25" s="1304">
        <v>56835</v>
      </c>
      <c r="H25" s="1304">
        <v>0</v>
      </c>
      <c r="I25" s="1304">
        <v>56835</v>
      </c>
      <c r="J25" s="1304">
        <v>0</v>
      </c>
      <c r="K25" s="1304">
        <v>56835</v>
      </c>
      <c r="L25" s="1304">
        <v>0</v>
      </c>
      <c r="M25" s="1304">
        <v>56835</v>
      </c>
      <c r="N25" s="1304">
        <v>0</v>
      </c>
      <c r="O25"/>
      <c r="P25"/>
      <c r="Q25"/>
      <c r="R25"/>
      <c r="S25"/>
      <c r="T25"/>
      <c r="U25"/>
      <c r="V25"/>
      <c r="W25"/>
      <c r="X25"/>
      <c r="Y25"/>
      <c r="Z25"/>
    </row>
    <row r="26" spans="1:26" s="1635" customFormat="1" ht="15.75" customHeight="1" outlineLevel="1">
      <c r="A26" s="1631" t="str">
        <f t="shared" si="0"/>
        <v>HEADQUARTERS389Land &amp; Land Rights</v>
      </c>
      <c r="B26" s="1632" t="s">
        <v>500</v>
      </c>
      <c r="C26" s="1633" t="s">
        <v>107</v>
      </c>
      <c r="D26" s="1634" t="s">
        <v>1896</v>
      </c>
      <c r="E26" s="1633">
        <v>389</v>
      </c>
      <c r="F26" s="1633" t="s">
        <v>1890</v>
      </c>
      <c r="G26" s="1304">
        <v>11300000</v>
      </c>
      <c r="H26" s="1304">
        <v>0</v>
      </c>
      <c r="I26" s="1304">
        <v>11300000</v>
      </c>
      <c r="J26" s="1304">
        <v>0</v>
      </c>
      <c r="K26" s="1304">
        <v>11300000</v>
      </c>
      <c r="L26" s="1304">
        <v>0</v>
      </c>
      <c r="M26" s="1304">
        <v>11300000</v>
      </c>
      <c r="N26" s="1304">
        <v>0</v>
      </c>
      <c r="O26"/>
      <c r="P26"/>
      <c r="Q26"/>
      <c r="R26"/>
      <c r="S26"/>
      <c r="T26"/>
      <c r="U26"/>
      <c r="V26"/>
      <c r="W26"/>
      <c r="X26"/>
      <c r="Y26"/>
      <c r="Z26"/>
    </row>
    <row r="27" spans="1:26" s="1635" customFormat="1" ht="15.75" customHeight="1" outlineLevel="1">
      <c r="A27" s="1631" t="str">
        <f t="shared" si="0"/>
        <v>MASSENA - MARCY  (Clark)389Land &amp; Land Rights</v>
      </c>
      <c r="B27" s="1632" t="s">
        <v>501</v>
      </c>
      <c r="C27" s="1633" t="s">
        <v>107</v>
      </c>
      <c r="D27" s="1634" t="s">
        <v>1894</v>
      </c>
      <c r="E27" s="1633">
        <v>389</v>
      </c>
      <c r="F27" s="1633" t="s">
        <v>1890</v>
      </c>
      <c r="G27" s="1304">
        <v>75936</v>
      </c>
      <c r="H27" s="1304">
        <v>0</v>
      </c>
      <c r="I27" s="1304">
        <v>75936</v>
      </c>
      <c r="J27" s="1304">
        <v>0</v>
      </c>
      <c r="K27" s="1304">
        <v>75936</v>
      </c>
      <c r="L27" s="1304">
        <v>0</v>
      </c>
      <c r="M27" s="1304">
        <v>75936</v>
      </c>
      <c r="N27" s="1304">
        <v>0</v>
      </c>
      <c r="O27"/>
      <c r="P27"/>
      <c r="Q27"/>
      <c r="R27"/>
      <c r="S27"/>
      <c r="T27"/>
      <c r="U27"/>
      <c r="V27"/>
      <c r="W27"/>
      <c r="X27"/>
      <c r="Y27"/>
      <c r="Z27"/>
    </row>
    <row r="28" spans="1:26" s="1635" customFormat="1" ht="15.75" customHeight="1" outlineLevel="1">
      <c r="A28" s="1631" t="str">
        <f t="shared" si="0"/>
        <v>NIAGARA389Land &amp; Land Rights</v>
      </c>
      <c r="B28" s="1632" t="s">
        <v>502</v>
      </c>
      <c r="C28" s="1633" t="s">
        <v>107</v>
      </c>
      <c r="D28" s="1634" t="s">
        <v>30</v>
      </c>
      <c r="E28" s="1633">
        <v>389</v>
      </c>
      <c r="F28" s="1633" t="s">
        <v>1890</v>
      </c>
      <c r="G28" s="1304">
        <v>150246</v>
      </c>
      <c r="H28" s="1304">
        <v>0</v>
      </c>
      <c r="I28" s="1304">
        <v>150246</v>
      </c>
      <c r="J28" s="1304">
        <v>0</v>
      </c>
      <c r="K28" s="1304">
        <v>150246</v>
      </c>
      <c r="L28" s="1304">
        <v>0</v>
      </c>
      <c r="M28" s="1304">
        <v>150246</v>
      </c>
      <c r="N28" s="1304">
        <v>0</v>
      </c>
      <c r="O28"/>
      <c r="P28"/>
      <c r="Q28"/>
      <c r="R28"/>
      <c r="S28"/>
      <c r="T28"/>
      <c r="U28"/>
      <c r="V28"/>
      <c r="W28"/>
      <c r="X28"/>
      <c r="Y28"/>
      <c r="Z28"/>
    </row>
    <row r="29" spans="1:26" s="1635" customFormat="1" ht="15.75" customHeight="1" outlineLevel="1">
      <c r="A29" s="1631" t="str">
        <f t="shared" si="0"/>
        <v>St.  LAWRENCE / FDR389Land &amp; Land Rights</v>
      </c>
      <c r="B29" s="1632" t="s">
        <v>503</v>
      </c>
      <c r="C29" s="1633" t="s">
        <v>107</v>
      </c>
      <c r="D29" s="1634" t="s">
        <v>1895</v>
      </c>
      <c r="E29" s="1633">
        <v>389</v>
      </c>
      <c r="F29" s="1633" t="s">
        <v>1890</v>
      </c>
      <c r="G29" s="1304">
        <v>6858</v>
      </c>
      <c r="H29" s="1304">
        <v>0</v>
      </c>
      <c r="I29" s="1304">
        <v>6858</v>
      </c>
      <c r="J29" s="1304">
        <v>0</v>
      </c>
      <c r="K29" s="1304">
        <v>6858</v>
      </c>
      <c r="L29" s="1304">
        <v>0</v>
      </c>
      <c r="M29" s="1304">
        <v>6858</v>
      </c>
      <c r="N29" s="1304">
        <v>0</v>
      </c>
      <c r="O29"/>
      <c r="P29"/>
      <c r="Q29"/>
      <c r="R29"/>
      <c r="S29"/>
      <c r="T29"/>
      <c r="U29"/>
      <c r="V29"/>
      <c r="W29"/>
      <c r="X29"/>
      <c r="Y29"/>
      <c r="Z29"/>
    </row>
    <row r="30" spans="1:26" s="1635" customFormat="1" ht="15.75" customHeight="1" outlineLevel="1">
      <c r="A30" s="1631" t="str">
        <f t="shared" si="0"/>
        <v>Jarvis389Land &amp; Land Rights</v>
      </c>
      <c r="B30" s="1632" t="s">
        <v>505</v>
      </c>
      <c r="C30" s="1633" t="s">
        <v>107</v>
      </c>
      <c r="D30" s="1634" t="s">
        <v>162</v>
      </c>
      <c r="E30" s="1633">
        <v>389</v>
      </c>
      <c r="F30" s="1633" t="s">
        <v>1890</v>
      </c>
      <c r="G30" s="1304">
        <v>8000</v>
      </c>
      <c r="H30" s="1304">
        <v>0</v>
      </c>
      <c r="I30" s="1304">
        <v>8000</v>
      </c>
      <c r="J30" s="1304">
        <v>0</v>
      </c>
      <c r="K30" s="1304">
        <v>8000</v>
      </c>
      <c r="L30" s="1304">
        <v>0</v>
      </c>
      <c r="M30" s="1304">
        <v>8000</v>
      </c>
      <c r="N30" s="1304">
        <v>0</v>
      </c>
      <c r="O30"/>
      <c r="P30"/>
      <c r="Q30"/>
      <c r="R30"/>
      <c r="S30"/>
      <c r="T30"/>
      <c r="U30"/>
      <c r="V30"/>
      <c r="W30"/>
      <c r="X30"/>
      <c r="Y30"/>
      <c r="Z30"/>
    </row>
    <row r="31" spans="1:26" s="1635" customFormat="1" ht="15.75" customHeight="1" outlineLevel="1">
      <c r="A31" s="1631" t="str">
        <f t="shared" si="0"/>
        <v>POLETTI  (Astoria)389Land &amp; Land Rights</v>
      </c>
      <c r="B31" s="1632" t="s">
        <v>504</v>
      </c>
      <c r="C31" s="1633" t="s">
        <v>107</v>
      </c>
      <c r="D31" s="1634" t="s">
        <v>161</v>
      </c>
      <c r="E31" s="1633">
        <v>389</v>
      </c>
      <c r="F31" s="1633" t="s">
        <v>1890</v>
      </c>
      <c r="G31" s="1304">
        <v>13816</v>
      </c>
      <c r="H31" s="1304">
        <v>0</v>
      </c>
      <c r="I31" s="1304">
        <v>13816</v>
      </c>
      <c r="J31" s="1304">
        <v>0</v>
      </c>
      <c r="K31" s="1304">
        <v>13816</v>
      </c>
      <c r="L31" s="1304">
        <v>0</v>
      </c>
      <c r="M31" s="1304">
        <v>13816</v>
      </c>
      <c r="N31" s="1304">
        <v>0</v>
      </c>
      <c r="O31"/>
      <c r="P31"/>
      <c r="Q31"/>
      <c r="R31"/>
      <c r="S31"/>
      <c r="T31"/>
      <c r="U31"/>
      <c r="V31"/>
      <c r="W31"/>
      <c r="X31"/>
      <c r="Y31"/>
      <c r="Z31"/>
    </row>
    <row r="32" spans="1:26" s="1635" customFormat="1" ht="15.75" customHeight="1" outlineLevel="1">
      <c r="A32" s="1631" t="str">
        <f t="shared" si="0"/>
        <v>Astoria 2 (AE-II) Substation350Land &amp; Land Rights</v>
      </c>
      <c r="B32" s="1632" t="s">
        <v>506</v>
      </c>
      <c r="C32" s="1633" t="s">
        <v>34</v>
      </c>
      <c r="D32" s="1634" t="s">
        <v>448</v>
      </c>
      <c r="E32" s="1633">
        <v>350</v>
      </c>
      <c r="F32" s="1633" t="s">
        <v>1890</v>
      </c>
      <c r="G32" s="1304">
        <v>0</v>
      </c>
      <c r="H32" s="1304">
        <v>0</v>
      </c>
      <c r="I32" s="1304">
        <v>0</v>
      </c>
      <c r="J32" s="1304">
        <v>0</v>
      </c>
      <c r="K32" s="1304">
        <v>0</v>
      </c>
      <c r="L32" s="1304">
        <v>0</v>
      </c>
      <c r="M32" s="1304">
        <v>0</v>
      </c>
      <c r="N32" s="1304">
        <v>0</v>
      </c>
      <c r="O32"/>
      <c r="P32"/>
      <c r="Q32"/>
      <c r="R32"/>
      <c r="S32"/>
      <c r="T32"/>
      <c r="U32"/>
      <c r="V32"/>
      <c r="W32"/>
      <c r="X32"/>
      <c r="Y32"/>
      <c r="Z32"/>
    </row>
    <row r="33" spans="1:26" s="1635" customFormat="1" ht="15.75" customHeight="1" outlineLevel="1">
      <c r="A33" s="1631" t="str">
        <f t="shared" si="0"/>
        <v>POLETTI  (Astoria)350Land &amp; Land Rights</v>
      </c>
      <c r="B33" s="1632" t="s">
        <v>1168</v>
      </c>
      <c r="C33" s="1633" t="s">
        <v>34</v>
      </c>
      <c r="D33" s="1634" t="s">
        <v>161</v>
      </c>
      <c r="E33" s="1633">
        <v>350</v>
      </c>
      <c r="F33" s="1633" t="s">
        <v>1890</v>
      </c>
      <c r="G33" s="1304">
        <v>981</v>
      </c>
      <c r="H33" s="1304">
        <v>0</v>
      </c>
      <c r="I33" s="1304">
        <v>981</v>
      </c>
      <c r="J33" s="1304">
        <v>0</v>
      </c>
      <c r="K33" s="1304">
        <v>981</v>
      </c>
      <c r="L33" s="1304">
        <v>0</v>
      </c>
      <c r="M33" s="1304">
        <v>981</v>
      </c>
      <c r="N33" s="1304">
        <v>0</v>
      </c>
      <c r="O33"/>
      <c r="P33"/>
      <c r="Q33"/>
      <c r="R33"/>
      <c r="S33"/>
      <c r="T33"/>
      <c r="U33"/>
      <c r="V33"/>
      <c r="W33"/>
      <c r="X33"/>
      <c r="Y33"/>
      <c r="Z33"/>
    </row>
    <row r="34" spans="1:26" s="1635" customFormat="1" ht="15.75" customHeight="1" outlineLevel="1">
      <c r="A34" s="1631" t="str">
        <f t="shared" si="0"/>
        <v>MASSENA - MARCY  (Clark)350Land &amp; Land Rights - Pathnode Substation WF</v>
      </c>
      <c r="B34" s="1632" t="s">
        <v>1169</v>
      </c>
      <c r="C34" s="1633" t="s">
        <v>34</v>
      </c>
      <c r="D34" s="1634" t="s">
        <v>1894</v>
      </c>
      <c r="E34" s="1633">
        <v>350</v>
      </c>
      <c r="F34" s="1633" t="s">
        <v>1897</v>
      </c>
      <c r="G34" s="1304">
        <v>20962</v>
      </c>
      <c r="H34" s="1304">
        <v>0</v>
      </c>
      <c r="I34" s="1304">
        <v>20962</v>
      </c>
      <c r="J34" s="1304">
        <v>0</v>
      </c>
      <c r="K34" s="1304">
        <v>20962</v>
      </c>
      <c r="L34" s="1304">
        <v>0</v>
      </c>
      <c r="M34" s="1304">
        <v>20962</v>
      </c>
      <c r="N34" s="1304">
        <v>0</v>
      </c>
      <c r="O34"/>
      <c r="P34"/>
      <c r="Q34"/>
      <c r="R34"/>
      <c r="S34"/>
      <c r="T34"/>
      <c r="U34"/>
      <c r="V34"/>
      <c r="W34"/>
      <c r="X34"/>
      <c r="Y34"/>
      <c r="Z34"/>
    </row>
    <row r="35" spans="1:26" s="1635" customFormat="1" ht="15.75" customHeight="1" outlineLevel="1">
      <c r="A35" s="1631" t="str">
        <f t="shared" si="0"/>
        <v>500mW C - C at Astoria340Land &amp; Land Rights</v>
      </c>
      <c r="B35" s="1632" t="s">
        <v>1170</v>
      </c>
      <c r="C35" s="1633" t="s">
        <v>451</v>
      </c>
      <c r="D35" s="1634" t="s">
        <v>153</v>
      </c>
      <c r="E35" s="1633">
        <v>340</v>
      </c>
      <c r="F35" s="1633" t="s">
        <v>1890</v>
      </c>
      <c r="G35" s="1304">
        <v>1080216</v>
      </c>
      <c r="H35" s="1304">
        <v>0</v>
      </c>
      <c r="I35" s="1304">
        <v>1080216</v>
      </c>
      <c r="J35" s="1304">
        <v>0</v>
      </c>
      <c r="K35" s="1304">
        <v>1080216</v>
      </c>
      <c r="L35" s="1304">
        <v>0</v>
      </c>
      <c r="M35" s="1304">
        <v>1080216</v>
      </c>
      <c r="N35" s="1304">
        <v>0</v>
      </c>
      <c r="O35"/>
      <c r="P35"/>
      <c r="Q35"/>
      <c r="R35"/>
      <c r="S35"/>
      <c r="T35"/>
      <c r="U35"/>
      <c r="V35"/>
      <c r="W35"/>
      <c r="X35"/>
      <c r="Y35"/>
      <c r="Z35"/>
    </row>
    <row r="36" spans="1:26" s="1635" customFormat="1" ht="15.75" customHeight="1" outlineLevel="1">
      <c r="A36" s="1631" t="str">
        <f t="shared" si="0"/>
        <v>ASHOKAN / KENSICO330Land &amp; Land Rights</v>
      </c>
      <c r="B36" s="1632" t="s">
        <v>1171</v>
      </c>
      <c r="C36" s="1633" t="s">
        <v>451</v>
      </c>
      <c r="D36" s="1634" t="s">
        <v>1898</v>
      </c>
      <c r="E36" s="1633">
        <v>330</v>
      </c>
      <c r="F36" s="1633" t="s">
        <v>1890</v>
      </c>
      <c r="G36" s="1304">
        <v>1205</v>
      </c>
      <c r="H36" s="1304">
        <v>0</v>
      </c>
      <c r="I36" s="1304">
        <v>1205</v>
      </c>
      <c r="J36" s="1304">
        <v>0</v>
      </c>
      <c r="K36" s="1304">
        <v>1205</v>
      </c>
      <c r="L36" s="1304">
        <v>0</v>
      </c>
      <c r="M36" s="1304">
        <v>1205</v>
      </c>
      <c r="N36" s="1304">
        <v>0</v>
      </c>
      <c r="O36"/>
      <c r="P36"/>
      <c r="Q36"/>
      <c r="R36"/>
      <c r="S36"/>
      <c r="T36"/>
      <c r="U36"/>
      <c r="V36"/>
      <c r="W36"/>
      <c r="X36"/>
      <c r="Y36"/>
      <c r="Z36"/>
    </row>
    <row r="37" spans="1:26" s="1635" customFormat="1" ht="15.75" customHeight="1" outlineLevel="1">
      <c r="A37" s="1631" t="str">
        <f t="shared" si="0"/>
        <v>BLENHEIM - GILBOA330Land &amp; Land Rights</v>
      </c>
      <c r="B37" s="1632" t="s">
        <v>1172</v>
      </c>
      <c r="C37" s="1633" t="s">
        <v>451</v>
      </c>
      <c r="D37" s="1634" t="s">
        <v>1889</v>
      </c>
      <c r="E37" s="1633">
        <v>330</v>
      </c>
      <c r="F37" s="1633" t="s">
        <v>1890</v>
      </c>
      <c r="G37" s="1304">
        <v>523743</v>
      </c>
      <c r="H37" s="1304">
        <v>0</v>
      </c>
      <c r="I37" s="1304">
        <v>523743</v>
      </c>
      <c r="J37" s="1304">
        <v>0</v>
      </c>
      <c r="K37" s="1304">
        <v>523743</v>
      </c>
      <c r="L37" s="1304">
        <v>0</v>
      </c>
      <c r="M37" s="1304">
        <v>523743</v>
      </c>
      <c r="N37" s="1304">
        <v>0</v>
      </c>
      <c r="O37"/>
      <c r="P37"/>
      <c r="Q37"/>
      <c r="R37"/>
      <c r="S37"/>
      <c r="T37"/>
      <c r="U37"/>
      <c r="V37"/>
      <c r="W37"/>
      <c r="X37"/>
      <c r="Y37"/>
      <c r="Z37"/>
    </row>
    <row r="38" spans="1:26" s="1635" customFormat="1" ht="15.75" customHeight="1" outlineLevel="1">
      <c r="A38" s="1631" t="str">
        <f t="shared" si="0"/>
        <v>BRENTWOOD  (Long Island)340Land &amp; Land Rights</v>
      </c>
      <c r="B38" s="1632" t="s">
        <v>1173</v>
      </c>
      <c r="C38" s="1633" t="s">
        <v>451</v>
      </c>
      <c r="D38" s="1634" t="s">
        <v>159</v>
      </c>
      <c r="E38" s="1633">
        <v>340</v>
      </c>
      <c r="F38" s="1633" t="s">
        <v>1890</v>
      </c>
      <c r="G38" s="1304">
        <v>1030830</v>
      </c>
      <c r="H38" s="1304">
        <v>0</v>
      </c>
      <c r="I38" s="1304">
        <v>1030830</v>
      </c>
      <c r="J38" s="1304">
        <v>0</v>
      </c>
      <c r="K38" s="1304">
        <v>1030830</v>
      </c>
      <c r="L38" s="1304">
        <v>0</v>
      </c>
      <c r="M38" s="1304">
        <v>1030830</v>
      </c>
      <c r="N38" s="1304">
        <v>0</v>
      </c>
      <c r="O38"/>
      <c r="P38"/>
      <c r="Q38"/>
      <c r="R38"/>
      <c r="S38"/>
      <c r="T38"/>
      <c r="U38"/>
      <c r="V38"/>
      <c r="W38"/>
      <c r="X38"/>
      <c r="Y38"/>
      <c r="Z38"/>
    </row>
    <row r="39" spans="1:26" s="1635" customFormat="1" ht="15.75" customHeight="1" outlineLevel="1">
      <c r="A39" s="1631" t="str">
        <f t="shared" si="0"/>
        <v>Crescent330Land &amp; Land Rights</v>
      </c>
      <c r="B39" s="1632" t="s">
        <v>1174</v>
      </c>
      <c r="C39" s="1633" t="s">
        <v>451</v>
      </c>
      <c r="D39" s="1634" t="s">
        <v>154</v>
      </c>
      <c r="E39" s="1633">
        <v>330</v>
      </c>
      <c r="F39" s="1633" t="s">
        <v>1890</v>
      </c>
      <c r="G39" s="1304">
        <v>5402065</v>
      </c>
      <c r="H39" s="1304">
        <v>0</v>
      </c>
      <c r="I39" s="1304">
        <v>5402065</v>
      </c>
      <c r="J39" s="1304">
        <v>0</v>
      </c>
      <c r="K39" s="1304">
        <v>5402065</v>
      </c>
      <c r="L39" s="1304">
        <v>0</v>
      </c>
      <c r="M39" s="1304">
        <v>5402065</v>
      </c>
      <c r="N39" s="1304">
        <v>0</v>
      </c>
      <c r="O39"/>
      <c r="P39"/>
      <c r="Q39"/>
      <c r="R39"/>
      <c r="S39"/>
      <c r="T39"/>
      <c r="U39"/>
      <c r="V39"/>
      <c r="W39"/>
      <c r="X39"/>
      <c r="Y39"/>
      <c r="Z39"/>
    </row>
    <row r="40" spans="1:26" s="1635" customFormat="1" ht="15.75" customHeight="1" outlineLevel="1">
      <c r="A40" s="1631" t="str">
        <f t="shared" si="0"/>
        <v>FLYNN  (Holtsville)340Land &amp; Land Rights</v>
      </c>
      <c r="B40" s="1632" t="s">
        <v>1175</v>
      </c>
      <c r="C40" s="1633" t="s">
        <v>451</v>
      </c>
      <c r="D40" s="1634" t="s">
        <v>155</v>
      </c>
      <c r="E40" s="1633">
        <v>340</v>
      </c>
      <c r="F40" s="1633" t="s">
        <v>1890</v>
      </c>
      <c r="G40" s="1304">
        <v>5923685.3399999999</v>
      </c>
      <c r="H40" s="1304">
        <v>0</v>
      </c>
      <c r="I40" s="1304">
        <v>5923685.3399999999</v>
      </c>
      <c r="J40" s="1304">
        <v>0</v>
      </c>
      <c r="K40" s="1304">
        <v>5923685.3399999999</v>
      </c>
      <c r="L40" s="1304">
        <v>0</v>
      </c>
      <c r="M40" s="1304">
        <v>5923685.3399999999</v>
      </c>
      <c r="N40" s="1304">
        <v>0</v>
      </c>
      <c r="O40"/>
      <c r="P40"/>
      <c r="Q40"/>
      <c r="R40"/>
      <c r="S40"/>
      <c r="T40"/>
      <c r="U40"/>
      <c r="V40"/>
      <c r="W40"/>
      <c r="X40"/>
      <c r="Y40"/>
      <c r="Z40"/>
    </row>
    <row r="41" spans="1:26" s="1635" customFormat="1" ht="15.75" customHeight="1" outlineLevel="1">
      <c r="A41" s="1631" t="str">
        <f t="shared" si="0"/>
        <v>GOWANUS  (Brooklyn)340Land &amp; Land Rights</v>
      </c>
      <c r="B41" s="1632" t="s">
        <v>1176</v>
      </c>
      <c r="C41" s="1633" t="s">
        <v>451</v>
      </c>
      <c r="D41" s="1634" t="s">
        <v>156</v>
      </c>
      <c r="E41" s="1633">
        <v>340</v>
      </c>
      <c r="F41" s="1633" t="s">
        <v>1890</v>
      </c>
      <c r="G41" s="1304">
        <v>6512971</v>
      </c>
      <c r="H41" s="1304">
        <v>0</v>
      </c>
      <c r="I41" s="1304">
        <v>6512971</v>
      </c>
      <c r="J41" s="1304">
        <v>0</v>
      </c>
      <c r="K41" s="1304">
        <v>6512971</v>
      </c>
      <c r="L41" s="1304">
        <v>0</v>
      </c>
      <c r="M41" s="1304">
        <v>6512971</v>
      </c>
      <c r="N41" s="1304">
        <v>0</v>
      </c>
      <c r="O41"/>
      <c r="P41"/>
      <c r="Q41"/>
      <c r="R41"/>
      <c r="S41"/>
      <c r="T41"/>
      <c r="U41"/>
      <c r="V41"/>
      <c r="W41"/>
      <c r="X41"/>
      <c r="Y41"/>
      <c r="Z41"/>
    </row>
    <row r="42" spans="1:26" s="1635" customFormat="1" ht="15.75" customHeight="1" outlineLevel="1">
      <c r="A42" s="1631" t="str">
        <f t="shared" si="0"/>
        <v>HARLEM RIVER YARDS  (Bronx)340Land &amp; Land Rights</v>
      </c>
      <c r="B42" s="1632" t="s">
        <v>1177</v>
      </c>
      <c r="C42" s="1633" t="s">
        <v>451</v>
      </c>
      <c r="D42" s="1634" t="s">
        <v>157</v>
      </c>
      <c r="E42" s="1633">
        <v>340</v>
      </c>
      <c r="F42" s="1633" t="s">
        <v>1890</v>
      </c>
      <c r="G42" s="1304">
        <v>5846605</v>
      </c>
      <c r="H42" s="1304">
        <v>0</v>
      </c>
      <c r="I42" s="1304">
        <v>5846605</v>
      </c>
      <c r="J42" s="1304">
        <v>0</v>
      </c>
      <c r="K42" s="1304">
        <v>5846605</v>
      </c>
      <c r="L42" s="1304">
        <v>0</v>
      </c>
      <c r="M42" s="1304">
        <v>5846605</v>
      </c>
      <c r="N42" s="1304">
        <v>0</v>
      </c>
      <c r="O42"/>
      <c r="P42"/>
      <c r="Q42"/>
      <c r="R42"/>
      <c r="S42"/>
      <c r="T42"/>
      <c r="U42"/>
      <c r="V42"/>
      <c r="W42"/>
      <c r="X42"/>
      <c r="Y42"/>
      <c r="Z42"/>
    </row>
    <row r="43" spans="1:26" s="1635" customFormat="1" ht="15.75" customHeight="1" outlineLevel="1">
      <c r="A43" s="1631" t="str">
        <f t="shared" si="0"/>
        <v>HELLGATE  (Bronx)340Land &amp; Land Rights</v>
      </c>
      <c r="B43" s="1632" t="s">
        <v>1178</v>
      </c>
      <c r="C43" s="1633" t="s">
        <v>451</v>
      </c>
      <c r="D43" s="1634" t="s">
        <v>158</v>
      </c>
      <c r="E43" s="1633">
        <v>340</v>
      </c>
      <c r="F43" s="1633" t="s">
        <v>1890</v>
      </c>
      <c r="G43" s="1304">
        <v>5079808</v>
      </c>
      <c r="H43" s="1304">
        <v>0</v>
      </c>
      <c r="I43" s="1304">
        <v>5079808</v>
      </c>
      <c r="J43" s="1304">
        <v>0</v>
      </c>
      <c r="K43" s="1304">
        <v>5079808</v>
      </c>
      <c r="L43" s="1304">
        <v>0</v>
      </c>
      <c r="M43" s="1304">
        <v>5079808</v>
      </c>
      <c r="N43" s="1304">
        <v>0</v>
      </c>
      <c r="O43"/>
      <c r="P43"/>
      <c r="Q43"/>
      <c r="R43"/>
      <c r="S43"/>
      <c r="T43"/>
      <c r="U43"/>
      <c r="V43"/>
      <c r="W43"/>
      <c r="X43"/>
      <c r="Y43"/>
      <c r="Z43"/>
    </row>
    <row r="44" spans="1:26" s="1635" customFormat="1" ht="15.75" customHeight="1" outlineLevel="1">
      <c r="A44" s="1631" t="str">
        <f t="shared" si="0"/>
        <v>Jarvis330Land &amp; Land Rights</v>
      </c>
      <c r="B44" s="1632" t="s">
        <v>1179</v>
      </c>
      <c r="C44" s="1633" t="s">
        <v>451</v>
      </c>
      <c r="D44" s="1634" t="s">
        <v>162</v>
      </c>
      <c r="E44" s="1633">
        <v>330</v>
      </c>
      <c r="F44" s="1633" t="s">
        <v>1890</v>
      </c>
      <c r="G44" s="1304">
        <v>450172</v>
      </c>
      <c r="H44" s="1304">
        <v>0</v>
      </c>
      <c r="I44" s="1304">
        <v>450172</v>
      </c>
      <c r="J44" s="1304">
        <v>0</v>
      </c>
      <c r="K44" s="1304">
        <v>450172</v>
      </c>
      <c r="L44" s="1304">
        <v>0</v>
      </c>
      <c r="M44" s="1304">
        <v>450172</v>
      </c>
      <c r="N44" s="1304">
        <v>0</v>
      </c>
      <c r="O44"/>
      <c r="P44"/>
      <c r="Q44"/>
      <c r="R44"/>
      <c r="S44"/>
      <c r="T44"/>
      <c r="U44"/>
      <c r="V44"/>
      <c r="W44"/>
      <c r="X44"/>
      <c r="Y44"/>
      <c r="Z44"/>
    </row>
    <row r="45" spans="1:26" s="1635" customFormat="1" ht="15.75" customHeight="1" outlineLevel="1">
      <c r="A45" s="1631" t="str">
        <f t="shared" si="0"/>
        <v>Kensico330Land &amp; Land Rights</v>
      </c>
      <c r="B45" s="1632" t="s">
        <v>1180</v>
      </c>
      <c r="C45" s="1633" t="s">
        <v>451</v>
      </c>
      <c r="D45" s="1634" t="s">
        <v>163</v>
      </c>
      <c r="E45" s="1633">
        <v>330</v>
      </c>
      <c r="F45" s="1633" t="s">
        <v>1890</v>
      </c>
      <c r="G45" s="1304">
        <v>0</v>
      </c>
      <c r="H45" s="1304">
        <v>0</v>
      </c>
      <c r="I45" s="1304">
        <v>0</v>
      </c>
      <c r="J45" s="1304">
        <v>0</v>
      </c>
      <c r="K45" s="1304">
        <v>0</v>
      </c>
      <c r="L45" s="1304">
        <v>0</v>
      </c>
      <c r="M45" s="1304">
        <v>0</v>
      </c>
      <c r="N45" s="1304">
        <v>0</v>
      </c>
      <c r="O45"/>
      <c r="P45"/>
      <c r="Q45"/>
      <c r="R45"/>
      <c r="S45"/>
      <c r="T45"/>
      <c r="U45"/>
      <c r="V45"/>
      <c r="W45"/>
      <c r="X45"/>
      <c r="Y45"/>
      <c r="Z45"/>
    </row>
    <row r="46" spans="1:26" s="1635" customFormat="1" ht="15.75" customHeight="1" outlineLevel="1">
      <c r="A46" s="1631" t="str">
        <f t="shared" si="0"/>
        <v>KENT  (Brooklyn)340Land &amp; Land Rights</v>
      </c>
      <c r="B46" s="1632" t="s">
        <v>1181</v>
      </c>
      <c r="C46" s="1633" t="s">
        <v>451</v>
      </c>
      <c r="D46" s="1634" t="s">
        <v>165</v>
      </c>
      <c r="E46" s="1633">
        <v>340</v>
      </c>
      <c r="F46" s="1633" t="s">
        <v>1890</v>
      </c>
      <c r="G46" s="1304">
        <v>4215782</v>
      </c>
      <c r="H46" s="1304">
        <v>0</v>
      </c>
      <c r="I46" s="1304">
        <v>4215782</v>
      </c>
      <c r="J46" s="1304">
        <v>0</v>
      </c>
      <c r="K46" s="1304">
        <v>4215782</v>
      </c>
      <c r="L46" s="1304">
        <v>0</v>
      </c>
      <c r="M46" s="1304">
        <v>4215782</v>
      </c>
      <c r="N46" s="1304">
        <v>0</v>
      </c>
      <c r="O46"/>
      <c r="P46"/>
      <c r="Q46"/>
      <c r="R46"/>
      <c r="S46"/>
      <c r="T46"/>
      <c r="U46"/>
      <c r="V46"/>
      <c r="W46"/>
      <c r="X46"/>
      <c r="Y46"/>
      <c r="Z46"/>
    </row>
    <row r="47" spans="1:26" s="1635" customFormat="1" ht="15.75" customHeight="1" outlineLevel="1">
      <c r="A47" s="1631" t="str">
        <f t="shared" si="0"/>
        <v>NIAGARA330Land &amp; Land Rights</v>
      </c>
      <c r="B47" s="1632" t="s">
        <v>1182</v>
      </c>
      <c r="C47" s="1633" t="s">
        <v>451</v>
      </c>
      <c r="D47" s="1634" t="s">
        <v>30</v>
      </c>
      <c r="E47" s="1633">
        <v>330</v>
      </c>
      <c r="F47" s="1633" t="s">
        <v>1890</v>
      </c>
      <c r="G47" s="1304">
        <v>53450991.250000007</v>
      </c>
      <c r="H47" s="1304">
        <v>0</v>
      </c>
      <c r="I47" s="1304">
        <v>53450991.250000007</v>
      </c>
      <c r="J47" s="1304">
        <v>0</v>
      </c>
      <c r="K47" s="1304">
        <v>53450991.250000007</v>
      </c>
      <c r="L47" s="1304">
        <v>0</v>
      </c>
      <c r="M47" s="1304">
        <v>53450991.250000007</v>
      </c>
      <c r="N47" s="1304">
        <v>0</v>
      </c>
      <c r="O47"/>
      <c r="P47"/>
      <c r="Q47"/>
      <c r="R47"/>
      <c r="S47"/>
      <c r="T47"/>
      <c r="U47"/>
      <c r="V47"/>
      <c r="W47"/>
      <c r="X47"/>
      <c r="Y47"/>
      <c r="Z47"/>
    </row>
    <row r="48" spans="1:26" s="1635" customFormat="1" ht="15.75" customHeight="1" outlineLevel="1">
      <c r="A48" s="1631" t="str">
        <f t="shared" si="0"/>
        <v>POLETTI  (Astoria)310Land &amp; Land Rights</v>
      </c>
      <c r="B48" s="1632" t="s">
        <v>1183</v>
      </c>
      <c r="C48" s="1633" t="s">
        <v>451</v>
      </c>
      <c r="D48" s="1634" t="s">
        <v>161</v>
      </c>
      <c r="E48" s="1633">
        <v>310</v>
      </c>
      <c r="F48" s="1633" t="s">
        <v>1890</v>
      </c>
      <c r="G48" s="1304">
        <v>729549</v>
      </c>
      <c r="H48" s="1304">
        <v>0</v>
      </c>
      <c r="I48" s="1304">
        <v>729549</v>
      </c>
      <c r="J48" s="1304">
        <v>0</v>
      </c>
      <c r="K48" s="1304">
        <v>729549</v>
      </c>
      <c r="L48" s="1304">
        <v>0</v>
      </c>
      <c r="M48" s="1304">
        <v>729549</v>
      </c>
      <c r="N48" s="1304">
        <v>0</v>
      </c>
      <c r="O48"/>
      <c r="P48"/>
      <c r="Q48"/>
      <c r="R48"/>
      <c r="S48"/>
      <c r="T48"/>
      <c r="U48"/>
      <c r="V48"/>
      <c r="W48"/>
      <c r="X48"/>
      <c r="Y48"/>
      <c r="Z48"/>
    </row>
    <row r="49" spans="1:26" s="1635" customFormat="1" ht="15.75" customHeight="1" outlineLevel="1">
      <c r="A49" s="1631" t="str">
        <f t="shared" si="0"/>
        <v>POUCH TERMINAL  (Richmond)340Land &amp; Land Rights</v>
      </c>
      <c r="B49" s="1632" t="s">
        <v>1184</v>
      </c>
      <c r="C49" s="1633" t="s">
        <v>451</v>
      </c>
      <c r="D49" s="1634" t="s">
        <v>166</v>
      </c>
      <c r="E49" s="1633">
        <v>340</v>
      </c>
      <c r="F49" s="1633" t="s">
        <v>1890</v>
      </c>
      <c r="G49" s="1304">
        <v>950605</v>
      </c>
      <c r="H49" s="1304">
        <v>0</v>
      </c>
      <c r="I49" s="1304">
        <v>950605</v>
      </c>
      <c r="J49" s="1304">
        <v>0</v>
      </c>
      <c r="K49" s="1304">
        <v>950605</v>
      </c>
      <c r="L49" s="1304">
        <v>0</v>
      </c>
      <c r="M49" s="1304">
        <v>950605</v>
      </c>
      <c r="N49" s="1304">
        <v>0</v>
      </c>
      <c r="O49"/>
      <c r="P49"/>
      <c r="Q49"/>
      <c r="R49"/>
      <c r="S49"/>
      <c r="T49"/>
      <c r="U49"/>
      <c r="V49"/>
      <c r="W49"/>
      <c r="X49"/>
      <c r="Y49"/>
      <c r="Z49"/>
    </row>
    <row r="50" spans="1:26" s="1635" customFormat="1" ht="15.75" customHeight="1" outlineLevel="1">
      <c r="A50" s="1631" t="str">
        <f t="shared" si="0"/>
        <v>St.  LAWRENCE / FDR330Land &amp; Land Rights</v>
      </c>
      <c r="B50" s="1632" t="s">
        <v>1185</v>
      </c>
      <c r="C50" s="1633" t="s">
        <v>451</v>
      </c>
      <c r="D50" s="1634" t="s">
        <v>1895</v>
      </c>
      <c r="E50" s="1633">
        <v>330</v>
      </c>
      <c r="F50" s="1633" t="s">
        <v>1890</v>
      </c>
      <c r="G50" s="1304">
        <v>217672</v>
      </c>
      <c r="H50" s="1304">
        <v>0</v>
      </c>
      <c r="I50" s="1304">
        <v>217672</v>
      </c>
      <c r="J50" s="1304">
        <v>0</v>
      </c>
      <c r="K50" s="1304">
        <v>217672</v>
      </c>
      <c r="L50" s="1304">
        <v>0</v>
      </c>
      <c r="M50" s="1304">
        <v>217672</v>
      </c>
      <c r="N50" s="1304">
        <v>0</v>
      </c>
      <c r="O50"/>
      <c r="P50"/>
      <c r="Q50"/>
      <c r="R50"/>
      <c r="S50"/>
      <c r="T50"/>
      <c r="U50"/>
      <c r="V50"/>
      <c r="W50"/>
      <c r="X50"/>
      <c r="Y50"/>
      <c r="Z50"/>
    </row>
    <row r="51" spans="1:26" s="1635" customFormat="1" ht="15.75" customHeight="1" outlineLevel="1">
      <c r="A51" s="1631" t="str">
        <f t="shared" si="0"/>
        <v>VERNON BOULEVARD  (Queens)340Land &amp; Land Rights</v>
      </c>
      <c r="B51" s="1632" t="s">
        <v>1186</v>
      </c>
      <c r="C51" s="1633" t="s">
        <v>451</v>
      </c>
      <c r="D51" s="1634" t="s">
        <v>167</v>
      </c>
      <c r="E51" s="1633">
        <v>340</v>
      </c>
      <c r="F51" s="1633" t="s">
        <v>1890</v>
      </c>
      <c r="G51" s="1304">
        <v>6968605</v>
      </c>
      <c r="H51" s="1304">
        <v>0</v>
      </c>
      <c r="I51" s="1304">
        <v>6968605</v>
      </c>
      <c r="J51" s="1304">
        <v>0</v>
      </c>
      <c r="K51" s="1304">
        <v>6968605</v>
      </c>
      <c r="L51" s="1304">
        <v>0</v>
      </c>
      <c r="M51" s="1304">
        <v>6968605</v>
      </c>
      <c r="N51" s="1304">
        <v>0</v>
      </c>
      <c r="O51"/>
      <c r="P51"/>
      <c r="Q51"/>
      <c r="R51"/>
      <c r="S51"/>
      <c r="T51"/>
      <c r="U51"/>
      <c r="V51"/>
      <c r="W51"/>
      <c r="X51"/>
      <c r="Y51"/>
      <c r="Z51"/>
    </row>
    <row r="52" spans="1:26" s="1635" customFormat="1" ht="15.75" customHeight="1" outlineLevel="1">
      <c r="A52" s="1631" t="str">
        <f t="shared" si="0"/>
        <v>Vischer Ferry330Land &amp; Land Rights</v>
      </c>
      <c r="B52" s="1632" t="s">
        <v>1226</v>
      </c>
      <c r="C52" s="1633" t="s">
        <v>451</v>
      </c>
      <c r="D52" s="1634" t="s">
        <v>164</v>
      </c>
      <c r="E52" s="1633">
        <v>330</v>
      </c>
      <c r="F52" s="1633" t="s">
        <v>1890</v>
      </c>
      <c r="G52" s="1304">
        <v>6518668</v>
      </c>
      <c r="H52" s="1304">
        <v>0</v>
      </c>
      <c r="I52" s="1304">
        <v>6518668</v>
      </c>
      <c r="J52" s="1304">
        <v>0</v>
      </c>
      <c r="K52" s="1304">
        <v>6518668</v>
      </c>
      <c r="L52" s="1304">
        <v>0</v>
      </c>
      <c r="M52" s="1304">
        <v>6518668</v>
      </c>
      <c r="N52" s="1304">
        <v>0</v>
      </c>
      <c r="O52"/>
      <c r="P52"/>
      <c r="Q52"/>
      <c r="R52"/>
      <c r="S52"/>
      <c r="T52"/>
      <c r="U52"/>
      <c r="V52"/>
      <c r="W52"/>
      <c r="X52"/>
      <c r="Y52"/>
      <c r="Z52"/>
    </row>
    <row r="53" spans="1:26" s="1635" customFormat="1" ht="15.75" customHeight="1" outlineLevel="1">
      <c r="A53" s="1631" t="str">
        <f t="shared" ref="A53:A83" si="1">CONCATENATE(D53,E53,F53)</f>
        <v/>
      </c>
      <c r="B53" s="1632" t="s">
        <v>541</v>
      </c>
      <c r="C53" s="1636"/>
      <c r="D53" s="1636"/>
      <c r="E53" s="1304"/>
      <c r="F53" s="1636"/>
      <c r="G53" s="1304"/>
      <c r="H53" s="1304"/>
      <c r="I53" s="1304"/>
      <c r="J53" s="1304"/>
      <c r="K53" s="1304"/>
      <c r="L53" s="1304"/>
      <c r="M53" s="1304"/>
      <c r="N53" s="1304"/>
      <c r="O53"/>
      <c r="P53"/>
      <c r="Q53"/>
      <c r="R53"/>
      <c r="S53"/>
      <c r="T53"/>
      <c r="U53"/>
      <c r="V53"/>
      <c r="W53"/>
      <c r="X53"/>
      <c r="Y53"/>
      <c r="Z53"/>
    </row>
    <row r="54" spans="1:26" s="1635" customFormat="1" ht="15.75" customHeight="1" outlineLevel="1" thickBot="1">
      <c r="A54" s="1631" t="str">
        <f t="shared" si="1"/>
        <v/>
      </c>
      <c r="B54" s="1632" t="s">
        <v>541</v>
      </c>
      <c r="C54" s="1636"/>
      <c r="D54" s="1636"/>
      <c r="E54" s="1304"/>
      <c r="F54" s="1636"/>
      <c r="G54" s="1304"/>
      <c r="H54" s="1304"/>
      <c r="I54" s="1304"/>
      <c r="J54" s="1304"/>
      <c r="K54" s="1304"/>
      <c r="L54" s="1304"/>
      <c r="M54" s="1304"/>
      <c r="N54" s="1304"/>
      <c r="O54"/>
      <c r="P54"/>
      <c r="Q54"/>
      <c r="R54"/>
      <c r="S54"/>
      <c r="T54"/>
      <c r="U54"/>
      <c r="V54"/>
      <c r="W54"/>
      <c r="X54"/>
      <c r="Y54"/>
      <c r="Z54"/>
    </row>
    <row r="55" spans="1:26" s="1640" customFormat="1" ht="16.5" customHeight="1" thickBot="1">
      <c r="A55" s="1631" t="str">
        <f t="shared" si="1"/>
        <v>Land Total</v>
      </c>
      <c r="B55" s="1637">
        <v>2</v>
      </c>
      <c r="C55" s="1638"/>
      <c r="D55" s="1638"/>
      <c r="E55" s="1638"/>
      <c r="F55" s="1639" t="s">
        <v>616</v>
      </c>
      <c r="G55" s="773">
        <f t="shared" ref="G55:J55" si="2">SUBTOTAL(9,G18:G54)</f>
        <v>163892887.08000001</v>
      </c>
      <c r="H55" s="773">
        <f t="shared" si="2"/>
        <v>0</v>
      </c>
      <c r="I55" s="773">
        <f t="shared" si="2"/>
        <v>163892887.08000001</v>
      </c>
      <c r="J55" s="773">
        <f t="shared" si="2"/>
        <v>0</v>
      </c>
      <c r="K55" s="773">
        <f t="shared" ref="K55:N55" si="3">SUBTOTAL(9,K18:K54)</f>
        <v>163892887.08000001</v>
      </c>
      <c r="L55" s="773">
        <f t="shared" si="3"/>
        <v>0</v>
      </c>
      <c r="M55" s="773">
        <f t="shared" si="3"/>
        <v>163892887.08000001</v>
      </c>
      <c r="N55" s="773">
        <f t="shared" si="3"/>
        <v>0</v>
      </c>
      <c r="O55"/>
      <c r="P55"/>
      <c r="Q55"/>
      <c r="R55"/>
      <c r="S55"/>
      <c r="T55"/>
      <c r="U55"/>
      <c r="V55"/>
      <c r="W55"/>
      <c r="X55"/>
      <c r="Y55"/>
      <c r="Z55"/>
    </row>
    <row r="56" spans="1:26" s="1635" customFormat="1" ht="15.75" customHeight="1" outlineLevel="1">
      <c r="A56" s="1631" t="str">
        <f t="shared" si="1"/>
        <v/>
      </c>
      <c r="B56" s="1632"/>
      <c r="C56" s="1641"/>
      <c r="D56" s="1642"/>
      <c r="E56" s="1641"/>
      <c r="F56" s="1643"/>
      <c r="G56" s="774"/>
      <c r="H56" s="774"/>
      <c r="I56" s="774"/>
      <c r="J56" s="774"/>
      <c r="K56" s="774"/>
      <c r="L56" s="774"/>
      <c r="M56" s="774"/>
      <c r="N56" s="774"/>
      <c r="O56"/>
      <c r="P56"/>
      <c r="Q56"/>
      <c r="R56"/>
      <c r="S56"/>
      <c r="T56"/>
      <c r="U56"/>
      <c r="V56"/>
      <c r="W56"/>
      <c r="X56"/>
      <c r="Y56"/>
      <c r="Z56"/>
    </row>
    <row r="57" spans="1:26" s="1635" customFormat="1" ht="15.75" customHeight="1" outlineLevel="1">
      <c r="A57" s="1631" t="str">
        <f t="shared" si="1"/>
        <v/>
      </c>
      <c r="B57" s="1632"/>
      <c r="C57" s="1641"/>
      <c r="D57" s="1642"/>
      <c r="E57" s="1641"/>
      <c r="F57" s="1643"/>
      <c r="G57" s="774"/>
      <c r="H57" s="774"/>
      <c r="I57" s="774"/>
      <c r="J57" s="774"/>
      <c r="K57" s="774"/>
      <c r="L57" s="774"/>
      <c r="M57" s="774"/>
      <c r="N57" s="774"/>
      <c r="O57"/>
      <c r="P57"/>
      <c r="Q57"/>
      <c r="R57"/>
      <c r="S57"/>
      <c r="T57"/>
      <c r="U57"/>
      <c r="V57"/>
      <c r="W57"/>
      <c r="X57"/>
      <c r="Y57"/>
      <c r="Z57"/>
    </row>
    <row r="58" spans="1:26" s="1640" customFormat="1" ht="16.5" customHeight="1" outlineLevel="1" thickBot="1">
      <c r="A58" s="1631" t="str">
        <f t="shared" si="1"/>
        <v>Construction in progress</v>
      </c>
      <c r="B58" s="1644">
        <v>3</v>
      </c>
      <c r="C58" s="1645"/>
      <c r="D58" s="1646"/>
      <c r="E58" s="1645"/>
      <c r="F58" s="1647" t="s">
        <v>609</v>
      </c>
      <c r="G58" s="775"/>
      <c r="H58" s="775"/>
      <c r="I58" s="775"/>
      <c r="J58" s="775"/>
      <c r="K58" s="775"/>
      <c r="L58" s="775"/>
      <c r="M58" s="775"/>
      <c r="N58" s="775"/>
      <c r="O58"/>
      <c r="P58"/>
      <c r="Q58"/>
      <c r="R58"/>
      <c r="S58"/>
      <c r="T58"/>
      <c r="U58"/>
      <c r="V58"/>
      <c r="W58"/>
      <c r="X58"/>
      <c r="Y58"/>
      <c r="Z58"/>
    </row>
    <row r="59" spans="1:26" s="1635" customFormat="1" ht="15.75" customHeight="1" outlineLevel="1" thickBot="1">
      <c r="A59" s="1631" t="str">
        <f t="shared" si="1"/>
        <v>AdjustmentsCWIP</v>
      </c>
      <c r="B59" s="1648" t="s">
        <v>1276</v>
      </c>
      <c r="C59" s="783"/>
      <c r="D59" s="1649" t="s">
        <v>183</v>
      </c>
      <c r="E59" s="783"/>
      <c r="F59" s="780" t="s">
        <v>184</v>
      </c>
      <c r="G59" s="1304">
        <v>713159376.95000017</v>
      </c>
      <c r="H59" s="1304">
        <v>0</v>
      </c>
      <c r="I59" s="1304">
        <v>713159376.95000017</v>
      </c>
      <c r="J59" s="1304">
        <v>0</v>
      </c>
      <c r="K59" s="1304">
        <v>636606942.48000002</v>
      </c>
      <c r="L59" s="1304">
        <v>0</v>
      </c>
      <c r="M59" s="1304">
        <v>636606942.48000002</v>
      </c>
      <c r="N59" s="1304">
        <v>0</v>
      </c>
      <c r="O59"/>
      <c r="P59"/>
      <c r="Q59"/>
      <c r="R59"/>
      <c r="S59"/>
      <c r="T59"/>
      <c r="U59"/>
      <c r="V59"/>
      <c r="W59"/>
      <c r="X59"/>
      <c r="Y59"/>
      <c r="Z59"/>
    </row>
    <row r="60" spans="1:26" s="1640" customFormat="1" ht="16.5" customHeight="1" thickBot="1">
      <c r="A60" s="1631" t="str">
        <f t="shared" si="1"/>
        <v>Construction in progress Total</v>
      </c>
      <c r="B60" s="1637">
        <v>4</v>
      </c>
      <c r="C60" s="1638"/>
      <c r="D60" s="1650"/>
      <c r="E60" s="1638"/>
      <c r="F60" s="1651" t="s">
        <v>618</v>
      </c>
      <c r="G60" s="773">
        <f t="shared" ref="G60:I60" si="4">SUBTOTAL(9,G59:G59)</f>
        <v>713159376.95000017</v>
      </c>
      <c r="H60" s="773">
        <f t="shared" si="4"/>
        <v>0</v>
      </c>
      <c r="I60" s="773">
        <f t="shared" si="4"/>
        <v>713159376.95000017</v>
      </c>
      <c r="J60" s="773">
        <f>SUBTOTAL(9,J59:J59)</f>
        <v>0</v>
      </c>
      <c r="K60" s="773">
        <f t="shared" ref="K60:M60" si="5">SUBTOTAL(9,K59:K59)</f>
        <v>636606942.48000002</v>
      </c>
      <c r="L60" s="773">
        <f t="shared" si="5"/>
        <v>0</v>
      </c>
      <c r="M60" s="773">
        <f t="shared" si="5"/>
        <v>636606942.48000002</v>
      </c>
      <c r="N60" s="773">
        <f>SUBTOTAL(9,N59:N59)</f>
        <v>0</v>
      </c>
      <c r="O60"/>
      <c r="P60"/>
      <c r="Q60"/>
      <c r="R60"/>
      <c r="S60"/>
      <c r="T60"/>
      <c r="U60"/>
      <c r="V60"/>
      <c r="W60"/>
      <c r="X60"/>
      <c r="Y60"/>
      <c r="Z60"/>
    </row>
    <row r="61" spans="1:26" s="1635" customFormat="1" ht="16.5" customHeight="1" thickBot="1">
      <c r="A61" s="1631" t="str">
        <f t="shared" si="1"/>
        <v/>
      </c>
      <c r="B61" s="1632"/>
      <c r="C61" s="1641"/>
      <c r="D61" s="1641"/>
      <c r="E61" s="1641"/>
      <c r="F61" s="1652"/>
      <c r="G61" s="774"/>
      <c r="H61" s="774"/>
      <c r="I61" s="774"/>
      <c r="J61" s="774"/>
      <c r="K61" s="774"/>
      <c r="L61" s="774"/>
      <c r="M61" s="774"/>
      <c r="N61" s="774"/>
      <c r="O61"/>
      <c r="P61"/>
      <c r="Q61"/>
      <c r="R61"/>
      <c r="S61"/>
      <c r="T61"/>
      <c r="U61"/>
      <c r="V61"/>
      <c r="W61"/>
      <c r="X61"/>
      <c r="Y61"/>
      <c r="Z61"/>
    </row>
    <row r="62" spans="1:26" s="1654" customFormat="1" ht="16.5" customHeight="1" thickBot="1">
      <c r="A62" s="1631" t="str">
        <f t="shared" si="1"/>
        <v>Total capital assets not being depreciated</v>
      </c>
      <c r="B62" s="1653">
        <v>5</v>
      </c>
      <c r="C62" s="1639"/>
      <c r="D62" s="1650"/>
      <c r="E62" s="1639" t="s">
        <v>621</v>
      </c>
      <c r="F62" s="1651"/>
      <c r="G62" s="776">
        <f t="shared" ref="G62:I62" si="6">G55+G60</f>
        <v>877052264.03000021</v>
      </c>
      <c r="H62" s="776">
        <f t="shared" si="6"/>
        <v>0</v>
      </c>
      <c r="I62" s="776">
        <f t="shared" si="6"/>
        <v>877052264.03000021</v>
      </c>
      <c r="J62" s="776">
        <f>J55+J60</f>
        <v>0</v>
      </c>
      <c r="K62" s="776">
        <f t="shared" ref="K62:M62" si="7">K55+K60</f>
        <v>800499829.56000006</v>
      </c>
      <c r="L62" s="776">
        <f t="shared" si="7"/>
        <v>0</v>
      </c>
      <c r="M62" s="776">
        <f t="shared" si="7"/>
        <v>800499829.56000006</v>
      </c>
      <c r="N62" s="776">
        <f>N55+N60</f>
        <v>0</v>
      </c>
      <c r="O62"/>
      <c r="P62"/>
      <c r="Q62"/>
      <c r="R62"/>
      <c r="S62"/>
      <c r="T62"/>
      <c r="U62"/>
      <c r="V62"/>
      <c r="W62"/>
      <c r="X62"/>
      <c r="Y62"/>
      <c r="Z62"/>
    </row>
    <row r="63" spans="1:26" s="1635" customFormat="1" ht="15.75" customHeight="1">
      <c r="A63" s="1631" t="str">
        <f t="shared" si="1"/>
        <v/>
      </c>
      <c r="B63" s="1632"/>
      <c r="C63" s="1641"/>
      <c r="D63" s="1655"/>
      <c r="E63" s="1641"/>
      <c r="F63" s="1652"/>
      <c r="G63" s="774"/>
      <c r="H63" s="774"/>
      <c r="I63" s="774"/>
      <c r="J63" s="774"/>
      <c r="K63" s="774"/>
      <c r="L63" s="774"/>
      <c r="M63" s="774"/>
      <c r="N63" s="774"/>
      <c r="O63"/>
      <c r="P63"/>
      <c r="Q63"/>
      <c r="R63"/>
      <c r="S63"/>
      <c r="T63"/>
      <c r="U63"/>
      <c r="V63"/>
      <c r="W63"/>
      <c r="X63"/>
      <c r="Y63"/>
      <c r="Z63"/>
    </row>
    <row r="64" spans="1:26" s="1635" customFormat="1" ht="15.75" customHeight="1">
      <c r="A64" s="1631" t="str">
        <f t="shared" si="1"/>
        <v/>
      </c>
      <c r="B64" s="1632"/>
      <c r="C64" s="1641"/>
      <c r="D64" s="1655"/>
      <c r="E64" s="1641"/>
      <c r="F64" s="1652"/>
      <c r="G64" s="774"/>
      <c r="H64" s="774"/>
      <c r="I64" s="774"/>
      <c r="J64" s="774"/>
      <c r="K64" s="774"/>
      <c r="L64" s="774"/>
      <c r="M64" s="774"/>
      <c r="N64" s="774"/>
      <c r="O64"/>
      <c r="P64"/>
      <c r="Q64"/>
      <c r="R64"/>
      <c r="S64"/>
      <c r="T64"/>
      <c r="U64"/>
      <c r="V64"/>
      <c r="W64"/>
      <c r="X64"/>
      <c r="Y64"/>
      <c r="Z64"/>
    </row>
    <row r="65" spans="1:26" s="1635" customFormat="1" ht="15.75" customHeight="1">
      <c r="A65" s="1631" t="str">
        <f t="shared" si="1"/>
        <v/>
      </c>
      <c r="B65" s="1632"/>
      <c r="C65" s="1641"/>
      <c r="D65" s="1655"/>
      <c r="E65" s="1641"/>
      <c r="F65" s="1652"/>
      <c r="G65" s="774"/>
      <c r="H65" s="774"/>
      <c r="I65" s="774"/>
      <c r="J65" s="774"/>
      <c r="K65" s="774"/>
      <c r="L65" s="774"/>
      <c r="M65" s="774"/>
      <c r="N65" s="774"/>
      <c r="O65"/>
      <c r="P65"/>
      <c r="Q65"/>
      <c r="R65"/>
      <c r="S65"/>
      <c r="T65"/>
      <c r="U65"/>
      <c r="V65"/>
      <c r="W65"/>
      <c r="X65"/>
      <c r="Y65"/>
      <c r="Z65"/>
    </row>
    <row r="66" spans="1:26" s="1445" customFormat="1" ht="16.5" customHeight="1" thickBot="1">
      <c r="A66" s="1631" t="str">
        <f t="shared" si="1"/>
        <v>Capital assets, being depreciated:</v>
      </c>
      <c r="B66" s="1626"/>
      <c r="C66" s="1626"/>
      <c r="D66" s="1627"/>
      <c r="E66" s="1628" t="s">
        <v>622</v>
      </c>
      <c r="F66" s="1628"/>
      <c r="G66" s="777"/>
      <c r="H66" s="777"/>
      <c r="I66" s="777"/>
      <c r="J66" s="777"/>
      <c r="K66" s="777"/>
      <c r="L66" s="777"/>
      <c r="M66" s="777"/>
      <c r="N66" s="777"/>
      <c r="O66"/>
      <c r="P66"/>
      <c r="Q66"/>
      <c r="R66"/>
      <c r="S66"/>
      <c r="T66"/>
      <c r="U66"/>
      <c r="V66"/>
      <c r="W66"/>
      <c r="X66"/>
      <c r="Y66"/>
      <c r="Z66"/>
    </row>
    <row r="67" spans="1:26" s="1635" customFormat="1" ht="15.75" customHeight="1" outlineLevel="1">
      <c r="A67" s="1631" t="str">
        <f t="shared" si="1"/>
        <v/>
      </c>
      <c r="B67" s="1632"/>
      <c r="C67" s="1641"/>
      <c r="D67" s="1655"/>
      <c r="E67" s="1641"/>
      <c r="F67" s="1652"/>
      <c r="G67" s="774"/>
      <c r="H67" s="774"/>
      <c r="I67" s="774"/>
      <c r="J67" s="774"/>
      <c r="K67" s="774"/>
      <c r="L67" s="774"/>
      <c r="M67" s="774"/>
      <c r="N67" s="774"/>
      <c r="O67"/>
      <c r="P67"/>
      <c r="Q67"/>
      <c r="R67"/>
      <c r="S67"/>
      <c r="T67"/>
      <c r="U67"/>
      <c r="V67"/>
      <c r="W67"/>
      <c r="X67"/>
      <c r="Y67"/>
      <c r="Z67"/>
    </row>
    <row r="68" spans="1:26" s="1640" customFormat="1" ht="16.5" customHeight="1" outlineLevel="1" thickBot="1">
      <c r="A68" s="1631" t="str">
        <f t="shared" si="1"/>
        <v>Production - Hydro</v>
      </c>
      <c r="B68" s="1644">
        <v>6</v>
      </c>
      <c r="C68" s="1645"/>
      <c r="D68" s="1646"/>
      <c r="E68" s="1645"/>
      <c r="F68" s="1647" t="s">
        <v>610</v>
      </c>
      <c r="G68" s="775"/>
      <c r="H68" s="775"/>
      <c r="I68" s="775"/>
      <c r="J68" s="775"/>
      <c r="K68" s="775"/>
      <c r="L68" s="775"/>
      <c r="M68" s="775"/>
      <c r="N68" s="775"/>
      <c r="O68"/>
      <c r="P68"/>
      <c r="Q68"/>
      <c r="R68"/>
      <c r="S68"/>
      <c r="T68"/>
      <c r="U68"/>
      <c r="V68"/>
      <c r="W68"/>
      <c r="X68"/>
      <c r="Y68"/>
      <c r="Z68"/>
    </row>
    <row r="69" spans="1:26" s="1635" customFormat="1" ht="15.75" customHeight="1" outlineLevel="1">
      <c r="A69" s="1631" t="str">
        <f t="shared" si="1"/>
        <v>ASHOKAN333Waterwheels, Turbines, Generators</v>
      </c>
      <c r="B69" s="1632" t="s">
        <v>1366</v>
      </c>
      <c r="C69" s="1633" t="s">
        <v>451</v>
      </c>
      <c r="D69" s="1634" t="s">
        <v>2045</v>
      </c>
      <c r="E69" s="1633">
        <v>333</v>
      </c>
      <c r="F69" s="1633" t="s">
        <v>1899</v>
      </c>
      <c r="G69" s="1304">
        <v>14962756.819999998</v>
      </c>
      <c r="H69" s="1304">
        <v>8993300.3477807194</v>
      </c>
      <c r="I69" s="1304">
        <v>5969456.4722192809</v>
      </c>
      <c r="J69" s="1304">
        <v>530869.52778071805</v>
      </c>
      <c r="K69" s="1304">
        <v>14962756.819999998</v>
      </c>
      <c r="L69" s="1304">
        <v>8462430.8200000003</v>
      </c>
      <c r="M69" s="1304">
        <v>6500325.9999999981</v>
      </c>
      <c r="N69" s="1304">
        <v>249382</v>
      </c>
      <c r="O69"/>
      <c r="P69"/>
      <c r="Q69"/>
      <c r="R69"/>
      <c r="S69"/>
      <c r="T69"/>
      <c r="U69"/>
      <c r="V69"/>
      <c r="W69"/>
      <c r="X69"/>
      <c r="Y69"/>
      <c r="Z69"/>
    </row>
    <row r="70" spans="1:26" s="1635" customFormat="1" ht="15.75" customHeight="1" outlineLevel="1">
      <c r="A70" s="1631" t="str">
        <f t="shared" si="1"/>
        <v>BLENHEIM - GILBOA331Structures &amp; Improvements</v>
      </c>
      <c r="B70" s="1632" t="s">
        <v>1367</v>
      </c>
      <c r="C70" s="1633" t="s">
        <v>451</v>
      </c>
      <c r="D70" s="1634" t="s">
        <v>1889</v>
      </c>
      <c r="E70" s="1633">
        <v>331</v>
      </c>
      <c r="F70" s="1633" t="s">
        <v>69</v>
      </c>
      <c r="G70" s="1304">
        <v>36537261</v>
      </c>
      <c r="H70" s="1304">
        <v>21635283.667083975</v>
      </c>
      <c r="I70" s="1304">
        <v>14901977.332916025</v>
      </c>
      <c r="J70" s="1304">
        <v>501957.0670839746</v>
      </c>
      <c r="K70" s="1304">
        <v>36537261</v>
      </c>
      <c r="L70" s="1304">
        <v>21133326.600000001</v>
      </c>
      <c r="M70" s="1304">
        <v>15403934.399999999</v>
      </c>
      <c r="N70" s="1304">
        <v>471420</v>
      </c>
      <c r="O70"/>
      <c r="P70"/>
      <c r="Q70"/>
      <c r="R70"/>
      <c r="S70"/>
      <c r="T70"/>
      <c r="U70"/>
      <c r="V70"/>
      <c r="W70"/>
      <c r="X70"/>
      <c r="Y70"/>
      <c r="Z70"/>
    </row>
    <row r="71" spans="1:26" s="1635" customFormat="1" ht="15.75" customHeight="1" outlineLevel="1">
      <c r="A71" s="1631" t="str">
        <f t="shared" si="1"/>
        <v>BLENHEIM - GILBOA332Reservoirs, Dams, Waterways</v>
      </c>
      <c r="B71" s="1632" t="s">
        <v>1368</v>
      </c>
      <c r="C71" s="1633" t="s">
        <v>451</v>
      </c>
      <c r="D71" s="1634" t="s">
        <v>1889</v>
      </c>
      <c r="E71" s="1633">
        <v>332</v>
      </c>
      <c r="F71" s="1633" t="s">
        <v>1900</v>
      </c>
      <c r="G71" s="1304">
        <v>78718528.780000001</v>
      </c>
      <c r="H71" s="1304">
        <v>56350627.006366313</v>
      </c>
      <c r="I71" s="1304">
        <v>22367901.773633689</v>
      </c>
      <c r="J71" s="1304">
        <v>918806.2263663084</v>
      </c>
      <c r="K71" s="1304">
        <v>78718528.780000001</v>
      </c>
      <c r="L71" s="1304">
        <v>55431820.780000001</v>
      </c>
      <c r="M71" s="1304">
        <v>23286708</v>
      </c>
      <c r="N71" s="1304">
        <v>1195502</v>
      </c>
      <c r="O71"/>
      <c r="P71"/>
      <c r="Q71"/>
      <c r="R71"/>
      <c r="S71"/>
      <c r="T71"/>
      <c r="U71"/>
      <c r="V71"/>
      <c r="W71"/>
      <c r="X71"/>
      <c r="Y71"/>
      <c r="Z71"/>
    </row>
    <row r="72" spans="1:26" s="1635" customFormat="1" ht="15.75" customHeight="1" outlineLevel="1">
      <c r="A72" s="1631" t="str">
        <f t="shared" si="1"/>
        <v>BLENHEIM - GILBOA333Waterwheels, Turbines, Generators</v>
      </c>
      <c r="B72" s="1632" t="s">
        <v>1369</v>
      </c>
      <c r="C72" s="1633" t="s">
        <v>451</v>
      </c>
      <c r="D72" s="1634" t="s">
        <v>1889</v>
      </c>
      <c r="E72" s="1633">
        <v>333</v>
      </c>
      <c r="F72" s="1633" t="s">
        <v>1899</v>
      </c>
      <c r="G72" s="1304">
        <v>95425623.839999974</v>
      </c>
      <c r="H72" s="1304">
        <v>33464201.679125115</v>
      </c>
      <c r="I72" s="1304">
        <v>61961422.160874858</v>
      </c>
      <c r="J72" s="1304">
        <v>2843894.419125122</v>
      </c>
      <c r="K72" s="1304">
        <v>95425623.839999974</v>
      </c>
      <c r="L72" s="1304">
        <v>30620307.259999994</v>
      </c>
      <c r="M72" s="1304">
        <v>64805316.579999983</v>
      </c>
      <c r="N72" s="1304">
        <v>2241438</v>
      </c>
      <c r="O72"/>
      <c r="P72"/>
      <c r="Q72"/>
      <c r="R72"/>
      <c r="S72"/>
      <c r="T72"/>
      <c r="U72"/>
      <c r="V72"/>
      <c r="W72"/>
      <c r="X72"/>
      <c r="Y72"/>
      <c r="Z72"/>
    </row>
    <row r="73" spans="1:26" s="1635" customFormat="1" ht="15.75" customHeight="1" outlineLevel="1">
      <c r="A73" s="1631" t="str">
        <f t="shared" si="1"/>
        <v>BLENHEIM - GILBOA334Accessory Electric Equipment</v>
      </c>
      <c r="B73" s="1632" t="s">
        <v>1370</v>
      </c>
      <c r="C73" s="1633" t="s">
        <v>451</v>
      </c>
      <c r="D73" s="1634" t="s">
        <v>1889</v>
      </c>
      <c r="E73" s="1633">
        <v>334</v>
      </c>
      <c r="F73" s="1633" t="s">
        <v>1901</v>
      </c>
      <c r="G73" s="1304">
        <v>32453266.869999997</v>
      </c>
      <c r="H73" s="1304">
        <v>16074296.05267743</v>
      </c>
      <c r="I73" s="1304">
        <v>16378970.817322567</v>
      </c>
      <c r="J73" s="1304">
        <v>603347.53267743043</v>
      </c>
      <c r="K73" s="1304">
        <v>32303172.639999997</v>
      </c>
      <c r="L73" s="1304">
        <v>15470948.52</v>
      </c>
      <c r="M73" s="1304">
        <v>16832224.119999997</v>
      </c>
      <c r="N73" s="1304">
        <v>1027488.04</v>
      </c>
      <c r="O73"/>
      <c r="P73"/>
      <c r="Q73"/>
      <c r="R73"/>
      <c r="S73"/>
      <c r="T73"/>
      <c r="U73"/>
      <c r="V73"/>
      <c r="W73"/>
      <c r="X73"/>
      <c r="Y73"/>
      <c r="Z73"/>
    </row>
    <row r="74" spans="1:26" s="1635" customFormat="1" ht="15.75" customHeight="1" outlineLevel="1">
      <c r="A74" s="1631" t="str">
        <f t="shared" si="1"/>
        <v>BLENHEIM - GILBOA335Misc Power Plant Equipment</v>
      </c>
      <c r="B74" s="1632" t="s">
        <v>1371</v>
      </c>
      <c r="C74" s="1633" t="s">
        <v>451</v>
      </c>
      <c r="D74" s="1634" t="s">
        <v>1889</v>
      </c>
      <c r="E74" s="1633">
        <v>335</v>
      </c>
      <c r="F74" s="1633" t="s">
        <v>1902</v>
      </c>
      <c r="G74" s="1304">
        <v>12275492.839999998</v>
      </c>
      <c r="H74" s="1304">
        <v>7115460.8925931854</v>
      </c>
      <c r="I74" s="1304">
        <v>5160031.9474068126</v>
      </c>
      <c r="J74" s="1304">
        <v>146406.71259318548</v>
      </c>
      <c r="K74" s="1304">
        <v>12275492.839999998</v>
      </c>
      <c r="L74" s="1304">
        <v>6969054.1799999997</v>
      </c>
      <c r="M74" s="1304">
        <v>5306438.6599999983</v>
      </c>
      <c r="N74" s="1304">
        <v>546171</v>
      </c>
      <c r="O74"/>
      <c r="P74"/>
      <c r="Q74"/>
      <c r="R74"/>
      <c r="S74"/>
      <c r="T74"/>
      <c r="U74"/>
      <c r="V74"/>
      <c r="W74"/>
      <c r="X74"/>
      <c r="Y74"/>
      <c r="Z74"/>
    </row>
    <row r="75" spans="1:26" s="1635" customFormat="1" ht="15.75" customHeight="1" outlineLevel="1">
      <c r="A75" s="1631" t="str">
        <f t="shared" si="1"/>
        <v>BLENHEIM - GILBOA336Roads, Railroads &amp; Bridges</v>
      </c>
      <c r="B75" s="1632" t="s">
        <v>1372</v>
      </c>
      <c r="C75" s="1633" t="s">
        <v>451</v>
      </c>
      <c r="D75" s="1634" t="s">
        <v>1889</v>
      </c>
      <c r="E75" s="1633">
        <v>336</v>
      </c>
      <c r="F75" s="1633" t="s">
        <v>1903</v>
      </c>
      <c r="G75" s="1304">
        <v>18416616.760000002</v>
      </c>
      <c r="H75" s="1304">
        <v>5847508.5519909021</v>
      </c>
      <c r="I75" s="1304">
        <v>12569108.2080091</v>
      </c>
      <c r="J75" s="1304">
        <v>271716.59199090215</v>
      </c>
      <c r="K75" s="1304">
        <v>18416616.760000002</v>
      </c>
      <c r="L75" s="1304">
        <v>5575791.96</v>
      </c>
      <c r="M75" s="1304">
        <v>12840824.800000001</v>
      </c>
      <c r="N75" s="1304">
        <v>222128</v>
      </c>
      <c r="O75"/>
      <c r="P75"/>
      <c r="Q75"/>
      <c r="R75"/>
      <c r="S75"/>
      <c r="T75"/>
      <c r="U75"/>
      <c r="V75"/>
      <c r="W75"/>
      <c r="X75"/>
      <c r="Y75"/>
      <c r="Z75"/>
    </row>
    <row r="76" spans="1:26" s="1635" customFormat="1" ht="15.75" customHeight="1" outlineLevel="1">
      <c r="A76" s="1631" t="str">
        <f t="shared" si="1"/>
        <v>Crescent332Reservoirs, Dams, Waterways</v>
      </c>
      <c r="B76" s="1632" t="s">
        <v>1373</v>
      </c>
      <c r="C76" s="1633" t="s">
        <v>451</v>
      </c>
      <c r="D76" s="1634" t="s">
        <v>154</v>
      </c>
      <c r="E76" s="1633">
        <v>332</v>
      </c>
      <c r="F76" s="1633" t="s">
        <v>1900</v>
      </c>
      <c r="G76" s="1304">
        <v>30801756.300000001</v>
      </c>
      <c r="H76" s="1304">
        <v>14424669.421198456</v>
      </c>
      <c r="I76" s="1304">
        <v>16377086.878801545</v>
      </c>
      <c r="J76" s="1304">
        <v>395940.51119845483</v>
      </c>
      <c r="K76" s="1304">
        <v>28906321.890000001</v>
      </c>
      <c r="L76" s="1304">
        <v>14028728.91</v>
      </c>
      <c r="M76" s="1304">
        <v>14877592.98</v>
      </c>
      <c r="N76" s="1304">
        <v>496749</v>
      </c>
      <c r="O76"/>
      <c r="P76"/>
      <c r="Q76"/>
      <c r="R76"/>
      <c r="S76"/>
      <c r="T76"/>
      <c r="U76"/>
      <c r="V76"/>
      <c r="W76"/>
      <c r="X76"/>
      <c r="Y76"/>
      <c r="Z76"/>
    </row>
    <row r="77" spans="1:26" s="1635" customFormat="1" ht="15.75" customHeight="1" outlineLevel="1">
      <c r="A77" s="1631" t="str">
        <f t="shared" si="1"/>
        <v>Crescent333Waterwheels, Turbines, Generators</v>
      </c>
      <c r="B77" s="1632" t="s">
        <v>1374</v>
      </c>
      <c r="C77" s="1633" t="s">
        <v>451</v>
      </c>
      <c r="D77" s="1634" t="s">
        <v>154</v>
      </c>
      <c r="E77" s="1633">
        <v>333</v>
      </c>
      <c r="F77" s="1633" t="s">
        <v>1899</v>
      </c>
      <c r="G77" s="1304">
        <v>15242495.259999998</v>
      </c>
      <c r="H77" s="1304">
        <v>3555705.6941123516</v>
      </c>
      <c r="I77" s="1304">
        <v>11686789.565887647</v>
      </c>
      <c r="J77" s="1304">
        <v>503450.8341123524</v>
      </c>
      <c r="K77" s="1304">
        <v>15242495.259999998</v>
      </c>
      <c r="L77" s="1304">
        <v>3052254.8599999994</v>
      </c>
      <c r="M77" s="1304">
        <v>12190240.399999999</v>
      </c>
      <c r="N77" s="1304">
        <v>258581</v>
      </c>
      <c r="O77"/>
      <c r="P77"/>
      <c r="Q77"/>
      <c r="R77"/>
      <c r="S77"/>
      <c r="T77"/>
      <c r="U77"/>
      <c r="V77"/>
      <c r="W77"/>
      <c r="X77"/>
      <c r="Y77"/>
      <c r="Z77"/>
    </row>
    <row r="78" spans="1:26" s="1635" customFormat="1" ht="15.75" customHeight="1" outlineLevel="1">
      <c r="A78" s="1631" t="str">
        <f t="shared" si="1"/>
        <v>Crescent334Accessory Electric Equipment</v>
      </c>
      <c r="B78" s="1632" t="s">
        <v>1375</v>
      </c>
      <c r="C78" s="1633" t="s">
        <v>451</v>
      </c>
      <c r="D78" s="1634" t="s">
        <v>154</v>
      </c>
      <c r="E78" s="1633">
        <v>334</v>
      </c>
      <c r="F78" s="1633" t="s">
        <v>1901</v>
      </c>
      <c r="G78" s="1304">
        <v>6610333.2799999993</v>
      </c>
      <c r="H78" s="1304">
        <v>2017173.0322369575</v>
      </c>
      <c r="I78" s="1304">
        <v>4593160.2477630414</v>
      </c>
      <c r="J78" s="1304">
        <v>175384.75223695755</v>
      </c>
      <c r="K78" s="1304">
        <v>6610333.2799999993</v>
      </c>
      <c r="L78" s="1304">
        <v>1841788.28</v>
      </c>
      <c r="M78" s="1304">
        <v>4768544.9999999991</v>
      </c>
      <c r="N78" s="1304">
        <v>111950</v>
      </c>
      <c r="O78"/>
      <c r="P78"/>
      <c r="Q78"/>
      <c r="R78"/>
      <c r="S78"/>
      <c r="T78"/>
      <c r="U78"/>
      <c r="V78"/>
      <c r="W78"/>
      <c r="X78"/>
      <c r="Y78"/>
      <c r="Z78"/>
    </row>
    <row r="79" spans="1:26" s="1635" customFormat="1" ht="15.75" customHeight="1" outlineLevel="1">
      <c r="A79" s="1631" t="str">
        <f t="shared" si="1"/>
        <v>Crescent335Misc Power Plant Equipment</v>
      </c>
      <c r="B79" s="1632" t="s">
        <v>1376</v>
      </c>
      <c r="C79" s="1633" t="s">
        <v>451</v>
      </c>
      <c r="D79" s="1634" t="s">
        <v>154</v>
      </c>
      <c r="E79" s="1633">
        <v>335</v>
      </c>
      <c r="F79" s="1633" t="s">
        <v>1902</v>
      </c>
      <c r="G79" s="1304">
        <v>1645955.51</v>
      </c>
      <c r="H79" s="1304">
        <v>578048.71979012247</v>
      </c>
      <c r="I79" s="1304">
        <v>1067906.7902098775</v>
      </c>
      <c r="J79" s="1304">
        <v>35365.209790122419</v>
      </c>
      <c r="K79" s="1304">
        <v>1645955.51</v>
      </c>
      <c r="L79" s="1304">
        <v>542683.51</v>
      </c>
      <c r="M79" s="1304">
        <v>1103272</v>
      </c>
      <c r="N79" s="1304">
        <v>31692</v>
      </c>
      <c r="O79"/>
      <c r="P79"/>
      <c r="Q79"/>
      <c r="R79"/>
      <c r="S79"/>
      <c r="T79"/>
      <c r="U79"/>
      <c r="V79"/>
      <c r="W79"/>
      <c r="X79"/>
      <c r="Y79"/>
      <c r="Z79"/>
    </row>
    <row r="80" spans="1:26" s="1635" customFormat="1" ht="15.75" customHeight="1" outlineLevel="1">
      <c r="A80" s="1631" t="str">
        <f t="shared" si="1"/>
        <v>Jarvis332Reservoirs, Dams, Waterways</v>
      </c>
      <c r="B80" s="1632" t="s">
        <v>1377</v>
      </c>
      <c r="C80" s="1633" t="s">
        <v>451</v>
      </c>
      <c r="D80" s="1634" t="s">
        <v>162</v>
      </c>
      <c r="E80" s="1633">
        <v>332</v>
      </c>
      <c r="F80" s="1633" t="s">
        <v>1900</v>
      </c>
      <c r="G80" s="1304">
        <v>19336575</v>
      </c>
      <c r="H80" s="1304">
        <v>10031319.473319434</v>
      </c>
      <c r="I80" s="1304">
        <v>9305255.5266805664</v>
      </c>
      <c r="J80" s="1304">
        <v>266614.47331943456</v>
      </c>
      <c r="K80" s="1304">
        <v>19336575</v>
      </c>
      <c r="L80" s="1304">
        <v>9764705</v>
      </c>
      <c r="M80" s="1304">
        <v>9571870</v>
      </c>
      <c r="N80" s="1304">
        <v>332597</v>
      </c>
      <c r="O80"/>
      <c r="P80"/>
      <c r="Q80"/>
      <c r="R80"/>
      <c r="S80"/>
      <c r="T80"/>
      <c r="U80"/>
      <c r="V80"/>
      <c r="W80"/>
      <c r="X80"/>
      <c r="Y80"/>
      <c r="Z80"/>
    </row>
    <row r="81" spans="1:26" s="1635" customFormat="1" ht="15.75" customHeight="1" outlineLevel="1">
      <c r="A81" s="1631" t="str">
        <f t="shared" si="1"/>
        <v>Jarvis333Waterwheels, Turbines, Generators</v>
      </c>
      <c r="B81" s="1632" t="s">
        <v>1378</v>
      </c>
      <c r="C81" s="1633" t="s">
        <v>451</v>
      </c>
      <c r="D81" s="1634" t="s">
        <v>162</v>
      </c>
      <c r="E81" s="1633">
        <v>333</v>
      </c>
      <c r="F81" s="1633" t="s">
        <v>1899</v>
      </c>
      <c r="G81" s="1304">
        <v>8183671.5300000003</v>
      </c>
      <c r="H81" s="1304">
        <v>4387532.1025629994</v>
      </c>
      <c r="I81" s="1304">
        <v>3796139.4274370009</v>
      </c>
      <c r="J81" s="1304">
        <v>369279.57256299985</v>
      </c>
      <c r="K81" s="1304">
        <v>8183671.5300000003</v>
      </c>
      <c r="L81" s="1304">
        <v>4018252.53</v>
      </c>
      <c r="M81" s="1304">
        <v>4165419.0000000005</v>
      </c>
      <c r="N81" s="1304">
        <v>141220</v>
      </c>
      <c r="O81"/>
      <c r="P81"/>
      <c r="Q81"/>
      <c r="R81"/>
      <c r="S81"/>
      <c r="T81"/>
      <c r="U81"/>
      <c r="V81"/>
      <c r="W81"/>
      <c r="X81"/>
      <c r="Y81"/>
      <c r="Z81"/>
    </row>
    <row r="82" spans="1:26" s="1635" customFormat="1" ht="15.75" customHeight="1" outlineLevel="1">
      <c r="A82" s="1631" t="str">
        <f t="shared" si="1"/>
        <v>Jarvis334Accessory Electric Equipment</v>
      </c>
      <c r="B82" s="1632" t="s">
        <v>1379</v>
      </c>
      <c r="C82" s="1633" t="s">
        <v>451</v>
      </c>
      <c r="D82" s="1634" t="s">
        <v>162</v>
      </c>
      <c r="E82" s="1633">
        <v>334</v>
      </c>
      <c r="F82" s="1633" t="s">
        <v>1901</v>
      </c>
      <c r="G82" s="1304">
        <v>153363</v>
      </c>
      <c r="H82" s="1304">
        <v>81558.644505355871</v>
      </c>
      <c r="I82" s="1304">
        <v>71804.355494644129</v>
      </c>
      <c r="J82" s="1304">
        <v>4622.6445053558755</v>
      </c>
      <c r="K82" s="1304">
        <v>153363</v>
      </c>
      <c r="L82" s="1304">
        <v>76936</v>
      </c>
      <c r="M82" s="1304">
        <v>76427</v>
      </c>
      <c r="N82" s="1304">
        <v>2641</v>
      </c>
      <c r="O82"/>
      <c r="P82"/>
      <c r="Q82"/>
      <c r="R82"/>
      <c r="S82"/>
      <c r="T82"/>
      <c r="U82"/>
      <c r="V82"/>
      <c r="W82"/>
      <c r="X82"/>
      <c r="Y82"/>
      <c r="Z82"/>
    </row>
    <row r="83" spans="1:26" s="1635" customFormat="1" ht="15.75" customHeight="1" outlineLevel="1">
      <c r="A83" s="1631" t="str">
        <f t="shared" si="1"/>
        <v>Jarvis335Misc Power Plant Equipment</v>
      </c>
      <c r="B83" s="1632" t="s">
        <v>1380</v>
      </c>
      <c r="C83" s="1633" t="s">
        <v>451</v>
      </c>
      <c r="D83" s="1634" t="s">
        <v>162</v>
      </c>
      <c r="E83" s="1633">
        <v>335</v>
      </c>
      <c r="F83" s="1633" t="s">
        <v>1902</v>
      </c>
      <c r="G83" s="1304">
        <v>526915.02</v>
      </c>
      <c r="H83" s="1304">
        <v>333384.29874635494</v>
      </c>
      <c r="I83" s="1304">
        <v>193530.72125364508</v>
      </c>
      <c r="J83" s="1304">
        <v>12145.278746354932</v>
      </c>
      <c r="K83" s="1304">
        <v>526915.02</v>
      </c>
      <c r="L83" s="1304">
        <v>321239.02</v>
      </c>
      <c r="M83" s="1304">
        <v>205676</v>
      </c>
      <c r="N83" s="1304">
        <v>26347</v>
      </c>
      <c r="O83"/>
      <c r="P83"/>
      <c r="Q83"/>
      <c r="R83"/>
      <c r="S83"/>
      <c r="T83"/>
      <c r="U83"/>
      <c r="V83"/>
      <c r="W83"/>
      <c r="X83"/>
      <c r="Y83"/>
      <c r="Z83"/>
    </row>
    <row r="84" spans="1:26" s="1635" customFormat="1" ht="15.75" customHeight="1" outlineLevel="1">
      <c r="A84" s="1631" t="str">
        <f t="shared" ref="A84:A147" si="8">CONCATENATE(D84,E84,F84)</f>
        <v>Kensico333Waterwheels, Turbines, Generators</v>
      </c>
      <c r="B84" s="1632" t="s">
        <v>1381</v>
      </c>
      <c r="C84" s="1633" t="s">
        <v>451</v>
      </c>
      <c r="D84" s="1634" t="s">
        <v>163</v>
      </c>
      <c r="E84" s="1633">
        <v>333</v>
      </c>
      <c r="F84" s="1633" t="s">
        <v>1899</v>
      </c>
      <c r="G84" s="1304">
        <v>0</v>
      </c>
      <c r="H84" s="1304">
        <v>0</v>
      </c>
      <c r="I84" s="1304">
        <v>0</v>
      </c>
      <c r="J84" s="1304">
        <v>0</v>
      </c>
      <c r="K84" s="1304">
        <v>0</v>
      </c>
      <c r="L84" s="1304">
        <v>0</v>
      </c>
      <c r="M84" s="1304">
        <v>0</v>
      </c>
      <c r="N84" s="1304">
        <v>0</v>
      </c>
      <c r="O84"/>
      <c r="P84"/>
      <c r="Q84"/>
      <c r="R84"/>
      <c r="S84"/>
      <c r="T84"/>
      <c r="U84"/>
      <c r="V84"/>
      <c r="W84"/>
      <c r="X84"/>
      <c r="Y84"/>
      <c r="Z84"/>
    </row>
    <row r="85" spans="1:26" s="1635" customFormat="1" ht="15.75" customHeight="1" outlineLevel="1">
      <c r="A85" s="1631" t="str">
        <f t="shared" si="8"/>
        <v>NIAGARA331Structures &amp; Improvements</v>
      </c>
      <c r="B85" s="1632" t="s">
        <v>1382</v>
      </c>
      <c r="C85" s="1633" t="s">
        <v>451</v>
      </c>
      <c r="D85" s="1634" t="s">
        <v>30</v>
      </c>
      <c r="E85" s="1633">
        <v>331</v>
      </c>
      <c r="F85" s="1633" t="s">
        <v>69</v>
      </c>
      <c r="G85" s="1304">
        <v>123338637.55999999</v>
      </c>
      <c r="H85" s="1304">
        <v>60132881.075555414</v>
      </c>
      <c r="I85" s="1304">
        <v>63205756.484444574</v>
      </c>
      <c r="J85" s="1304">
        <v>2191806.4155554054</v>
      </c>
      <c r="K85" s="1304">
        <v>123338637.55999999</v>
      </c>
      <c r="L85" s="1304">
        <v>57941074.660000011</v>
      </c>
      <c r="M85" s="1304">
        <v>65397562.899999976</v>
      </c>
      <c r="N85" s="1304">
        <v>1533433.45</v>
      </c>
      <c r="O85"/>
      <c r="P85"/>
      <c r="Q85"/>
      <c r="R85"/>
      <c r="S85"/>
      <c r="T85"/>
      <c r="U85"/>
      <c r="V85"/>
      <c r="W85"/>
      <c r="X85"/>
      <c r="Y85"/>
      <c r="Z85"/>
    </row>
    <row r="86" spans="1:26" s="1635" customFormat="1" ht="15.75" customHeight="1" outlineLevel="1">
      <c r="A86" s="1631" t="str">
        <f t="shared" si="8"/>
        <v>NIAGARA332Reservoirs, Dams, Waterways</v>
      </c>
      <c r="B86" s="1632" t="s">
        <v>1383</v>
      </c>
      <c r="C86" s="1633" t="s">
        <v>451</v>
      </c>
      <c r="D86" s="1634" t="s">
        <v>30</v>
      </c>
      <c r="E86" s="1633">
        <v>332</v>
      </c>
      <c r="F86" s="1633" t="s">
        <v>1900</v>
      </c>
      <c r="G86" s="1304">
        <v>478469947.6500001</v>
      </c>
      <c r="H86" s="1304">
        <v>347557740.64640325</v>
      </c>
      <c r="I86" s="1304">
        <v>130912207.00359684</v>
      </c>
      <c r="J86" s="1304">
        <v>4003911.7064031819</v>
      </c>
      <c r="K86" s="1304">
        <v>414914478.92000008</v>
      </c>
      <c r="L86" s="1304">
        <v>343553828.94000006</v>
      </c>
      <c r="M86" s="1304">
        <v>71360649.980000019</v>
      </c>
      <c r="N86" s="1304">
        <v>7592595.5599999996</v>
      </c>
      <c r="O86"/>
      <c r="P86"/>
      <c r="Q86"/>
      <c r="R86"/>
      <c r="S86"/>
      <c r="T86"/>
      <c r="U86"/>
      <c r="V86"/>
      <c r="W86"/>
      <c r="X86"/>
      <c r="Y86"/>
      <c r="Z86"/>
    </row>
    <row r="87" spans="1:26" s="1635" customFormat="1" ht="15.75" customHeight="1" outlineLevel="1">
      <c r="A87" s="1631" t="str">
        <f t="shared" si="8"/>
        <v>NIAGARA333Waterwheels, Turbines, Generators</v>
      </c>
      <c r="B87" s="1632" t="s">
        <v>1384</v>
      </c>
      <c r="C87" s="1633" t="s">
        <v>451</v>
      </c>
      <c r="D87" s="1634" t="s">
        <v>30</v>
      </c>
      <c r="E87" s="1633">
        <v>333</v>
      </c>
      <c r="F87" s="1633" t="s">
        <v>1899</v>
      </c>
      <c r="G87" s="1304">
        <v>660940332.78999972</v>
      </c>
      <c r="H87" s="1304">
        <v>145598035.34832197</v>
      </c>
      <c r="I87" s="1304">
        <v>515342297.44167775</v>
      </c>
      <c r="J87" s="1304">
        <v>21798005.128321968</v>
      </c>
      <c r="K87" s="1304">
        <v>636578829.50999975</v>
      </c>
      <c r="L87" s="1304">
        <v>123800030.22</v>
      </c>
      <c r="M87" s="1304">
        <v>512778799.28999972</v>
      </c>
      <c r="N87" s="1304">
        <v>12785008.949999999</v>
      </c>
      <c r="O87"/>
      <c r="P87"/>
      <c r="Q87"/>
      <c r="R87"/>
      <c r="S87"/>
      <c r="T87"/>
      <c r="U87"/>
      <c r="V87"/>
      <c r="W87"/>
      <c r="X87"/>
      <c r="Y87"/>
      <c r="Z87"/>
    </row>
    <row r="88" spans="1:26" s="1635" customFormat="1" ht="15.75" customHeight="1" outlineLevel="1">
      <c r="A88" s="1631" t="str">
        <f t="shared" si="8"/>
        <v>NIAGARA334Accessory Electric Equipment</v>
      </c>
      <c r="B88" s="1632" t="s">
        <v>1385</v>
      </c>
      <c r="C88" s="1633" t="s">
        <v>451</v>
      </c>
      <c r="D88" s="1634" t="s">
        <v>30</v>
      </c>
      <c r="E88" s="1633">
        <v>334</v>
      </c>
      <c r="F88" s="1633" t="s">
        <v>1901</v>
      </c>
      <c r="G88" s="1304">
        <v>57666298.75</v>
      </c>
      <c r="H88" s="1304">
        <v>20588622.645637222</v>
      </c>
      <c r="I88" s="1304">
        <v>37077676.104362778</v>
      </c>
      <c r="J88" s="1304">
        <v>1558335.09563723</v>
      </c>
      <c r="K88" s="1304">
        <v>57362628.850000001</v>
      </c>
      <c r="L88" s="1304">
        <v>19030287.549999993</v>
      </c>
      <c r="M88" s="1304">
        <v>38332341.300000012</v>
      </c>
      <c r="N88" s="1304">
        <v>1022725.34</v>
      </c>
      <c r="O88"/>
      <c r="P88"/>
      <c r="Q88"/>
      <c r="R88"/>
      <c r="S88"/>
      <c r="T88"/>
      <c r="U88"/>
      <c r="V88"/>
      <c r="W88"/>
      <c r="X88"/>
      <c r="Y88"/>
      <c r="Z88"/>
    </row>
    <row r="89" spans="1:26" s="1635" customFormat="1" ht="15.75" customHeight="1" outlineLevel="1">
      <c r="A89" s="1631" t="str">
        <f t="shared" si="8"/>
        <v>NIAGARA335Misc Power Plant Equipment</v>
      </c>
      <c r="B89" s="1632" t="s">
        <v>1386</v>
      </c>
      <c r="C89" s="1633" t="s">
        <v>451</v>
      </c>
      <c r="D89" s="1634" t="s">
        <v>30</v>
      </c>
      <c r="E89" s="1633">
        <v>335</v>
      </c>
      <c r="F89" s="1633" t="s">
        <v>1902</v>
      </c>
      <c r="G89" s="1304">
        <v>81019146.789999992</v>
      </c>
      <c r="H89" s="1304">
        <v>29567196.132826459</v>
      </c>
      <c r="I89" s="1304">
        <v>51451950.657173529</v>
      </c>
      <c r="J89" s="1304">
        <v>1980588.9128264589</v>
      </c>
      <c r="K89" s="1304">
        <v>79817179.829999998</v>
      </c>
      <c r="L89" s="1304">
        <v>27586607.219999999</v>
      </c>
      <c r="M89" s="1304">
        <v>52230572.609999999</v>
      </c>
      <c r="N89" s="1304">
        <v>2296480.7200000002</v>
      </c>
      <c r="O89"/>
      <c r="P89"/>
      <c r="Q89"/>
      <c r="R89"/>
      <c r="S89"/>
      <c r="T89"/>
      <c r="U89"/>
      <c r="V89"/>
      <c r="W89"/>
      <c r="X89"/>
      <c r="Y89"/>
      <c r="Z89"/>
    </row>
    <row r="90" spans="1:26" s="1635" customFormat="1" ht="15.75" customHeight="1" outlineLevel="1">
      <c r="A90" s="1631" t="str">
        <f t="shared" si="8"/>
        <v>NIAGARA336Roads, Railroads &amp; Bridges</v>
      </c>
      <c r="B90" s="1632" t="s">
        <v>1387</v>
      </c>
      <c r="C90" s="1633" t="s">
        <v>451</v>
      </c>
      <c r="D90" s="1634" t="s">
        <v>30</v>
      </c>
      <c r="E90" s="1633">
        <v>336</v>
      </c>
      <c r="F90" s="1633" t="s">
        <v>1903</v>
      </c>
      <c r="G90" s="1304">
        <v>33156576.719999999</v>
      </c>
      <c r="H90" s="1304">
        <v>23654382.034282722</v>
      </c>
      <c r="I90" s="1304">
        <v>9502194.6857172772</v>
      </c>
      <c r="J90" s="1304">
        <v>350308.91428272065</v>
      </c>
      <c r="K90" s="1304">
        <v>33156576.719999999</v>
      </c>
      <c r="L90" s="1304">
        <v>23304073.120000001</v>
      </c>
      <c r="M90" s="1304">
        <v>9852503.5999999978</v>
      </c>
      <c r="N90" s="1304">
        <v>446359</v>
      </c>
      <c r="O90"/>
      <c r="P90"/>
      <c r="Q90"/>
      <c r="R90"/>
      <c r="S90"/>
      <c r="T90"/>
      <c r="U90"/>
      <c r="V90"/>
      <c r="W90"/>
      <c r="X90"/>
      <c r="Y90"/>
      <c r="Z90"/>
    </row>
    <row r="91" spans="1:26" s="1635" customFormat="1" ht="15.75" customHeight="1" outlineLevel="1">
      <c r="A91" s="1631" t="str">
        <f t="shared" si="8"/>
        <v>St.  LAWRENCE / FDR331Structures &amp; Improvements</v>
      </c>
      <c r="B91" s="1632" t="s">
        <v>1388</v>
      </c>
      <c r="C91" s="1633" t="s">
        <v>451</v>
      </c>
      <c r="D91" s="1634" t="s">
        <v>1895</v>
      </c>
      <c r="E91" s="1633">
        <v>331</v>
      </c>
      <c r="F91" s="1633" t="s">
        <v>69</v>
      </c>
      <c r="G91" s="1304">
        <v>47056404.45000001</v>
      </c>
      <c r="H91" s="1304">
        <v>28847200.632342648</v>
      </c>
      <c r="I91" s="1304">
        <v>18209203.817657363</v>
      </c>
      <c r="J91" s="1304">
        <v>533273.34234265087</v>
      </c>
      <c r="K91" s="1304">
        <v>37929003.590000011</v>
      </c>
      <c r="L91" s="1304">
        <v>28313927.289999995</v>
      </c>
      <c r="M91" s="1304">
        <v>9615076.3000000156</v>
      </c>
      <c r="N91" s="1304">
        <v>580507</v>
      </c>
      <c r="O91"/>
      <c r="P91"/>
      <c r="Q91"/>
      <c r="R91"/>
      <c r="S91"/>
      <c r="T91"/>
      <c r="U91"/>
      <c r="V91"/>
      <c r="W91"/>
      <c r="X91"/>
      <c r="Y91"/>
      <c r="Z91"/>
    </row>
    <row r="92" spans="1:26" s="1635" customFormat="1" ht="15.75" customHeight="1" outlineLevel="1">
      <c r="A92" s="1631" t="str">
        <f t="shared" si="8"/>
        <v>St.  LAWRENCE / FDR332Reservoirs, Dams, Waterways</v>
      </c>
      <c r="B92" s="1632" t="s">
        <v>1389</v>
      </c>
      <c r="C92" s="1633" t="s">
        <v>451</v>
      </c>
      <c r="D92" s="1634" t="s">
        <v>1895</v>
      </c>
      <c r="E92" s="1633">
        <v>332</v>
      </c>
      <c r="F92" s="1633" t="s">
        <v>1900</v>
      </c>
      <c r="G92" s="1304">
        <v>219747335.14999998</v>
      </c>
      <c r="H92" s="1304">
        <v>203194851.95317829</v>
      </c>
      <c r="I92" s="1304">
        <v>16552483.19682169</v>
      </c>
      <c r="J92" s="1304">
        <v>1626328.8631783007</v>
      </c>
      <c r="K92" s="1304">
        <v>219747335.14999998</v>
      </c>
      <c r="L92" s="1304">
        <v>201568523.08999997</v>
      </c>
      <c r="M92" s="1304">
        <v>18178812.060000002</v>
      </c>
      <c r="N92" s="1304">
        <v>4304459.7</v>
      </c>
      <c r="O92"/>
      <c r="P92"/>
      <c r="Q92"/>
      <c r="R92"/>
      <c r="S92"/>
      <c r="T92"/>
      <c r="U92"/>
      <c r="V92"/>
      <c r="W92"/>
      <c r="X92"/>
      <c r="Y92"/>
      <c r="Z92"/>
    </row>
    <row r="93" spans="1:26" s="1635" customFormat="1" ht="15.75" customHeight="1" outlineLevel="1">
      <c r="A93" s="1631" t="str">
        <f t="shared" si="8"/>
        <v>St.  LAWRENCE / FDR333Waterwheels, Turbines, Generators</v>
      </c>
      <c r="B93" s="1632" t="s">
        <v>1390</v>
      </c>
      <c r="C93" s="1633" t="s">
        <v>451</v>
      </c>
      <c r="D93" s="1634" t="s">
        <v>1895</v>
      </c>
      <c r="E93" s="1633">
        <v>333</v>
      </c>
      <c r="F93" s="1633" t="s">
        <v>1899</v>
      </c>
      <c r="G93" s="1304">
        <v>229018322.22999999</v>
      </c>
      <c r="H93" s="1304">
        <v>68446444.826316372</v>
      </c>
      <c r="I93" s="1304">
        <v>160571877.4036836</v>
      </c>
      <c r="J93" s="1304">
        <v>7675326.5163163682</v>
      </c>
      <c r="K93" s="1304">
        <v>222012224.57999998</v>
      </c>
      <c r="L93" s="1304">
        <v>60771118.310000002</v>
      </c>
      <c r="M93" s="1304">
        <v>161241106.26999998</v>
      </c>
      <c r="N93" s="1304">
        <v>4456995.0199999996</v>
      </c>
      <c r="O93"/>
      <c r="P93"/>
      <c r="Q93"/>
      <c r="R93"/>
      <c r="S93"/>
      <c r="T93"/>
      <c r="U93"/>
      <c r="V93"/>
      <c r="W93"/>
      <c r="X93"/>
      <c r="Y93"/>
      <c r="Z93"/>
    </row>
    <row r="94" spans="1:26" s="1635" customFormat="1" ht="15.75" customHeight="1" outlineLevel="1">
      <c r="A94" s="1631" t="str">
        <f t="shared" si="8"/>
        <v>St.  LAWRENCE / FDR334Accessory Electric Equipment</v>
      </c>
      <c r="B94" s="1632" t="s">
        <v>1391</v>
      </c>
      <c r="C94" s="1633" t="s">
        <v>451</v>
      </c>
      <c r="D94" s="1634" t="s">
        <v>1895</v>
      </c>
      <c r="E94" s="1633">
        <v>334</v>
      </c>
      <c r="F94" s="1633" t="s">
        <v>1901</v>
      </c>
      <c r="G94" s="1304">
        <v>33640579.20000001</v>
      </c>
      <c r="H94" s="1304">
        <v>16215992.786221422</v>
      </c>
      <c r="I94" s="1304">
        <v>17424586.413778588</v>
      </c>
      <c r="J94" s="1304">
        <v>943339.16622142401</v>
      </c>
      <c r="K94" s="1304">
        <v>33640579.20000001</v>
      </c>
      <c r="L94" s="1304">
        <v>15272653.619999999</v>
      </c>
      <c r="M94" s="1304">
        <v>18367925.580000013</v>
      </c>
      <c r="N94" s="1304">
        <v>782024</v>
      </c>
      <c r="O94"/>
      <c r="P94"/>
      <c r="Q94"/>
      <c r="R94"/>
      <c r="S94"/>
      <c r="T94"/>
      <c r="U94"/>
      <c r="V94"/>
      <c r="W94"/>
      <c r="X94"/>
      <c r="Y94"/>
      <c r="Z94"/>
    </row>
    <row r="95" spans="1:26" s="1635" customFormat="1" ht="15.75" customHeight="1" outlineLevel="1">
      <c r="A95" s="1631" t="str">
        <f t="shared" si="8"/>
        <v>St.  LAWRENCE / FDR335Misc Power Plant Equipment</v>
      </c>
      <c r="B95" s="1632" t="s">
        <v>1392</v>
      </c>
      <c r="C95" s="1633" t="s">
        <v>451</v>
      </c>
      <c r="D95" s="1634" t="s">
        <v>1895</v>
      </c>
      <c r="E95" s="1633">
        <v>335</v>
      </c>
      <c r="F95" s="1633" t="s">
        <v>1902</v>
      </c>
      <c r="G95" s="1304">
        <v>14132910.15</v>
      </c>
      <c r="H95" s="1304">
        <v>9145375.6082516108</v>
      </c>
      <c r="I95" s="1304">
        <v>4987534.5417483896</v>
      </c>
      <c r="J95" s="1304">
        <v>175738.84825161131</v>
      </c>
      <c r="K95" s="1304">
        <v>14132910.15</v>
      </c>
      <c r="L95" s="1304">
        <v>8969636.7599999998</v>
      </c>
      <c r="M95" s="1304">
        <v>5163273.3900000006</v>
      </c>
      <c r="N95" s="1304">
        <v>325606</v>
      </c>
      <c r="O95"/>
      <c r="P95"/>
      <c r="Q95"/>
      <c r="R95"/>
      <c r="S95"/>
      <c r="T95"/>
      <c r="U95"/>
      <c r="V95"/>
      <c r="W95"/>
      <c r="X95"/>
      <c r="Y95"/>
      <c r="Z95"/>
    </row>
    <row r="96" spans="1:26" s="1635" customFormat="1" ht="15.75" customHeight="1" outlineLevel="1">
      <c r="A96" s="1631" t="str">
        <f t="shared" si="8"/>
        <v>St.  LAWRENCE / FDR336Roads, Railroads &amp; Bridges</v>
      </c>
      <c r="B96" s="1632" t="s">
        <v>1393</v>
      </c>
      <c r="C96" s="1633" t="s">
        <v>451</v>
      </c>
      <c r="D96" s="1634" t="s">
        <v>1895</v>
      </c>
      <c r="E96" s="1633">
        <v>336</v>
      </c>
      <c r="F96" s="1633" t="s">
        <v>1903</v>
      </c>
      <c r="G96" s="1304">
        <v>9285368.7200000007</v>
      </c>
      <c r="H96" s="1304">
        <v>4368178.6582225123</v>
      </c>
      <c r="I96" s="1304">
        <v>4917190.0617774883</v>
      </c>
      <c r="J96" s="1304">
        <v>94634.80822251286</v>
      </c>
      <c r="K96" s="1304">
        <v>5636129.9500000002</v>
      </c>
      <c r="L96" s="1304">
        <v>4273543.8499999996</v>
      </c>
      <c r="M96" s="1304">
        <v>1362586.1000000006</v>
      </c>
      <c r="N96" s="1304">
        <v>78622</v>
      </c>
      <c r="O96"/>
      <c r="P96"/>
      <c r="Q96"/>
      <c r="R96"/>
      <c r="S96"/>
      <c r="T96"/>
      <c r="U96"/>
      <c r="V96"/>
      <c r="W96"/>
      <c r="X96"/>
      <c r="Y96"/>
      <c r="Z96"/>
    </row>
    <row r="97" spans="1:26" s="1635" customFormat="1" ht="15.75" customHeight="1" outlineLevel="1">
      <c r="A97" s="1631" t="str">
        <f t="shared" si="8"/>
        <v>Vischer Ferry332Reservoirs, Dams, Waterways</v>
      </c>
      <c r="B97" s="1632" t="s">
        <v>1394</v>
      </c>
      <c r="C97" s="1633" t="s">
        <v>451</v>
      </c>
      <c r="D97" s="1634" t="s">
        <v>164</v>
      </c>
      <c r="E97" s="1633">
        <v>332</v>
      </c>
      <c r="F97" s="1633" t="s">
        <v>1900</v>
      </c>
      <c r="G97" s="1304">
        <v>40177265.469999999</v>
      </c>
      <c r="H97" s="1304">
        <v>16761822.693160871</v>
      </c>
      <c r="I97" s="1304">
        <v>23415442.77683913</v>
      </c>
      <c r="J97" s="1304">
        <v>569091.40316087217</v>
      </c>
      <c r="K97" s="1304">
        <v>37827976.07</v>
      </c>
      <c r="L97" s="1304">
        <v>16192731.289999999</v>
      </c>
      <c r="M97" s="1304">
        <v>21635244.780000001</v>
      </c>
      <c r="N97" s="1304">
        <v>648289.27</v>
      </c>
      <c r="O97"/>
      <c r="P97"/>
      <c r="Q97"/>
      <c r="R97"/>
      <c r="S97"/>
      <c r="T97"/>
      <c r="U97"/>
      <c r="V97"/>
      <c r="W97"/>
      <c r="X97"/>
      <c r="Y97"/>
      <c r="Z97"/>
    </row>
    <row r="98" spans="1:26" s="1635" customFormat="1" ht="15.75" customHeight="1" outlineLevel="1">
      <c r="A98" s="1631" t="str">
        <f t="shared" si="8"/>
        <v>Vischer Ferry333Waterwheels, Turbines, Generators</v>
      </c>
      <c r="B98" s="1632" t="s">
        <v>1395</v>
      </c>
      <c r="C98" s="1633" t="s">
        <v>451</v>
      </c>
      <c r="D98" s="1634" t="s">
        <v>164</v>
      </c>
      <c r="E98" s="1633">
        <v>333</v>
      </c>
      <c r="F98" s="1633" t="s">
        <v>1899</v>
      </c>
      <c r="G98" s="1304">
        <v>16527405.419999998</v>
      </c>
      <c r="H98" s="1304">
        <v>4197130.775846486</v>
      </c>
      <c r="I98" s="1304">
        <v>12330274.644153513</v>
      </c>
      <c r="J98" s="1304">
        <v>553137.83584648627</v>
      </c>
      <c r="K98" s="1304">
        <v>16527405.419999998</v>
      </c>
      <c r="L98" s="1304">
        <v>3643992.9399999995</v>
      </c>
      <c r="M98" s="1304">
        <v>12883412.479999999</v>
      </c>
      <c r="N98" s="1304">
        <v>280584</v>
      </c>
      <c r="O98"/>
      <c r="P98"/>
      <c r="Q98"/>
      <c r="R98"/>
      <c r="S98"/>
      <c r="T98"/>
      <c r="U98"/>
      <c r="V98"/>
      <c r="W98"/>
      <c r="X98"/>
      <c r="Y98"/>
      <c r="Z98"/>
    </row>
    <row r="99" spans="1:26" s="1635" customFormat="1" ht="15.75" customHeight="1" outlineLevel="1">
      <c r="A99" s="1631" t="str">
        <f t="shared" si="8"/>
        <v>Vischer Ferry334Accessory Electric Equipment</v>
      </c>
      <c r="B99" s="1632" t="s">
        <v>1396</v>
      </c>
      <c r="C99" s="1633" t="s">
        <v>451</v>
      </c>
      <c r="D99" s="1634" t="s">
        <v>164</v>
      </c>
      <c r="E99" s="1633">
        <v>334</v>
      </c>
      <c r="F99" s="1633" t="s">
        <v>1901</v>
      </c>
      <c r="G99" s="1304">
        <v>8935941.8900000006</v>
      </c>
      <c r="H99" s="1304">
        <v>3919451.339760697</v>
      </c>
      <c r="I99" s="1304">
        <v>5016490.5502393041</v>
      </c>
      <c r="J99" s="1304">
        <v>251188.44976069749</v>
      </c>
      <c r="K99" s="1304">
        <v>8935941.8900000006</v>
      </c>
      <c r="L99" s="1304">
        <v>3668262.8899999997</v>
      </c>
      <c r="M99" s="1304">
        <v>5267679.0000000009</v>
      </c>
      <c r="N99" s="1304">
        <v>159215</v>
      </c>
      <c r="O99"/>
      <c r="P99"/>
      <c r="Q99"/>
      <c r="R99"/>
      <c r="S99"/>
      <c r="T99"/>
      <c r="U99"/>
      <c r="V99"/>
      <c r="W99"/>
      <c r="X99"/>
      <c r="Y99"/>
      <c r="Z99"/>
    </row>
    <row r="100" spans="1:26" s="1635" customFormat="1" ht="15.75" customHeight="1" outlineLevel="1">
      <c r="A100" s="1631" t="str">
        <f t="shared" si="8"/>
        <v>Vischer Ferry335Misc Power Plant Equipment</v>
      </c>
      <c r="B100" s="1632" t="s">
        <v>1397</v>
      </c>
      <c r="C100" s="1633" t="s">
        <v>451</v>
      </c>
      <c r="D100" s="1634" t="s">
        <v>164</v>
      </c>
      <c r="E100" s="1633">
        <v>335</v>
      </c>
      <c r="F100" s="1633" t="s">
        <v>1902</v>
      </c>
      <c r="G100" s="1304">
        <v>910962.8899999999</v>
      </c>
      <c r="H100" s="1304">
        <v>305847.38939126785</v>
      </c>
      <c r="I100" s="1304">
        <v>605115.50060873199</v>
      </c>
      <c r="J100" s="1304">
        <v>19693.519391267862</v>
      </c>
      <c r="K100" s="1304">
        <v>910962.8899999999</v>
      </c>
      <c r="L100" s="1304">
        <v>286153.87</v>
      </c>
      <c r="M100" s="1304">
        <v>624809.0199999999</v>
      </c>
      <c r="N100" s="1304">
        <v>18153</v>
      </c>
      <c r="O100"/>
      <c r="P100"/>
      <c r="Q100"/>
      <c r="R100"/>
      <c r="S100"/>
      <c r="T100"/>
      <c r="U100"/>
      <c r="V100"/>
      <c r="W100"/>
      <c r="X100"/>
      <c r="Y100"/>
      <c r="Z100"/>
    </row>
    <row r="101" spans="1:26" s="1635" customFormat="1" ht="15.75" customHeight="1" outlineLevel="1">
      <c r="A101" s="1631" t="str">
        <f t="shared" si="8"/>
        <v>AdjustmentsCost of Removal Deprec to Reg Assets (Prod)</v>
      </c>
      <c r="B101" s="1632" t="s">
        <v>1398</v>
      </c>
      <c r="C101" s="1633" t="s">
        <v>451</v>
      </c>
      <c r="D101" s="1656" t="s">
        <v>183</v>
      </c>
      <c r="E101" s="1657"/>
      <c r="F101" s="1658" t="s">
        <v>1904</v>
      </c>
      <c r="G101" s="1304">
        <v>0</v>
      </c>
      <c r="H101" s="1304">
        <v>-195954155</v>
      </c>
      <c r="I101" s="1304">
        <v>195954154.99999997</v>
      </c>
      <c r="J101" s="1304">
        <v>0</v>
      </c>
      <c r="K101" s="1304">
        <v>0</v>
      </c>
      <c r="L101" s="1304">
        <v>-190048415</v>
      </c>
      <c r="M101" s="1304">
        <v>190048415</v>
      </c>
      <c r="N101" s="1304">
        <v>0</v>
      </c>
      <c r="O101"/>
      <c r="P101"/>
      <c r="Q101"/>
      <c r="R101"/>
      <c r="S101"/>
      <c r="T101"/>
      <c r="U101"/>
      <c r="V101"/>
      <c r="W101"/>
      <c r="X101"/>
      <c r="Y101"/>
      <c r="Z101"/>
    </row>
    <row r="102" spans="1:26" s="1635" customFormat="1" ht="15.75" customHeight="1" outlineLevel="1">
      <c r="A102" s="1631" t="str">
        <f t="shared" si="8"/>
        <v/>
      </c>
      <c r="B102" s="1632" t="s">
        <v>541</v>
      </c>
      <c r="C102" s="1636"/>
      <c r="D102" s="1636"/>
      <c r="E102" s="1304"/>
      <c r="F102" s="1636"/>
      <c r="G102" s="1304"/>
      <c r="H102" s="1304"/>
      <c r="I102" s="1304"/>
      <c r="J102" s="1304"/>
      <c r="K102" s="1304"/>
      <c r="L102" s="1304"/>
      <c r="M102" s="1304"/>
      <c r="N102" s="1304"/>
      <c r="O102"/>
      <c r="P102"/>
      <c r="Q102"/>
      <c r="R102"/>
      <c r="S102"/>
      <c r="T102"/>
      <c r="U102"/>
      <c r="V102"/>
      <c r="W102"/>
      <c r="X102"/>
      <c r="Y102"/>
      <c r="Z102"/>
    </row>
    <row r="103" spans="1:26" s="1635" customFormat="1" ht="15.75" customHeight="1" outlineLevel="1" thickBot="1">
      <c r="A103" s="1631" t="str">
        <f t="shared" si="8"/>
        <v/>
      </c>
      <c r="B103" s="1632" t="s">
        <v>541</v>
      </c>
      <c r="C103" s="1636"/>
      <c r="D103" s="1636"/>
      <c r="E103" s="1304"/>
      <c r="F103" s="1636"/>
      <c r="G103" s="1304"/>
      <c r="H103" s="1304"/>
      <c r="I103" s="1304"/>
      <c r="J103" s="1304"/>
      <c r="K103" s="1304"/>
      <c r="L103" s="1304"/>
      <c r="M103" s="1304"/>
      <c r="N103" s="1304"/>
      <c r="O103"/>
      <c r="P103"/>
      <c r="Q103"/>
      <c r="R103"/>
      <c r="S103"/>
      <c r="T103"/>
      <c r="U103"/>
      <c r="V103"/>
      <c r="W103"/>
      <c r="X103"/>
      <c r="Y103"/>
      <c r="Z103"/>
    </row>
    <row r="104" spans="1:26" s="1640" customFormat="1" ht="16.5" customHeight="1" thickBot="1">
      <c r="A104" s="1631" t="str">
        <f t="shared" si="8"/>
        <v>Production - Hydro Total</v>
      </c>
      <c r="B104" s="1637">
        <v>7</v>
      </c>
      <c r="C104" s="1638"/>
      <c r="D104" s="1638"/>
      <c r="E104" s="1638"/>
      <c r="F104" s="1651" t="s">
        <v>614</v>
      </c>
      <c r="G104" s="773">
        <f t="shared" ref="G104:J104" si="9">SUBTOTAL(9,G69:G103)</f>
        <v>2425314047.6399989</v>
      </c>
      <c r="H104" s="773">
        <f t="shared" si="9"/>
        <v>971437069.1298089</v>
      </c>
      <c r="I104" s="773">
        <f t="shared" si="9"/>
        <v>1453876978.5101907</v>
      </c>
      <c r="J104" s="773">
        <f t="shared" si="9"/>
        <v>51904510.279808827</v>
      </c>
      <c r="K104" s="773">
        <f t="shared" ref="K104:N104" si="10">SUBTOTAL(9,K69:K103)</f>
        <v>2311713883.4499989</v>
      </c>
      <c r="L104" s="773">
        <f t="shared" si="10"/>
        <v>925438298.84999967</v>
      </c>
      <c r="M104" s="773">
        <f t="shared" si="10"/>
        <v>1386275584.5999997</v>
      </c>
      <c r="N104" s="773">
        <f t="shared" si="10"/>
        <v>44666364.050000004</v>
      </c>
      <c r="O104"/>
      <c r="P104"/>
      <c r="Q104"/>
      <c r="R104"/>
      <c r="S104"/>
      <c r="T104"/>
      <c r="U104"/>
      <c r="V104"/>
      <c r="W104"/>
      <c r="X104"/>
      <c r="Y104"/>
      <c r="Z104"/>
    </row>
    <row r="105" spans="1:26" s="1635" customFormat="1" ht="15.75" customHeight="1" outlineLevel="1">
      <c r="A105" s="1631" t="str">
        <f t="shared" si="8"/>
        <v/>
      </c>
      <c r="B105" s="1632"/>
      <c r="C105" s="1641"/>
      <c r="D105" s="1655"/>
      <c r="E105" s="1641"/>
      <c r="F105" s="1652"/>
      <c r="G105" s="774"/>
      <c r="H105" s="774"/>
      <c r="I105" s="774"/>
      <c r="J105" s="774"/>
      <c r="K105" s="774"/>
      <c r="L105" s="774"/>
      <c r="M105" s="774"/>
      <c r="N105" s="774"/>
      <c r="O105"/>
      <c r="P105"/>
      <c r="Q105"/>
      <c r="R105"/>
      <c r="S105"/>
      <c r="T105"/>
      <c r="U105"/>
      <c r="V105"/>
      <c r="W105"/>
      <c r="X105"/>
      <c r="Y105"/>
      <c r="Z105"/>
    </row>
    <row r="106" spans="1:26" s="1635" customFormat="1" ht="15.75" customHeight="1" outlineLevel="1">
      <c r="A106" s="1631" t="str">
        <f t="shared" si="8"/>
        <v/>
      </c>
      <c r="B106" s="1632"/>
      <c r="C106" s="1641"/>
      <c r="D106" s="1655"/>
      <c r="E106" s="1641"/>
      <c r="F106" s="1652"/>
      <c r="G106" s="774"/>
      <c r="H106" s="774"/>
      <c r="I106" s="774"/>
      <c r="J106" s="774"/>
      <c r="K106" s="774"/>
      <c r="L106" s="774"/>
      <c r="M106" s="774"/>
      <c r="N106" s="774"/>
      <c r="O106"/>
      <c r="P106"/>
      <c r="Q106"/>
      <c r="R106"/>
      <c r="S106"/>
      <c r="T106"/>
      <c r="U106"/>
      <c r="V106"/>
      <c r="W106"/>
      <c r="X106"/>
      <c r="Y106"/>
      <c r="Z106"/>
    </row>
    <row r="107" spans="1:26" s="1640" customFormat="1" ht="16.5" customHeight="1" outlineLevel="1" thickBot="1">
      <c r="A107" s="1631" t="str">
        <f t="shared" si="8"/>
        <v>Production - Gas turbine/combined cycle</v>
      </c>
      <c r="B107" s="1644">
        <v>8</v>
      </c>
      <c r="C107" s="1645"/>
      <c r="D107" s="1646"/>
      <c r="E107" s="1645"/>
      <c r="F107" s="1647" t="s">
        <v>611</v>
      </c>
      <c r="G107" s="775"/>
      <c r="H107" s="775"/>
      <c r="I107" s="775"/>
      <c r="J107" s="775"/>
      <c r="K107" s="775"/>
      <c r="L107" s="775"/>
      <c r="M107" s="775"/>
      <c r="N107" s="775"/>
      <c r="O107"/>
      <c r="P107"/>
      <c r="Q107"/>
      <c r="R107"/>
      <c r="S107"/>
      <c r="T107"/>
      <c r="U107"/>
      <c r="V107"/>
      <c r="W107"/>
      <c r="X107"/>
      <c r="Y107"/>
      <c r="Z107"/>
    </row>
    <row r="108" spans="1:26" s="1635" customFormat="1" ht="15.75" customHeight="1" outlineLevel="1">
      <c r="A108" s="1631" t="str">
        <f t="shared" si="8"/>
        <v>500mW C - C at Astoria312Boiler Plant Equipment</v>
      </c>
      <c r="B108" s="1632" t="s">
        <v>1166</v>
      </c>
      <c r="C108" s="1633" t="s">
        <v>451</v>
      </c>
      <c r="D108" s="1634" t="s">
        <v>153</v>
      </c>
      <c r="E108" s="1633">
        <v>312</v>
      </c>
      <c r="F108" s="1633" t="s">
        <v>1905</v>
      </c>
      <c r="G108" s="1304">
        <v>111095656.88</v>
      </c>
      <c r="H108" s="1304">
        <v>59413168.447667673</v>
      </c>
      <c r="I108" s="1304">
        <v>51682488.432332322</v>
      </c>
      <c r="J108" s="1304">
        <v>3880915.5676676724</v>
      </c>
      <c r="K108" s="1304">
        <v>111095656.88</v>
      </c>
      <c r="L108" s="1304">
        <v>55532252.880000003</v>
      </c>
      <c r="M108" s="1304">
        <v>55563403.999999993</v>
      </c>
      <c r="N108" s="1304">
        <v>3703195</v>
      </c>
      <c r="O108"/>
      <c r="P108"/>
      <c r="Q108"/>
      <c r="R108"/>
      <c r="S108"/>
      <c r="T108"/>
      <c r="U108"/>
      <c r="V108"/>
      <c r="W108"/>
      <c r="X108"/>
      <c r="Y108"/>
      <c r="Z108"/>
    </row>
    <row r="109" spans="1:26" s="1635" customFormat="1" ht="15.75" customHeight="1" outlineLevel="1">
      <c r="A109" s="1631" t="str">
        <f t="shared" si="8"/>
        <v>500mW C - C at Astoria314TurboGenerator Units</v>
      </c>
      <c r="B109" s="1632" t="s">
        <v>1167</v>
      </c>
      <c r="C109" s="1633" t="s">
        <v>451</v>
      </c>
      <c r="D109" s="1634" t="s">
        <v>153</v>
      </c>
      <c r="E109" s="1633">
        <v>314</v>
      </c>
      <c r="F109" s="1633" t="s">
        <v>1906</v>
      </c>
      <c r="G109" s="1304">
        <v>121491690.91000003</v>
      </c>
      <c r="H109" s="1304">
        <v>65081927.368688852</v>
      </c>
      <c r="I109" s="1304">
        <v>56409763.541311175</v>
      </c>
      <c r="J109" s="1304">
        <v>4303807.2286888519</v>
      </c>
      <c r="K109" s="1304">
        <v>121465346.57000002</v>
      </c>
      <c r="L109" s="1304">
        <v>60778120.140000001</v>
      </c>
      <c r="M109" s="1304">
        <v>60687226.430000022</v>
      </c>
      <c r="N109" s="1304">
        <v>4084676</v>
      </c>
      <c r="O109"/>
      <c r="P109"/>
      <c r="Q109"/>
      <c r="R109"/>
      <c r="S109"/>
      <c r="T109"/>
      <c r="U109"/>
      <c r="V109"/>
      <c r="W109"/>
      <c r="X109"/>
      <c r="Y109"/>
      <c r="Z109"/>
    </row>
    <row r="110" spans="1:26" s="1635" customFormat="1" ht="15.75" customHeight="1" outlineLevel="1">
      <c r="A110" s="1631" t="str">
        <f t="shared" si="8"/>
        <v>500mW C - C at Astoria316Misc Power Plant Equipment</v>
      </c>
      <c r="B110" s="1632" t="s">
        <v>1187</v>
      </c>
      <c r="C110" s="1633" t="s">
        <v>451</v>
      </c>
      <c r="D110" s="1634" t="s">
        <v>153</v>
      </c>
      <c r="E110" s="1633">
        <v>316</v>
      </c>
      <c r="F110" s="1633" t="s">
        <v>1902</v>
      </c>
      <c r="G110" s="1304">
        <v>27858406.310000006</v>
      </c>
      <c r="H110" s="1304">
        <v>16224148.994448453</v>
      </c>
      <c r="I110" s="1304">
        <v>11634257.315551553</v>
      </c>
      <c r="J110" s="1304">
        <v>1010835.784448453</v>
      </c>
      <c r="K110" s="1304">
        <v>27858406.310000006</v>
      </c>
      <c r="L110" s="1304">
        <v>15213313.210000001</v>
      </c>
      <c r="M110" s="1304">
        <v>12645093.100000005</v>
      </c>
      <c r="N110" s="1304">
        <v>1114787.3500000001</v>
      </c>
      <c r="O110"/>
      <c r="P110"/>
      <c r="Q110"/>
      <c r="R110"/>
      <c r="S110"/>
      <c r="T110"/>
      <c r="U110"/>
      <c r="V110"/>
      <c r="W110"/>
      <c r="X110"/>
      <c r="Y110"/>
      <c r="Z110"/>
    </row>
    <row r="111" spans="1:26" s="1635" customFormat="1" ht="15.75" customHeight="1" outlineLevel="1">
      <c r="A111" s="1631" t="str">
        <f t="shared" si="8"/>
        <v>500mW C - C at Astoria341Structures &amp; Improvements</v>
      </c>
      <c r="B111" s="1632" t="s">
        <v>1188</v>
      </c>
      <c r="C111" s="1633" t="s">
        <v>451</v>
      </c>
      <c r="D111" s="1634" t="s">
        <v>153</v>
      </c>
      <c r="E111" s="1633">
        <v>341</v>
      </c>
      <c r="F111" s="1633" t="s">
        <v>69</v>
      </c>
      <c r="G111" s="1304">
        <v>101328903.86000003</v>
      </c>
      <c r="H111" s="1304">
        <v>60271455.070053451</v>
      </c>
      <c r="I111" s="1304">
        <v>41057448.789946578</v>
      </c>
      <c r="J111" s="1304">
        <v>3396845.7200534511</v>
      </c>
      <c r="K111" s="1304">
        <v>101328903.86000003</v>
      </c>
      <c r="L111" s="1304">
        <v>56874609.350000001</v>
      </c>
      <c r="M111" s="1304">
        <v>44454294.510000028</v>
      </c>
      <c r="N111" s="1304">
        <v>4172166.67</v>
      </c>
      <c r="O111"/>
      <c r="P111"/>
      <c r="Q111"/>
      <c r="R111"/>
      <c r="S111"/>
      <c r="T111"/>
      <c r="U111"/>
      <c r="V111"/>
      <c r="W111"/>
      <c r="X111"/>
      <c r="Y111"/>
      <c r="Z111"/>
    </row>
    <row r="112" spans="1:26" s="1635" customFormat="1" ht="15.75" customHeight="1" outlineLevel="1">
      <c r="A112" s="1631" t="str">
        <f t="shared" si="8"/>
        <v>500mW C - C at Astoria342FuelHolders, Producers, Accessory</v>
      </c>
      <c r="B112" s="1632" t="s">
        <v>1189</v>
      </c>
      <c r="C112" s="1633" t="s">
        <v>451</v>
      </c>
      <c r="D112" s="1634" t="s">
        <v>153</v>
      </c>
      <c r="E112" s="1633">
        <v>342</v>
      </c>
      <c r="F112" s="1633" t="s">
        <v>1907</v>
      </c>
      <c r="G112" s="1304">
        <v>73092939.609999999</v>
      </c>
      <c r="H112" s="1304">
        <v>35187209.766319148</v>
      </c>
      <c r="I112" s="1304">
        <v>37905729.843680851</v>
      </c>
      <c r="J112" s="1304">
        <v>2782190.896319143</v>
      </c>
      <c r="K112" s="1304">
        <v>72904522.090000004</v>
      </c>
      <c r="L112" s="1304">
        <v>32405018.870000005</v>
      </c>
      <c r="M112" s="1304">
        <v>40499503.219999999</v>
      </c>
      <c r="N112" s="1304">
        <v>2352611.7599999998</v>
      </c>
      <c r="O112"/>
      <c r="P112"/>
      <c r="Q112"/>
      <c r="R112"/>
      <c r="S112"/>
      <c r="T112"/>
      <c r="U112"/>
      <c r="V112"/>
      <c r="W112"/>
      <c r="X112"/>
      <c r="Y112"/>
      <c r="Z112"/>
    </row>
    <row r="113" spans="1:26" s="1635" customFormat="1" ht="15.75" customHeight="1" outlineLevel="1">
      <c r="A113" s="1631" t="str">
        <f t="shared" si="8"/>
        <v>500mW C - C at Astoria344Generators</v>
      </c>
      <c r="B113" s="1632" t="s">
        <v>1190</v>
      </c>
      <c r="C113" s="1633" t="s">
        <v>451</v>
      </c>
      <c r="D113" s="1634" t="s">
        <v>153</v>
      </c>
      <c r="E113" s="1633">
        <v>344</v>
      </c>
      <c r="F113" s="1633" t="s">
        <v>1908</v>
      </c>
      <c r="G113" s="1304">
        <v>187986033.17999992</v>
      </c>
      <c r="H113" s="1304">
        <v>105860010.45910119</v>
      </c>
      <c r="I113" s="1304">
        <v>82126022.720898733</v>
      </c>
      <c r="J113" s="1304">
        <v>5413641.6191011462</v>
      </c>
      <c r="K113" s="1304">
        <v>187983921.60999992</v>
      </c>
      <c r="L113" s="1304">
        <v>100446368.84000003</v>
      </c>
      <c r="M113" s="1304">
        <v>87537552.769999892</v>
      </c>
      <c r="N113" s="1304">
        <v>5795839.3099999996</v>
      </c>
      <c r="O113"/>
      <c r="P113"/>
      <c r="Q113"/>
      <c r="R113"/>
      <c r="S113"/>
      <c r="T113"/>
      <c r="U113"/>
      <c r="V113"/>
      <c r="W113"/>
      <c r="X113"/>
      <c r="Y113"/>
      <c r="Z113"/>
    </row>
    <row r="114" spans="1:26" s="1635" customFormat="1" ht="15.75" customHeight="1" outlineLevel="1">
      <c r="A114" s="1631" t="str">
        <f t="shared" si="8"/>
        <v>500mW C - C at Astoria345Accessory Electric Equipment</v>
      </c>
      <c r="B114" s="1632" t="s">
        <v>1191</v>
      </c>
      <c r="C114" s="1633" t="s">
        <v>451</v>
      </c>
      <c r="D114" s="1634" t="s">
        <v>153</v>
      </c>
      <c r="E114" s="1633">
        <v>345</v>
      </c>
      <c r="F114" s="1633" t="s">
        <v>1901</v>
      </c>
      <c r="G114" s="1304">
        <v>29359886.810000002</v>
      </c>
      <c r="H114" s="1304">
        <v>15429992.102749912</v>
      </c>
      <c r="I114" s="1304">
        <v>13929894.70725009</v>
      </c>
      <c r="J114" s="1304">
        <v>1027889.2927499112</v>
      </c>
      <c r="K114" s="1304">
        <v>29359886.810000002</v>
      </c>
      <c r="L114" s="1304">
        <v>14402102.810000001</v>
      </c>
      <c r="M114" s="1304">
        <v>14957784.000000002</v>
      </c>
      <c r="N114" s="1304">
        <v>963031</v>
      </c>
      <c r="O114"/>
      <c r="P114"/>
      <c r="Q114"/>
      <c r="R114"/>
      <c r="S114"/>
      <c r="T114"/>
      <c r="U114"/>
      <c r="V114"/>
      <c r="W114"/>
      <c r="X114"/>
      <c r="Y114"/>
      <c r="Z114"/>
    </row>
    <row r="115" spans="1:26" s="1635" customFormat="1" ht="15.75" customHeight="1" outlineLevel="1">
      <c r="A115" s="1631" t="str">
        <f t="shared" si="8"/>
        <v>500mW C - C at Astoria346Misc Power Plant Equipment</v>
      </c>
      <c r="B115" s="1632" t="s">
        <v>1192</v>
      </c>
      <c r="C115" s="1633" t="s">
        <v>451</v>
      </c>
      <c r="D115" s="1634" t="s">
        <v>153</v>
      </c>
      <c r="E115" s="1633">
        <v>346</v>
      </c>
      <c r="F115" s="1633" t="s">
        <v>1902</v>
      </c>
      <c r="G115" s="1304">
        <v>12425410.93</v>
      </c>
      <c r="H115" s="1304">
        <v>788059.21664308454</v>
      </c>
      <c r="I115" s="1304">
        <v>11637351.713356916</v>
      </c>
      <c r="J115" s="1304">
        <v>524518.51664308459</v>
      </c>
      <c r="K115" s="1304">
        <v>9148164.629999999</v>
      </c>
      <c r="L115" s="1304">
        <v>263540.7</v>
      </c>
      <c r="M115" s="1304">
        <v>8884623.9299999997</v>
      </c>
      <c r="N115" s="1304">
        <v>228074.63</v>
      </c>
      <c r="O115"/>
      <c r="P115"/>
      <c r="Q115"/>
      <c r="R115"/>
      <c r="S115"/>
      <c r="T115"/>
      <c r="U115"/>
      <c r="V115"/>
      <c r="W115"/>
      <c r="X115"/>
      <c r="Y115"/>
      <c r="Z115"/>
    </row>
    <row r="116" spans="1:26" s="1635" customFormat="1" ht="15.75" customHeight="1" outlineLevel="1">
      <c r="A116" s="1631" t="str">
        <f t="shared" si="8"/>
        <v>BRENTWOOD  (Long Island)341Structures &amp; Improvements</v>
      </c>
      <c r="B116" s="1632" t="s">
        <v>1193</v>
      </c>
      <c r="C116" s="1633" t="s">
        <v>451</v>
      </c>
      <c r="D116" s="1634" t="s">
        <v>159</v>
      </c>
      <c r="E116" s="1633">
        <v>341</v>
      </c>
      <c r="F116" s="1633" t="s">
        <v>69</v>
      </c>
      <c r="G116" s="1304">
        <v>1113986.5</v>
      </c>
      <c r="H116" s="1304">
        <v>693280.2464726622</v>
      </c>
      <c r="I116" s="1304">
        <v>420706.2535273378</v>
      </c>
      <c r="J116" s="1304">
        <v>22001.225412662243</v>
      </c>
      <c r="K116" s="1304">
        <v>1113986.5</v>
      </c>
      <c r="L116" s="1304">
        <v>671279.02105999994</v>
      </c>
      <c r="M116" s="1304">
        <v>442707.47894000006</v>
      </c>
      <c r="N116" s="1304">
        <v>0</v>
      </c>
      <c r="O116"/>
      <c r="P116"/>
      <c r="Q116"/>
      <c r="R116"/>
      <c r="S116"/>
      <c r="T116"/>
      <c r="U116"/>
      <c r="V116"/>
      <c r="W116"/>
      <c r="X116"/>
      <c r="Y116"/>
      <c r="Z116"/>
    </row>
    <row r="117" spans="1:26" s="1635" customFormat="1" ht="15.75" customHeight="1" outlineLevel="1">
      <c r="A117" s="1631" t="str">
        <f t="shared" si="8"/>
        <v>BRENTWOOD  (Long Island)342FuelHolders, Producers, Accessory</v>
      </c>
      <c r="B117" s="1632" t="s">
        <v>1194</v>
      </c>
      <c r="C117" s="1633" t="s">
        <v>451</v>
      </c>
      <c r="D117" s="1634" t="s">
        <v>159</v>
      </c>
      <c r="E117" s="1633">
        <v>342</v>
      </c>
      <c r="F117" s="1633" t="s">
        <v>1907</v>
      </c>
      <c r="G117" s="1304">
        <v>4365607.83</v>
      </c>
      <c r="H117" s="1304">
        <v>2434253.6129844757</v>
      </c>
      <c r="I117" s="1304">
        <v>1931354.2170155244</v>
      </c>
      <c r="J117" s="1304">
        <v>142925.5479744758</v>
      </c>
      <c r="K117" s="1304">
        <v>4322395.91</v>
      </c>
      <c r="L117" s="1304">
        <v>2291328.06501</v>
      </c>
      <c r="M117" s="1304">
        <v>2031067.8449900001</v>
      </c>
      <c r="N117" s="1304">
        <v>33230</v>
      </c>
      <c r="O117"/>
      <c r="P117"/>
      <c r="Q117"/>
      <c r="R117"/>
      <c r="S117"/>
      <c r="T117"/>
      <c r="U117"/>
      <c r="V117"/>
      <c r="W117"/>
      <c r="X117"/>
      <c r="Y117"/>
      <c r="Z117"/>
    </row>
    <row r="118" spans="1:26" s="1635" customFormat="1" ht="15.75" customHeight="1" outlineLevel="1">
      <c r="A118" s="1631" t="str">
        <f t="shared" si="8"/>
        <v>BRENTWOOD  (Long Island)344Generators</v>
      </c>
      <c r="B118" s="1632" t="s">
        <v>1195</v>
      </c>
      <c r="C118" s="1633" t="s">
        <v>451</v>
      </c>
      <c r="D118" s="1634" t="s">
        <v>159</v>
      </c>
      <c r="E118" s="1633">
        <v>344</v>
      </c>
      <c r="F118" s="1633" t="s">
        <v>1908</v>
      </c>
      <c r="G118" s="1304">
        <v>41318967.910000004</v>
      </c>
      <c r="H118" s="1304">
        <v>26604011.461068708</v>
      </c>
      <c r="I118" s="1304">
        <v>14714956.448931295</v>
      </c>
      <c r="J118" s="1304">
        <v>822444.07676870748</v>
      </c>
      <c r="K118" s="1304">
        <v>41318967.910000004</v>
      </c>
      <c r="L118" s="1304">
        <v>25781567.384300001</v>
      </c>
      <c r="M118" s="1304">
        <v>15537400.525700003</v>
      </c>
      <c r="N118" s="1304">
        <v>40559</v>
      </c>
      <c r="O118"/>
      <c r="P118"/>
      <c r="Q118"/>
      <c r="R118"/>
      <c r="S118"/>
      <c r="T118"/>
      <c r="U118"/>
      <c r="V118"/>
      <c r="W118"/>
      <c r="X118"/>
      <c r="Y118"/>
      <c r="Z118"/>
    </row>
    <row r="119" spans="1:26" s="1635" customFormat="1" ht="15.75" customHeight="1" outlineLevel="1">
      <c r="A119" s="1631" t="str">
        <f t="shared" si="8"/>
        <v>BRENTWOOD  (Long Island)345Accessory Electric Equipment</v>
      </c>
      <c r="B119" s="1632" t="s">
        <v>1196</v>
      </c>
      <c r="C119" s="1633" t="s">
        <v>451</v>
      </c>
      <c r="D119" s="1634" t="s">
        <v>159</v>
      </c>
      <c r="E119" s="1633">
        <v>345</v>
      </c>
      <c r="F119" s="1633" t="s">
        <v>1901</v>
      </c>
      <c r="G119" s="1304">
        <v>1838521</v>
      </c>
      <c r="H119" s="1304">
        <v>1272309.9461156179</v>
      </c>
      <c r="I119" s="1304">
        <v>566211.05388438213</v>
      </c>
      <c r="J119" s="1304">
        <v>30178.376485617944</v>
      </c>
      <c r="K119" s="1304">
        <v>1838521</v>
      </c>
      <c r="L119" s="1304">
        <v>1242131.56963</v>
      </c>
      <c r="M119" s="1304">
        <v>596389.43036999996</v>
      </c>
      <c r="N119" s="1304">
        <v>0</v>
      </c>
      <c r="O119"/>
      <c r="P119"/>
      <c r="Q119"/>
      <c r="R119"/>
      <c r="S119"/>
      <c r="T119"/>
      <c r="U119"/>
      <c r="V119"/>
      <c r="W119"/>
      <c r="X119"/>
      <c r="Y119"/>
      <c r="Z119"/>
    </row>
    <row r="120" spans="1:26" s="1635" customFormat="1" ht="15.75" customHeight="1" outlineLevel="1">
      <c r="A120" s="1631" t="str">
        <f t="shared" si="8"/>
        <v>BRENTWOOD  (Long Island)346Misc Power Plant Equipment</v>
      </c>
      <c r="B120" s="1632" t="s">
        <v>1197</v>
      </c>
      <c r="C120" s="1633" t="s">
        <v>451</v>
      </c>
      <c r="D120" s="1634" t="s">
        <v>159</v>
      </c>
      <c r="E120" s="1633">
        <v>346</v>
      </c>
      <c r="F120" s="1633" t="s">
        <v>1902</v>
      </c>
      <c r="G120" s="1304">
        <v>0</v>
      </c>
      <c r="H120" s="1304">
        <v>0</v>
      </c>
      <c r="I120" s="1304">
        <v>0</v>
      </c>
      <c r="J120" s="1304">
        <v>0</v>
      </c>
      <c r="K120" s="1304">
        <v>0</v>
      </c>
      <c r="L120" s="1304">
        <v>0</v>
      </c>
      <c r="M120" s="1304">
        <v>0</v>
      </c>
      <c r="N120" s="1304">
        <v>0</v>
      </c>
      <c r="O120"/>
      <c r="P120"/>
      <c r="Q120"/>
      <c r="R120"/>
      <c r="S120"/>
      <c r="T120"/>
      <c r="U120"/>
      <c r="V120"/>
      <c r="W120"/>
      <c r="X120"/>
      <c r="Y120"/>
      <c r="Z120"/>
    </row>
    <row r="121" spans="1:26" s="1635" customFormat="1" ht="15.75" customHeight="1" outlineLevel="1">
      <c r="A121" s="1631" t="str">
        <f t="shared" si="8"/>
        <v>FLYNN  (Holtsville)341Structures &amp; Improvements</v>
      </c>
      <c r="B121" s="1632" t="s">
        <v>1198</v>
      </c>
      <c r="C121" s="1633" t="s">
        <v>451</v>
      </c>
      <c r="D121" s="1634" t="s">
        <v>155</v>
      </c>
      <c r="E121" s="1633">
        <v>341</v>
      </c>
      <c r="F121" s="1633" t="s">
        <v>69</v>
      </c>
      <c r="G121" s="1304">
        <v>9843853.2799999975</v>
      </c>
      <c r="H121" s="1304">
        <v>5846845.6967111528</v>
      </c>
      <c r="I121" s="1304">
        <v>3997007.5832888447</v>
      </c>
      <c r="J121" s="1304">
        <v>307657.4167111523</v>
      </c>
      <c r="K121" s="1304">
        <v>9843853.2799999975</v>
      </c>
      <c r="L121" s="1304">
        <v>5539188.2800000003</v>
      </c>
      <c r="M121" s="1304">
        <v>4304664.9999999972</v>
      </c>
      <c r="N121" s="1304">
        <v>306998.06</v>
      </c>
      <c r="O121"/>
      <c r="P121"/>
      <c r="Q121"/>
      <c r="R121"/>
      <c r="S121"/>
      <c r="T121"/>
      <c r="U121"/>
      <c r="V121"/>
      <c r="W121"/>
      <c r="X121"/>
      <c r="Y121"/>
      <c r="Z121"/>
    </row>
    <row r="122" spans="1:26" s="1635" customFormat="1" ht="15.75" customHeight="1" outlineLevel="1">
      <c r="A122" s="1631" t="str">
        <f t="shared" si="8"/>
        <v>FLYNN  (Holtsville)342FuelHolders, Producers, Accessory</v>
      </c>
      <c r="B122" s="1632" t="s">
        <v>1199</v>
      </c>
      <c r="C122" s="1633" t="s">
        <v>451</v>
      </c>
      <c r="D122" s="1634" t="s">
        <v>155</v>
      </c>
      <c r="E122" s="1633">
        <v>342</v>
      </c>
      <c r="F122" s="1633" t="s">
        <v>1907</v>
      </c>
      <c r="G122" s="1304">
        <v>16776430.539999999</v>
      </c>
      <c r="H122" s="1304">
        <v>8127094.0006154189</v>
      </c>
      <c r="I122" s="1304">
        <v>8649336.5393845811</v>
      </c>
      <c r="J122" s="1304">
        <v>628099.32061541814</v>
      </c>
      <c r="K122" s="1304">
        <v>16776430.539999999</v>
      </c>
      <c r="L122" s="1304">
        <v>7498994.6800000006</v>
      </c>
      <c r="M122" s="1304">
        <v>9277435.8599999994</v>
      </c>
      <c r="N122" s="1304">
        <v>420490</v>
      </c>
      <c r="O122"/>
      <c r="P122"/>
      <c r="Q122"/>
      <c r="R122"/>
      <c r="S122"/>
      <c r="T122"/>
      <c r="U122"/>
      <c r="V122"/>
      <c r="W122"/>
      <c r="X122"/>
      <c r="Y122"/>
      <c r="Z122"/>
    </row>
    <row r="123" spans="1:26" s="1635" customFormat="1" ht="15.75" customHeight="1" outlineLevel="1">
      <c r="A123" s="1631" t="str">
        <f t="shared" si="8"/>
        <v>FLYNN  (Holtsville)344Generators</v>
      </c>
      <c r="B123" s="1632" t="s">
        <v>1200</v>
      </c>
      <c r="C123" s="1633" t="s">
        <v>451</v>
      </c>
      <c r="D123" s="1634" t="s">
        <v>155</v>
      </c>
      <c r="E123" s="1633">
        <v>344</v>
      </c>
      <c r="F123" s="1633" t="s">
        <v>1908</v>
      </c>
      <c r="G123" s="1304">
        <v>159217689.91</v>
      </c>
      <c r="H123" s="1304">
        <v>90858692.542171195</v>
      </c>
      <c r="I123" s="1304">
        <v>68358997.367828801</v>
      </c>
      <c r="J123" s="1304">
        <v>4252328.7721712012</v>
      </c>
      <c r="K123" s="1304">
        <v>159217689.91</v>
      </c>
      <c r="L123" s="1304">
        <v>86606363.769999996</v>
      </c>
      <c r="M123" s="1304">
        <v>72611326.140000001</v>
      </c>
      <c r="N123" s="1304">
        <v>3821565.16</v>
      </c>
      <c r="O123"/>
      <c r="P123"/>
      <c r="Q123"/>
      <c r="R123"/>
      <c r="S123"/>
      <c r="T123"/>
      <c r="U123"/>
      <c r="V123"/>
      <c r="W123"/>
      <c r="X123"/>
      <c r="Y123"/>
      <c r="Z123"/>
    </row>
    <row r="124" spans="1:26" s="1635" customFormat="1" ht="15.75" customHeight="1" outlineLevel="1">
      <c r="A124" s="1631" t="str">
        <f t="shared" si="8"/>
        <v>FLYNN  (Holtsville)345Accessory Electric Equipment</v>
      </c>
      <c r="B124" s="1632" t="s">
        <v>1201</v>
      </c>
      <c r="C124" s="1633" t="s">
        <v>451</v>
      </c>
      <c r="D124" s="1634" t="s">
        <v>155</v>
      </c>
      <c r="E124" s="1633">
        <v>345</v>
      </c>
      <c r="F124" s="1633" t="s">
        <v>1901</v>
      </c>
      <c r="G124" s="1304">
        <v>8479559.3999999985</v>
      </c>
      <c r="H124" s="1304">
        <v>2146963.0995376059</v>
      </c>
      <c r="I124" s="1304">
        <v>6332596.3004623931</v>
      </c>
      <c r="J124" s="1304">
        <v>177286.68953760603</v>
      </c>
      <c r="K124" s="1304">
        <v>5202313.0999999996</v>
      </c>
      <c r="L124" s="1304">
        <v>1969676.41</v>
      </c>
      <c r="M124" s="1304">
        <v>3232636.6899999995</v>
      </c>
      <c r="N124" s="1304">
        <v>86329.3</v>
      </c>
      <c r="O124"/>
      <c r="P124"/>
      <c r="Q124"/>
      <c r="R124"/>
      <c r="S124"/>
      <c r="T124"/>
      <c r="U124"/>
      <c r="V124"/>
      <c r="W124"/>
      <c r="X124"/>
      <c r="Y124"/>
      <c r="Z124"/>
    </row>
    <row r="125" spans="1:26" s="1635" customFormat="1" ht="15.75" customHeight="1" outlineLevel="1">
      <c r="A125" s="1631" t="str">
        <f t="shared" si="8"/>
        <v>FLYNN  (Holtsville)346Misc Power Plant Equipment</v>
      </c>
      <c r="B125" s="1632" t="s">
        <v>1202</v>
      </c>
      <c r="C125" s="1633" t="s">
        <v>451</v>
      </c>
      <c r="D125" s="1634" t="s">
        <v>155</v>
      </c>
      <c r="E125" s="1633">
        <v>346</v>
      </c>
      <c r="F125" s="1633" t="s">
        <v>1902</v>
      </c>
      <c r="G125" s="1304">
        <v>3736375.42</v>
      </c>
      <c r="H125" s="1304">
        <v>2508179.3534517279</v>
      </c>
      <c r="I125" s="1304">
        <v>1228196.066548272</v>
      </c>
      <c r="J125" s="1304">
        <v>104799.91345172789</v>
      </c>
      <c r="K125" s="1304">
        <v>3736375.42</v>
      </c>
      <c r="L125" s="1304">
        <v>2403379.44</v>
      </c>
      <c r="M125" s="1304">
        <v>1332995.98</v>
      </c>
      <c r="N125" s="1304">
        <v>118124</v>
      </c>
      <c r="O125"/>
      <c r="P125"/>
      <c r="Q125"/>
      <c r="R125"/>
      <c r="S125"/>
      <c r="T125"/>
      <c r="U125"/>
      <c r="V125"/>
      <c r="W125"/>
      <c r="X125"/>
      <c r="Y125"/>
      <c r="Z125"/>
    </row>
    <row r="126" spans="1:26" s="1635" customFormat="1" ht="15.75" customHeight="1" outlineLevel="1">
      <c r="A126" s="1631" t="str">
        <f t="shared" si="8"/>
        <v>GOWANUS  (Brooklyn)341Structures &amp; Improvements</v>
      </c>
      <c r="B126" s="1632" t="s">
        <v>1203</v>
      </c>
      <c r="C126" s="1633" t="s">
        <v>451</v>
      </c>
      <c r="D126" s="1634" t="s">
        <v>156</v>
      </c>
      <c r="E126" s="1633">
        <v>341</v>
      </c>
      <c r="F126" s="1633" t="s">
        <v>69</v>
      </c>
      <c r="G126" s="1304">
        <v>4818706</v>
      </c>
      <c r="H126" s="1304">
        <v>1810415.5883078368</v>
      </c>
      <c r="I126" s="1304">
        <v>3008290.411692163</v>
      </c>
      <c r="J126" s="1304">
        <v>34688.233940108534</v>
      </c>
      <c r="K126" s="1304">
        <v>4817437.17</v>
      </c>
      <c r="L126" s="1304">
        <v>1775727.3543677283</v>
      </c>
      <c r="M126" s="1304">
        <v>3041709.8156322716</v>
      </c>
      <c r="N126" s="1304">
        <v>25408.19</v>
      </c>
      <c r="O126"/>
      <c r="P126"/>
      <c r="Q126"/>
      <c r="R126"/>
      <c r="S126"/>
      <c r="T126"/>
      <c r="U126"/>
      <c r="V126"/>
      <c r="W126"/>
      <c r="X126"/>
      <c r="Y126"/>
      <c r="Z126"/>
    </row>
    <row r="127" spans="1:26" s="1635" customFormat="1" ht="15.75" customHeight="1" outlineLevel="1">
      <c r="A127" s="1631" t="str">
        <f t="shared" si="8"/>
        <v>GOWANUS  (Brooklyn)342FuelHolders, Producers, Accessory</v>
      </c>
      <c r="B127" s="1632" t="s">
        <v>1204</v>
      </c>
      <c r="C127" s="1633" t="s">
        <v>451</v>
      </c>
      <c r="D127" s="1634" t="s">
        <v>156</v>
      </c>
      <c r="E127" s="1633">
        <v>342</v>
      </c>
      <c r="F127" s="1633" t="s">
        <v>1907</v>
      </c>
      <c r="G127" s="1304">
        <v>6884718.3200000003</v>
      </c>
      <c r="H127" s="1304">
        <v>3565622.7754387339</v>
      </c>
      <c r="I127" s="1304">
        <v>3319095.5445612664</v>
      </c>
      <c r="J127" s="1304">
        <v>55783.332432879259</v>
      </c>
      <c r="K127" s="1304">
        <v>6814880.6299999999</v>
      </c>
      <c r="L127" s="1304">
        <v>3509839.4430058547</v>
      </c>
      <c r="M127" s="1304">
        <v>3305041.1869941452</v>
      </c>
      <c r="N127" s="1304">
        <v>53705</v>
      </c>
      <c r="O127"/>
      <c r="P127"/>
      <c r="Q127"/>
      <c r="R127"/>
      <c r="S127"/>
      <c r="T127"/>
      <c r="U127"/>
      <c r="V127"/>
      <c r="W127"/>
      <c r="X127"/>
      <c r="Y127"/>
      <c r="Z127"/>
    </row>
    <row r="128" spans="1:26" s="1635" customFormat="1" ht="15.75" customHeight="1" outlineLevel="1">
      <c r="A128" s="1631" t="str">
        <f t="shared" si="8"/>
        <v>GOWANUS  (Brooklyn)344Generators</v>
      </c>
      <c r="B128" s="1632" t="s">
        <v>1205</v>
      </c>
      <c r="C128" s="1633" t="s">
        <v>451</v>
      </c>
      <c r="D128" s="1634" t="s">
        <v>156</v>
      </c>
      <c r="E128" s="1633">
        <v>344</v>
      </c>
      <c r="F128" s="1633" t="s">
        <v>1908</v>
      </c>
      <c r="G128" s="1304">
        <v>83848457.650000021</v>
      </c>
      <c r="H128" s="1304">
        <v>53159425.845730014</v>
      </c>
      <c r="I128" s="1304">
        <v>30689031.804270007</v>
      </c>
      <c r="J128" s="1304">
        <v>-13903.731458041293</v>
      </c>
      <c r="K128" s="1304">
        <v>83848457.650000021</v>
      </c>
      <c r="L128" s="1304">
        <v>53173329.577188052</v>
      </c>
      <c r="M128" s="1304">
        <v>30675128.072811969</v>
      </c>
      <c r="N128" s="1304">
        <v>39020.339999999997</v>
      </c>
      <c r="O128"/>
      <c r="P128"/>
      <c r="Q128"/>
      <c r="R128"/>
      <c r="S128"/>
      <c r="T128"/>
      <c r="U128"/>
      <c r="V128"/>
      <c r="W128"/>
      <c r="X128"/>
      <c r="Y128"/>
      <c r="Z128"/>
    </row>
    <row r="129" spans="1:26" s="1635" customFormat="1" ht="15.75" customHeight="1" outlineLevel="1">
      <c r="A129" s="1631" t="str">
        <f t="shared" si="8"/>
        <v>GOWANUS  (Brooklyn)345Accessory Electric Equipment</v>
      </c>
      <c r="B129" s="1632" t="s">
        <v>1206</v>
      </c>
      <c r="C129" s="1633" t="s">
        <v>451</v>
      </c>
      <c r="D129" s="1634" t="s">
        <v>156</v>
      </c>
      <c r="E129" s="1633">
        <v>345</v>
      </c>
      <c r="F129" s="1633" t="s">
        <v>1901</v>
      </c>
      <c r="G129" s="1304">
        <v>10035430.690000001</v>
      </c>
      <c r="H129" s="1304">
        <v>2670116.8125510467</v>
      </c>
      <c r="I129" s="1304">
        <v>7365313.8774489546</v>
      </c>
      <c r="J129" s="1304">
        <v>188359.89711267687</v>
      </c>
      <c r="K129" s="1304">
        <v>6758184.3900000006</v>
      </c>
      <c r="L129" s="1304">
        <v>2481756.9154383698</v>
      </c>
      <c r="M129" s="1304">
        <v>4276427.4745616307</v>
      </c>
      <c r="N129" s="1304">
        <v>12650.39</v>
      </c>
      <c r="O129"/>
      <c r="P129"/>
      <c r="Q129"/>
      <c r="R129"/>
      <c r="S129"/>
      <c r="T129"/>
      <c r="U129"/>
      <c r="V129"/>
      <c r="W129"/>
      <c r="X129"/>
      <c r="Y129"/>
      <c r="Z129"/>
    </row>
    <row r="130" spans="1:26" s="1635" customFormat="1" ht="15.75" customHeight="1" outlineLevel="1">
      <c r="A130" s="1631" t="str">
        <f t="shared" si="8"/>
        <v>GOWANUS  (Brooklyn)346Misc Power Plant Equipment</v>
      </c>
      <c r="B130" s="1632" t="s">
        <v>1207</v>
      </c>
      <c r="C130" s="1633" t="s">
        <v>451</v>
      </c>
      <c r="D130" s="1634" t="s">
        <v>156</v>
      </c>
      <c r="E130" s="1633">
        <v>346</v>
      </c>
      <c r="F130" s="1633" t="s">
        <v>1902</v>
      </c>
      <c r="G130" s="1304">
        <v>0</v>
      </c>
      <c r="H130" s="1304">
        <v>0</v>
      </c>
      <c r="I130" s="1304">
        <v>0</v>
      </c>
      <c r="J130" s="1304">
        <v>0</v>
      </c>
      <c r="K130" s="1304">
        <v>0</v>
      </c>
      <c r="L130" s="1304">
        <v>0</v>
      </c>
      <c r="M130" s="1304">
        <v>0</v>
      </c>
      <c r="N130" s="1304">
        <v>0</v>
      </c>
      <c r="O130"/>
      <c r="P130"/>
      <c r="Q130"/>
      <c r="R130"/>
      <c r="S130"/>
      <c r="T130"/>
      <c r="U130"/>
      <c r="V130"/>
      <c r="W130"/>
      <c r="X130"/>
      <c r="Y130"/>
      <c r="Z130"/>
    </row>
    <row r="131" spans="1:26" s="1635" customFormat="1" ht="15.75" customHeight="1" outlineLevel="1">
      <c r="A131" s="1631" t="str">
        <f t="shared" si="8"/>
        <v>HARLEM RIVER YARDS  (Bronx)341Structures &amp; Improvements</v>
      </c>
      <c r="B131" s="1632" t="s">
        <v>1208</v>
      </c>
      <c r="C131" s="1633" t="s">
        <v>451</v>
      </c>
      <c r="D131" s="1634" t="s">
        <v>157</v>
      </c>
      <c r="E131" s="1633">
        <v>341</v>
      </c>
      <c r="F131" s="1633" t="s">
        <v>69</v>
      </c>
      <c r="G131" s="1304">
        <v>1933673.09</v>
      </c>
      <c r="H131" s="1304">
        <v>1761759.57</v>
      </c>
      <c r="I131" s="1304">
        <v>171913.52000000002</v>
      </c>
      <c r="J131" s="1304">
        <v>21154.880000000001</v>
      </c>
      <c r="K131" s="1304">
        <v>1931812.2100000002</v>
      </c>
      <c r="L131" s="1304">
        <v>1740604.6900000002</v>
      </c>
      <c r="M131" s="1304">
        <v>191207.52000000002</v>
      </c>
      <c r="N131" s="1304">
        <v>21144</v>
      </c>
      <c r="O131"/>
      <c r="P131"/>
      <c r="Q131"/>
      <c r="R131"/>
      <c r="S131"/>
      <c r="T131"/>
      <c r="U131"/>
      <c r="V131"/>
      <c r="W131"/>
      <c r="X131"/>
      <c r="Y131"/>
      <c r="Z131"/>
    </row>
    <row r="132" spans="1:26" s="1635" customFormat="1" ht="15.75" customHeight="1" outlineLevel="1">
      <c r="A132" s="1631" t="str">
        <f t="shared" si="8"/>
        <v>HARLEM RIVER YARDS  (Bronx)342FuelHolders, Producers, Accessory</v>
      </c>
      <c r="B132" s="1632" t="s">
        <v>1209</v>
      </c>
      <c r="C132" s="1633" t="s">
        <v>451</v>
      </c>
      <c r="D132" s="1634" t="s">
        <v>157</v>
      </c>
      <c r="E132" s="1633">
        <v>342</v>
      </c>
      <c r="F132" s="1633" t="s">
        <v>1907</v>
      </c>
      <c r="G132" s="1304">
        <v>5288624.8899999997</v>
      </c>
      <c r="H132" s="1304">
        <v>313944.42485826556</v>
      </c>
      <c r="I132" s="1304">
        <v>4974680.4651417341</v>
      </c>
      <c r="J132" s="1304">
        <v>65990.494858265563</v>
      </c>
      <c r="K132" s="1304">
        <v>5200571.93</v>
      </c>
      <c r="L132" s="1304">
        <v>247953.93</v>
      </c>
      <c r="M132" s="1304">
        <v>4952618</v>
      </c>
      <c r="N132" s="1304">
        <v>67713</v>
      </c>
      <c r="O132"/>
      <c r="P132"/>
      <c r="Q132"/>
      <c r="R132"/>
      <c r="S132"/>
      <c r="T132"/>
      <c r="U132"/>
      <c r="V132"/>
      <c r="W132"/>
      <c r="X132"/>
      <c r="Y132"/>
      <c r="Z132"/>
    </row>
    <row r="133" spans="1:26" s="1635" customFormat="1" ht="15.75" customHeight="1" outlineLevel="1">
      <c r="A133" s="1631" t="str">
        <f t="shared" si="8"/>
        <v>HARLEM RIVER YARDS  (Bronx)344Generators</v>
      </c>
      <c r="B133" s="1632" t="s">
        <v>1210</v>
      </c>
      <c r="C133" s="1633" t="s">
        <v>451</v>
      </c>
      <c r="D133" s="1634" t="s">
        <v>157</v>
      </c>
      <c r="E133" s="1633">
        <v>344</v>
      </c>
      <c r="F133" s="1633" t="s">
        <v>1908</v>
      </c>
      <c r="G133" s="1304">
        <v>83459576.930000007</v>
      </c>
      <c r="H133" s="1304">
        <v>88076490.130240172</v>
      </c>
      <c r="I133" s="1304">
        <v>-4616913.200240165</v>
      </c>
      <c r="J133" s="1304">
        <v>102458.53024018368</v>
      </c>
      <c r="K133" s="1304">
        <v>83459576.930000007</v>
      </c>
      <c r="L133" s="1304">
        <v>87974031.599999994</v>
      </c>
      <c r="M133" s="1304">
        <v>-4514454.6699999869</v>
      </c>
      <c r="N133" s="1304">
        <v>93444.61</v>
      </c>
      <c r="O133"/>
      <c r="P133"/>
      <c r="Q133"/>
      <c r="R133"/>
      <c r="S133"/>
      <c r="T133"/>
      <c r="U133"/>
      <c r="V133"/>
      <c r="W133"/>
      <c r="X133"/>
      <c r="Y133"/>
      <c r="Z133"/>
    </row>
    <row r="134" spans="1:26" s="1635" customFormat="1" ht="15.75" customHeight="1" outlineLevel="1">
      <c r="A134" s="1631" t="str">
        <f t="shared" si="8"/>
        <v>HARLEM RIVER YARDS  (Bronx)345Accessory Electric Equipment</v>
      </c>
      <c r="B134" s="1632" t="s">
        <v>1211</v>
      </c>
      <c r="C134" s="1633" t="s">
        <v>451</v>
      </c>
      <c r="D134" s="1634" t="s">
        <v>157</v>
      </c>
      <c r="E134" s="1633">
        <v>345</v>
      </c>
      <c r="F134" s="1633" t="s">
        <v>1901</v>
      </c>
      <c r="G134" s="1304">
        <v>3636503</v>
      </c>
      <c r="H134" s="1304">
        <v>3739834.9452401586</v>
      </c>
      <c r="I134" s="1304">
        <v>-103331.94524015859</v>
      </c>
      <c r="J134" s="1304">
        <v>-61048.054759841616</v>
      </c>
      <c r="K134" s="1304">
        <v>3636503</v>
      </c>
      <c r="L134" s="1304">
        <v>3800883</v>
      </c>
      <c r="M134" s="1304">
        <v>-164380</v>
      </c>
      <c r="N134" s="1304">
        <v>0</v>
      </c>
      <c r="O134"/>
      <c r="P134"/>
      <c r="Q134"/>
      <c r="R134"/>
      <c r="S134"/>
      <c r="T134"/>
      <c r="U134"/>
      <c r="V134"/>
      <c r="W134"/>
      <c r="X134"/>
      <c r="Y134"/>
      <c r="Z134"/>
    </row>
    <row r="135" spans="1:26" s="1635" customFormat="1" ht="15.75" customHeight="1" outlineLevel="1">
      <c r="A135" s="1631" t="str">
        <f t="shared" si="8"/>
        <v>HARLEM RIVER YARDS  (Bronx)346Misc Power Plant Equipment</v>
      </c>
      <c r="B135" s="1632" t="s">
        <v>1212</v>
      </c>
      <c r="C135" s="1633" t="s">
        <v>451</v>
      </c>
      <c r="D135" s="1634" t="s">
        <v>157</v>
      </c>
      <c r="E135" s="1633">
        <v>346</v>
      </c>
      <c r="F135" s="1633" t="s">
        <v>1902</v>
      </c>
      <c r="G135" s="1304">
        <v>0</v>
      </c>
      <c r="H135" s="1304">
        <v>0</v>
      </c>
      <c r="I135" s="1304">
        <v>0</v>
      </c>
      <c r="J135" s="1304">
        <v>0</v>
      </c>
      <c r="K135" s="1304">
        <v>0</v>
      </c>
      <c r="L135" s="1304">
        <v>0</v>
      </c>
      <c r="M135" s="1304">
        <v>0</v>
      </c>
      <c r="N135" s="1304">
        <v>0</v>
      </c>
      <c r="O135"/>
      <c r="P135"/>
      <c r="Q135"/>
      <c r="R135"/>
      <c r="S135"/>
      <c r="T135"/>
      <c r="U135"/>
      <c r="V135"/>
      <c r="W135"/>
      <c r="X135"/>
      <c r="Y135"/>
      <c r="Z135"/>
    </row>
    <row r="136" spans="1:26" s="1635" customFormat="1" ht="15.75" customHeight="1" outlineLevel="1">
      <c r="A136" s="1631" t="str">
        <f t="shared" si="8"/>
        <v>HELLGATE  (Bronx)341Structures &amp; Improvements</v>
      </c>
      <c r="B136" s="1632" t="s">
        <v>1213</v>
      </c>
      <c r="C136" s="1633" t="s">
        <v>451</v>
      </c>
      <c r="D136" s="1634" t="s">
        <v>158</v>
      </c>
      <c r="E136" s="1633">
        <v>341</v>
      </c>
      <c r="F136" s="1633" t="s">
        <v>69</v>
      </c>
      <c r="G136" s="1304">
        <v>2445759.06</v>
      </c>
      <c r="H136" s="1304">
        <v>1710073.4271370296</v>
      </c>
      <c r="I136" s="1304">
        <v>735685.63286297047</v>
      </c>
      <c r="J136" s="1304">
        <v>23082.997137029444</v>
      </c>
      <c r="K136" s="1304">
        <v>2443853.9500000002</v>
      </c>
      <c r="L136" s="1304">
        <v>1686990.4300000002</v>
      </c>
      <c r="M136" s="1304">
        <v>756863.52</v>
      </c>
      <c r="N136" s="1304">
        <v>36437</v>
      </c>
      <c r="O136"/>
      <c r="P136"/>
      <c r="Q136"/>
      <c r="R136"/>
      <c r="S136"/>
      <c r="T136"/>
      <c r="U136"/>
      <c r="V136"/>
      <c r="W136"/>
      <c r="X136"/>
      <c r="Y136"/>
      <c r="Z136"/>
    </row>
    <row r="137" spans="1:26" s="1635" customFormat="1" ht="15.75" customHeight="1" outlineLevel="1">
      <c r="A137" s="1631" t="str">
        <f t="shared" si="8"/>
        <v>HELLGATE  (Bronx)342FuelHolders, Producers, Accessory</v>
      </c>
      <c r="B137" s="1632" t="s">
        <v>1214</v>
      </c>
      <c r="C137" s="1633" t="s">
        <v>451</v>
      </c>
      <c r="D137" s="1634" t="s">
        <v>158</v>
      </c>
      <c r="E137" s="1633">
        <v>342</v>
      </c>
      <c r="F137" s="1633" t="s">
        <v>1907</v>
      </c>
      <c r="G137" s="1304">
        <v>9087892.9399999995</v>
      </c>
      <c r="H137" s="1304">
        <v>7385385.6313829031</v>
      </c>
      <c r="I137" s="1304">
        <v>1702507.3086170964</v>
      </c>
      <c r="J137" s="1304">
        <v>66410.691382902791</v>
      </c>
      <c r="K137" s="1304">
        <v>8999821.9399999995</v>
      </c>
      <c r="L137" s="1304">
        <v>7318974.9400000004</v>
      </c>
      <c r="M137" s="1304">
        <v>1680846.9999999991</v>
      </c>
      <c r="N137" s="1304">
        <v>67727</v>
      </c>
      <c r="O137"/>
      <c r="P137"/>
      <c r="Q137"/>
      <c r="R137"/>
      <c r="S137"/>
      <c r="T137"/>
      <c r="U137"/>
      <c r="V137"/>
      <c r="W137"/>
      <c r="X137"/>
      <c r="Y137"/>
      <c r="Z137"/>
    </row>
    <row r="138" spans="1:26" s="1635" customFormat="1" ht="15.75" customHeight="1" outlineLevel="1">
      <c r="A138" s="1631" t="str">
        <f t="shared" si="8"/>
        <v>HELLGATE  (Bronx)344Generators</v>
      </c>
      <c r="B138" s="1632" t="s">
        <v>1215</v>
      </c>
      <c r="C138" s="1633" t="s">
        <v>451</v>
      </c>
      <c r="D138" s="1634" t="s">
        <v>158</v>
      </c>
      <c r="E138" s="1633">
        <v>344</v>
      </c>
      <c r="F138" s="1633" t="s">
        <v>1908</v>
      </c>
      <c r="G138" s="1304">
        <v>85503229.640000001</v>
      </c>
      <c r="H138" s="1304">
        <v>88485014.635240152</v>
      </c>
      <c r="I138" s="1304">
        <v>-2981784.9952401519</v>
      </c>
      <c r="J138" s="1304">
        <v>28290.945240158384</v>
      </c>
      <c r="K138" s="1304">
        <v>85503229.640000001</v>
      </c>
      <c r="L138" s="1304">
        <v>88456723.689999998</v>
      </c>
      <c r="M138" s="1304">
        <v>-2953494.049999997</v>
      </c>
      <c r="N138" s="1304">
        <v>89338.76</v>
      </c>
      <c r="O138"/>
      <c r="P138"/>
      <c r="Q138"/>
      <c r="R138"/>
      <c r="S138"/>
      <c r="T138"/>
      <c r="U138"/>
      <c r="V138"/>
      <c r="W138"/>
      <c r="X138"/>
      <c r="Y138"/>
      <c r="Z138"/>
    </row>
    <row r="139" spans="1:26" s="1635" customFormat="1" ht="15.75" customHeight="1" outlineLevel="1">
      <c r="A139" s="1631" t="str">
        <f t="shared" si="8"/>
        <v>HELLGATE  (Bronx)345Accessory Electric Equipment</v>
      </c>
      <c r="B139" s="1632" t="s">
        <v>1216</v>
      </c>
      <c r="C139" s="1633" t="s">
        <v>451</v>
      </c>
      <c r="D139" s="1634" t="s">
        <v>158</v>
      </c>
      <c r="E139" s="1633">
        <v>345</v>
      </c>
      <c r="F139" s="1633" t="s">
        <v>1901</v>
      </c>
      <c r="G139" s="1304">
        <v>8951371.2199999988</v>
      </c>
      <c r="H139" s="1304">
        <v>3840960.2199999997</v>
      </c>
      <c r="I139" s="1304">
        <v>5110410.9999999991</v>
      </c>
      <c r="J139" s="1304">
        <v>143610.29999999999</v>
      </c>
      <c r="K139" s="1304">
        <v>5674124.9199999999</v>
      </c>
      <c r="L139" s="1304">
        <v>3697349.92</v>
      </c>
      <c r="M139" s="1304">
        <v>1976775</v>
      </c>
      <c r="N139" s="1304">
        <v>8932.92</v>
      </c>
      <c r="O139"/>
      <c r="P139"/>
      <c r="Q139"/>
      <c r="R139"/>
      <c r="S139"/>
      <c r="T139"/>
      <c r="U139"/>
      <c r="V139"/>
      <c r="W139"/>
      <c r="X139"/>
      <c r="Y139"/>
      <c r="Z139"/>
    </row>
    <row r="140" spans="1:26" s="1635" customFormat="1" ht="15.75" customHeight="1" outlineLevel="1">
      <c r="A140" s="1631" t="str">
        <f t="shared" si="8"/>
        <v>HELLGATE  (Bronx)346Misc Power Plant Equipment</v>
      </c>
      <c r="B140" s="1632" t="s">
        <v>1365</v>
      </c>
      <c r="C140" s="1633" t="s">
        <v>451</v>
      </c>
      <c r="D140" s="1634" t="s">
        <v>158</v>
      </c>
      <c r="E140" s="1633">
        <v>346</v>
      </c>
      <c r="F140" s="1633" t="s">
        <v>1902</v>
      </c>
      <c r="G140" s="1304">
        <v>0</v>
      </c>
      <c r="H140" s="1304">
        <v>0</v>
      </c>
      <c r="I140" s="1304">
        <v>0</v>
      </c>
      <c r="J140" s="1304">
        <v>0</v>
      </c>
      <c r="K140" s="1304">
        <v>0</v>
      </c>
      <c r="L140" s="1304">
        <v>0</v>
      </c>
      <c r="M140" s="1304">
        <v>0</v>
      </c>
      <c r="N140" s="1304">
        <v>0</v>
      </c>
      <c r="O140"/>
      <c r="P140"/>
      <c r="Q140"/>
      <c r="R140"/>
      <c r="S140"/>
      <c r="T140"/>
      <c r="U140"/>
      <c r="V140"/>
      <c r="W140"/>
      <c r="X140"/>
      <c r="Y140"/>
      <c r="Z140"/>
    </row>
    <row r="141" spans="1:26" s="1635" customFormat="1" ht="15.75" customHeight="1" outlineLevel="1">
      <c r="A141" s="1631" t="str">
        <f t="shared" si="8"/>
        <v>KENT  (Brooklyn)341Structures &amp; Improvements</v>
      </c>
      <c r="B141" s="1632" t="s">
        <v>1399</v>
      </c>
      <c r="C141" s="1633" t="s">
        <v>451</v>
      </c>
      <c r="D141" s="1634" t="s">
        <v>165</v>
      </c>
      <c r="E141" s="1633">
        <v>341</v>
      </c>
      <c r="F141" s="1633" t="s">
        <v>69</v>
      </c>
      <c r="G141" s="1304">
        <v>1412864.17</v>
      </c>
      <c r="H141" s="1304">
        <v>809261.81980261439</v>
      </c>
      <c r="I141" s="1304">
        <v>603602.35019738553</v>
      </c>
      <c r="J141" s="1304">
        <v>24875.064667216742</v>
      </c>
      <c r="K141" s="1304">
        <v>1410448.2999999998</v>
      </c>
      <c r="L141" s="1304">
        <v>784386.75513539766</v>
      </c>
      <c r="M141" s="1304">
        <v>626061.54486460215</v>
      </c>
      <c r="N141" s="1304">
        <v>9934.19</v>
      </c>
      <c r="O141"/>
      <c r="P141"/>
      <c r="Q141"/>
      <c r="R141"/>
      <c r="S141"/>
      <c r="T141"/>
      <c r="U141"/>
      <c r="V141"/>
      <c r="W141"/>
      <c r="X141"/>
      <c r="Y141"/>
      <c r="Z141"/>
    </row>
    <row r="142" spans="1:26" s="1635" customFormat="1" ht="15.75" customHeight="1" outlineLevel="1">
      <c r="A142" s="1631" t="str">
        <f t="shared" si="8"/>
        <v>KENT  (Brooklyn)342FuelHolders, Producers, Accessory</v>
      </c>
      <c r="B142" s="1632" t="s">
        <v>1400</v>
      </c>
      <c r="C142" s="1633" t="s">
        <v>451</v>
      </c>
      <c r="D142" s="1634" t="s">
        <v>165</v>
      </c>
      <c r="E142" s="1633">
        <v>342</v>
      </c>
      <c r="F142" s="1633" t="s">
        <v>1907</v>
      </c>
      <c r="G142" s="1304">
        <v>6389670.7400000002</v>
      </c>
      <c r="H142" s="1304">
        <v>3946915.1699479674</v>
      </c>
      <c r="I142" s="1304">
        <v>2442755.5700520328</v>
      </c>
      <c r="J142" s="1304">
        <v>33833.597763836464</v>
      </c>
      <c r="K142" s="1304">
        <v>6344801.8799999999</v>
      </c>
      <c r="L142" s="1304">
        <v>3913081.572184131</v>
      </c>
      <c r="M142" s="1304">
        <v>2431720.3078158689</v>
      </c>
      <c r="N142" s="1304">
        <v>34504</v>
      </c>
      <c r="O142"/>
      <c r="P142"/>
      <c r="Q142"/>
      <c r="R142"/>
      <c r="S142"/>
      <c r="T142"/>
      <c r="U142"/>
      <c r="V142"/>
      <c r="W142"/>
      <c r="X142"/>
      <c r="Y142"/>
      <c r="Z142"/>
    </row>
    <row r="143" spans="1:26" s="1635" customFormat="1" ht="15.75" customHeight="1" outlineLevel="1">
      <c r="A143" s="1631" t="str">
        <f t="shared" si="8"/>
        <v>KENT  (Brooklyn)344Generators</v>
      </c>
      <c r="B143" s="1632" t="s">
        <v>2088</v>
      </c>
      <c r="C143" s="1633" t="s">
        <v>451</v>
      </c>
      <c r="D143" s="1634" t="s">
        <v>165</v>
      </c>
      <c r="E143" s="1633">
        <v>344</v>
      </c>
      <c r="F143" s="1633" t="s">
        <v>1908</v>
      </c>
      <c r="G143" s="1304">
        <v>43444740.289999999</v>
      </c>
      <c r="H143" s="1304">
        <v>30388566.78026405</v>
      </c>
      <c r="I143" s="1304">
        <v>13056173.509735949</v>
      </c>
      <c r="J143" s="1304">
        <v>16274.02055071633</v>
      </c>
      <c r="K143" s="1304">
        <v>43444740.289999999</v>
      </c>
      <c r="L143" s="1304">
        <v>30372292.759713333</v>
      </c>
      <c r="M143" s="1304">
        <v>13072447.530286666</v>
      </c>
      <c r="N143" s="1304">
        <v>2768.62</v>
      </c>
      <c r="O143"/>
      <c r="P143"/>
      <c r="Q143"/>
      <c r="R143"/>
      <c r="S143"/>
      <c r="T143"/>
      <c r="U143"/>
      <c r="V143"/>
      <c r="W143"/>
      <c r="X143"/>
      <c r="Y143"/>
      <c r="Z143"/>
    </row>
    <row r="144" spans="1:26" s="1635" customFormat="1" ht="15.75" customHeight="1" outlineLevel="1">
      <c r="A144" s="1631" t="str">
        <f t="shared" si="8"/>
        <v>KENT  (Brooklyn)345Accessory Electric Equipment</v>
      </c>
      <c r="B144" s="1632" t="s">
        <v>1401</v>
      </c>
      <c r="C144" s="1633" t="s">
        <v>451</v>
      </c>
      <c r="D144" s="1634" t="s">
        <v>165</v>
      </c>
      <c r="E144" s="1633">
        <v>345</v>
      </c>
      <c r="F144" s="1633" t="s">
        <v>1901</v>
      </c>
      <c r="G144" s="1304">
        <v>1987337</v>
      </c>
      <c r="H144" s="1304">
        <v>1444300.198790028</v>
      </c>
      <c r="I144" s="1304">
        <v>543036.80120997201</v>
      </c>
      <c r="J144" s="1304">
        <v>2293.5558228883733</v>
      </c>
      <c r="K144" s="1304">
        <v>1987337</v>
      </c>
      <c r="L144" s="1304">
        <v>1442006.6429671396</v>
      </c>
      <c r="M144" s="1304">
        <v>545330.3570328604</v>
      </c>
      <c r="N144" s="1304">
        <v>0</v>
      </c>
      <c r="O144"/>
      <c r="P144"/>
      <c r="Q144"/>
      <c r="R144"/>
      <c r="S144"/>
      <c r="T144"/>
      <c r="U144"/>
      <c r="V144"/>
      <c r="W144"/>
      <c r="X144"/>
      <c r="Y144"/>
      <c r="Z144"/>
    </row>
    <row r="145" spans="1:26" s="1635" customFormat="1" ht="15.75" customHeight="1" outlineLevel="1">
      <c r="A145" s="1631" t="str">
        <f t="shared" si="8"/>
        <v>KENT  (Brooklyn)346Misc Power Plant Equipment</v>
      </c>
      <c r="B145" s="1632" t="s">
        <v>1402</v>
      </c>
      <c r="C145" s="1633" t="s">
        <v>451</v>
      </c>
      <c r="D145" s="1634" t="s">
        <v>165</v>
      </c>
      <c r="E145" s="1633">
        <v>346</v>
      </c>
      <c r="F145" s="1633" t="s">
        <v>1902</v>
      </c>
      <c r="G145" s="1304">
        <v>0</v>
      </c>
      <c r="H145" s="1304">
        <v>0</v>
      </c>
      <c r="I145" s="1304">
        <v>0</v>
      </c>
      <c r="J145" s="1304">
        <v>0</v>
      </c>
      <c r="K145" s="1304">
        <v>0</v>
      </c>
      <c r="L145" s="1304">
        <v>0</v>
      </c>
      <c r="M145" s="1304">
        <v>0</v>
      </c>
      <c r="N145" s="1304">
        <v>0</v>
      </c>
      <c r="O145"/>
      <c r="P145"/>
      <c r="Q145"/>
      <c r="R145"/>
      <c r="S145"/>
      <c r="T145"/>
      <c r="U145"/>
      <c r="V145"/>
      <c r="W145"/>
      <c r="X145"/>
      <c r="Y145"/>
      <c r="Z145"/>
    </row>
    <row r="146" spans="1:26" s="1635" customFormat="1" ht="15.75" customHeight="1" outlineLevel="1">
      <c r="A146" s="1631" t="str">
        <f t="shared" si="8"/>
        <v>POLETTI  (Astoria)311Structures &amp; Improvements</v>
      </c>
      <c r="B146" s="1632" t="s">
        <v>1403</v>
      </c>
      <c r="C146" s="1633" t="s">
        <v>451</v>
      </c>
      <c r="D146" s="1634" t="s">
        <v>161</v>
      </c>
      <c r="E146" s="1633">
        <v>311</v>
      </c>
      <c r="F146" s="1633" t="s">
        <v>69</v>
      </c>
      <c r="G146" s="1304">
        <v>0</v>
      </c>
      <c r="H146" s="1304">
        <v>0</v>
      </c>
      <c r="I146" s="1304">
        <v>0</v>
      </c>
      <c r="J146" s="1304">
        <v>0</v>
      </c>
      <c r="K146" s="1304">
        <v>0.45000000298023224</v>
      </c>
      <c r="L146" s="1304">
        <v>3.1811182647943497</v>
      </c>
      <c r="M146" s="1304">
        <v>-2.7311182618141174</v>
      </c>
      <c r="N146" s="1304">
        <v>0</v>
      </c>
      <c r="O146"/>
      <c r="P146"/>
      <c r="Q146"/>
      <c r="R146"/>
      <c r="S146"/>
      <c r="T146"/>
      <c r="U146"/>
      <c r="V146"/>
      <c r="W146"/>
      <c r="X146"/>
      <c r="Y146"/>
      <c r="Z146"/>
    </row>
    <row r="147" spans="1:26" s="1635" customFormat="1" ht="15.75" customHeight="1" outlineLevel="1">
      <c r="A147" s="1631" t="str">
        <f t="shared" si="8"/>
        <v>POLETTI  (Astoria)312Boiler Plant Equipment</v>
      </c>
      <c r="B147" s="1632" t="s">
        <v>1404</v>
      </c>
      <c r="C147" s="1633" t="s">
        <v>451</v>
      </c>
      <c r="D147" s="1634" t="s">
        <v>161</v>
      </c>
      <c r="E147" s="1633">
        <v>312</v>
      </c>
      <c r="F147" s="1633" t="s">
        <v>1905</v>
      </c>
      <c r="G147" s="1304">
        <v>0</v>
      </c>
      <c r="H147" s="1304">
        <v>0</v>
      </c>
      <c r="I147" s="1304">
        <v>0</v>
      </c>
      <c r="J147" s="1304">
        <v>0</v>
      </c>
      <c r="K147" s="1304">
        <v>3.9999991655349731E-2</v>
      </c>
      <c r="L147" s="1304">
        <v>-4.4736266136169434E-4</v>
      </c>
      <c r="M147" s="1304">
        <v>4.0447354316711426E-2</v>
      </c>
      <c r="N147" s="1304">
        <v>0</v>
      </c>
      <c r="O147"/>
      <c r="P147"/>
      <c r="Q147"/>
      <c r="R147"/>
      <c r="S147"/>
      <c r="T147"/>
      <c r="U147"/>
      <c r="V147"/>
      <c r="W147"/>
      <c r="X147"/>
      <c r="Y147"/>
      <c r="Z147"/>
    </row>
    <row r="148" spans="1:26" s="1635" customFormat="1" ht="15.75" customHeight="1" outlineLevel="1">
      <c r="A148" s="1631" t="str">
        <f t="shared" ref="A148:A162" si="11">CONCATENATE(D148,E148,F148)</f>
        <v>POLETTI  (Astoria)314TurboGenerator Units</v>
      </c>
      <c r="B148" s="1632" t="s">
        <v>1405</v>
      </c>
      <c r="C148" s="1633" t="s">
        <v>451</v>
      </c>
      <c r="D148" s="1634" t="s">
        <v>161</v>
      </c>
      <c r="E148" s="1633">
        <v>314</v>
      </c>
      <c r="F148" s="1633" t="s">
        <v>1906</v>
      </c>
      <c r="G148" s="1304">
        <v>0</v>
      </c>
      <c r="H148" s="1304">
        <v>0</v>
      </c>
      <c r="I148" s="1304">
        <v>0</v>
      </c>
      <c r="J148" s="1304">
        <v>0</v>
      </c>
      <c r="K148" s="1304">
        <v>0.39000000059604645</v>
      </c>
      <c r="L148" s="1304">
        <v>-3.2081692963838577</v>
      </c>
      <c r="M148" s="1304">
        <v>3.5981692969799042</v>
      </c>
      <c r="N148" s="1304">
        <v>0</v>
      </c>
      <c r="O148"/>
      <c r="P148"/>
      <c r="Q148"/>
      <c r="R148"/>
      <c r="S148"/>
      <c r="T148"/>
      <c r="U148"/>
      <c r="V148"/>
      <c r="W148"/>
      <c r="X148"/>
      <c r="Y148"/>
      <c r="Z148"/>
    </row>
    <row r="149" spans="1:26" s="1635" customFormat="1" ht="15.75" customHeight="1" outlineLevel="1">
      <c r="A149" s="1631" t="str">
        <f t="shared" si="11"/>
        <v>POLETTI  (Astoria)315Accessory Electric Equipment</v>
      </c>
      <c r="B149" s="1632" t="s">
        <v>1406</v>
      </c>
      <c r="C149" s="1633" t="s">
        <v>451</v>
      </c>
      <c r="D149" s="1634" t="s">
        <v>161</v>
      </c>
      <c r="E149" s="1633">
        <v>315</v>
      </c>
      <c r="F149" s="1633" t="s">
        <v>1901</v>
      </c>
      <c r="G149" s="1304">
        <v>0</v>
      </c>
      <c r="H149" s="1304">
        <v>0</v>
      </c>
      <c r="I149" s="1304">
        <v>0</v>
      </c>
      <c r="J149" s="1304">
        <v>0</v>
      </c>
      <c r="K149" s="1304">
        <v>-0.28999999910593033</v>
      </c>
      <c r="L149" s="1304">
        <v>0</v>
      </c>
      <c r="M149" s="1304">
        <v>-0.28999999910593033</v>
      </c>
      <c r="N149" s="1304">
        <v>0</v>
      </c>
      <c r="O149"/>
      <c r="P149"/>
      <c r="Q149"/>
      <c r="R149"/>
      <c r="S149"/>
      <c r="T149"/>
      <c r="U149"/>
      <c r="V149"/>
      <c r="W149"/>
      <c r="X149"/>
      <c r="Y149"/>
      <c r="Z149"/>
    </row>
    <row r="150" spans="1:26" s="1635" customFormat="1" ht="15.75" customHeight="1" outlineLevel="1">
      <c r="A150" s="1631" t="str">
        <f t="shared" si="11"/>
        <v>POLETTI  (Astoria)316Misc Power Plant Equipment</v>
      </c>
      <c r="B150" s="1632" t="s">
        <v>1407</v>
      </c>
      <c r="C150" s="1633" t="s">
        <v>451</v>
      </c>
      <c r="D150" s="1634" t="s">
        <v>161</v>
      </c>
      <c r="E150" s="1633">
        <v>316</v>
      </c>
      <c r="F150" s="1633" t="s">
        <v>1902</v>
      </c>
      <c r="G150" s="1304">
        <v>0</v>
      </c>
      <c r="H150" s="1304">
        <v>0</v>
      </c>
      <c r="I150" s="1304">
        <v>0</v>
      </c>
      <c r="J150" s="1304">
        <v>0</v>
      </c>
      <c r="K150" s="1304">
        <v>-0.25</v>
      </c>
      <c r="L150" s="1304">
        <v>0.39661968406289816</v>
      </c>
      <c r="M150" s="1304">
        <v>-0.64661968406289816</v>
      </c>
      <c r="N150" s="1304">
        <v>0</v>
      </c>
      <c r="O150"/>
      <c r="P150"/>
      <c r="Q150"/>
      <c r="R150"/>
      <c r="S150"/>
      <c r="T150"/>
      <c r="U150"/>
      <c r="V150"/>
      <c r="W150"/>
      <c r="X150"/>
      <c r="Y150"/>
      <c r="Z150"/>
    </row>
    <row r="151" spans="1:26" s="1635" customFormat="1" ht="15.75" customHeight="1" outlineLevel="1">
      <c r="A151" s="1631" t="str">
        <f t="shared" si="11"/>
        <v>POUCH TERMINAL  (Richmond)341Structures &amp; Improvements</v>
      </c>
      <c r="B151" s="1632" t="s">
        <v>1408</v>
      </c>
      <c r="C151" s="1633" t="s">
        <v>451</v>
      </c>
      <c r="D151" s="1634" t="s">
        <v>166</v>
      </c>
      <c r="E151" s="1633">
        <v>341</v>
      </c>
      <c r="F151" s="1633" t="s">
        <v>69</v>
      </c>
      <c r="G151" s="1304">
        <v>3518175.8099999996</v>
      </c>
      <c r="H151" s="1304">
        <v>1949807.0916400827</v>
      </c>
      <c r="I151" s="1304">
        <v>1568368.7183599169</v>
      </c>
      <c r="J151" s="1304">
        <v>3977.4327937188027</v>
      </c>
      <c r="K151" s="1304">
        <v>3516003.1599999997</v>
      </c>
      <c r="L151" s="1304">
        <v>1945829.6588463639</v>
      </c>
      <c r="M151" s="1304">
        <v>1570173.5011536358</v>
      </c>
      <c r="N151" s="1304">
        <v>15949.19</v>
      </c>
      <c r="O151"/>
      <c r="P151"/>
      <c r="Q151"/>
      <c r="R151"/>
      <c r="S151"/>
      <c r="T151"/>
      <c r="U151"/>
      <c r="V151"/>
      <c r="W151"/>
      <c r="X151"/>
      <c r="Y151"/>
      <c r="Z151"/>
    </row>
    <row r="152" spans="1:26" s="1635" customFormat="1" ht="15.75" customHeight="1" outlineLevel="1">
      <c r="A152" s="1631" t="str">
        <f t="shared" si="11"/>
        <v>POUCH TERMINAL  (Richmond)342FuelHolders, Producers, Accessory</v>
      </c>
      <c r="B152" s="1632" t="s">
        <v>1409</v>
      </c>
      <c r="C152" s="1633" t="s">
        <v>451</v>
      </c>
      <c r="D152" s="1634" t="s">
        <v>166</v>
      </c>
      <c r="E152" s="1633">
        <v>342</v>
      </c>
      <c r="F152" s="1633" t="s">
        <v>1907</v>
      </c>
      <c r="G152" s="1304">
        <v>5494527.5299999993</v>
      </c>
      <c r="H152" s="1304">
        <v>2653797.2611177685</v>
      </c>
      <c r="I152" s="1304">
        <v>2840730.2688822309</v>
      </c>
      <c r="J152" s="1304">
        <v>40203.154551477324</v>
      </c>
      <c r="K152" s="1304">
        <v>5446133.9399999995</v>
      </c>
      <c r="L152" s="1304">
        <v>2613594.1065662913</v>
      </c>
      <c r="M152" s="1304">
        <v>2832539.8334337082</v>
      </c>
      <c r="N152" s="1304">
        <v>37215</v>
      </c>
      <c r="O152"/>
      <c r="P152"/>
      <c r="Q152"/>
      <c r="R152"/>
      <c r="S152"/>
      <c r="T152"/>
      <c r="U152"/>
      <c r="V152"/>
      <c r="W152"/>
      <c r="X152"/>
      <c r="Y152"/>
      <c r="Z152"/>
    </row>
    <row r="153" spans="1:26" s="1635" customFormat="1" ht="15.75" customHeight="1" outlineLevel="1">
      <c r="A153" s="1631" t="str">
        <f t="shared" si="11"/>
        <v>POUCH TERMINAL  (Richmond)344Generators</v>
      </c>
      <c r="B153" s="1632" t="s">
        <v>1410</v>
      </c>
      <c r="C153" s="1633" t="s">
        <v>451</v>
      </c>
      <c r="D153" s="1634" t="s">
        <v>166</v>
      </c>
      <c r="E153" s="1633">
        <v>344</v>
      </c>
      <c r="F153" s="1633" t="s">
        <v>1908</v>
      </c>
      <c r="G153" s="1304">
        <v>46487277.550000004</v>
      </c>
      <c r="H153" s="1304">
        <v>25423873.220731094</v>
      </c>
      <c r="I153" s="1304">
        <v>21063404.32926891</v>
      </c>
      <c r="J153" s="1304">
        <v>16524.346781770484</v>
      </c>
      <c r="K153" s="1304">
        <v>46487277.550000004</v>
      </c>
      <c r="L153" s="1304">
        <v>25407348.873949323</v>
      </c>
      <c r="M153" s="1304">
        <v>21079928.676050682</v>
      </c>
      <c r="N153" s="1304">
        <v>13524</v>
      </c>
      <c r="O153"/>
      <c r="P153"/>
      <c r="Q153"/>
      <c r="R153"/>
      <c r="S153"/>
      <c r="T153"/>
      <c r="U153"/>
      <c r="V153"/>
      <c r="W153"/>
      <c r="X153"/>
      <c r="Y153"/>
      <c r="Z153"/>
    </row>
    <row r="154" spans="1:26" s="1635" customFormat="1" ht="15.75" customHeight="1" outlineLevel="1">
      <c r="A154" s="1631" t="str">
        <f t="shared" si="11"/>
        <v>POUCH TERMINAL  (Richmond)345Accessory Electric Equipment</v>
      </c>
      <c r="B154" s="1632" t="s">
        <v>1411</v>
      </c>
      <c r="C154" s="1633" t="s">
        <v>451</v>
      </c>
      <c r="D154" s="1634" t="s">
        <v>166</v>
      </c>
      <c r="E154" s="1633">
        <v>345</v>
      </c>
      <c r="F154" s="1633" t="s">
        <v>1901</v>
      </c>
      <c r="G154" s="1304">
        <v>1908050</v>
      </c>
      <c r="H154" s="1304">
        <v>1133668.6606057286</v>
      </c>
      <c r="I154" s="1304">
        <v>774381.33939427137</v>
      </c>
      <c r="J154" s="1304">
        <v>-3.2290394069423039E-5</v>
      </c>
      <c r="K154" s="1304">
        <v>1908050</v>
      </c>
      <c r="L154" s="1304">
        <v>1133668.660638019</v>
      </c>
      <c r="M154" s="1304">
        <v>774381.33936198102</v>
      </c>
      <c r="N154" s="1304">
        <v>0</v>
      </c>
      <c r="O154"/>
      <c r="P154"/>
      <c r="Q154"/>
      <c r="R154"/>
      <c r="S154"/>
      <c r="T154"/>
      <c r="U154"/>
      <c r="V154"/>
      <c r="W154"/>
      <c r="X154"/>
      <c r="Y154"/>
      <c r="Z154"/>
    </row>
    <row r="155" spans="1:26" s="1635" customFormat="1" ht="15.75" customHeight="1" outlineLevel="1">
      <c r="A155" s="1631" t="str">
        <f t="shared" si="11"/>
        <v>POUCH TERMINAL  (Richmond)346Misc Power Plant Equipment</v>
      </c>
      <c r="B155" s="1632" t="s">
        <v>1412</v>
      </c>
      <c r="C155" s="1633" t="s">
        <v>451</v>
      </c>
      <c r="D155" s="1634" t="s">
        <v>166</v>
      </c>
      <c r="E155" s="1633">
        <v>346</v>
      </c>
      <c r="F155" s="1633" t="s">
        <v>1902</v>
      </c>
      <c r="G155" s="1304">
        <v>0</v>
      </c>
      <c r="H155" s="1304">
        <v>0</v>
      </c>
      <c r="I155" s="1304">
        <v>0</v>
      </c>
      <c r="J155" s="1304">
        <v>0</v>
      </c>
      <c r="K155" s="1304">
        <v>0</v>
      </c>
      <c r="L155" s="1304">
        <v>0</v>
      </c>
      <c r="M155" s="1304">
        <v>0</v>
      </c>
      <c r="N155" s="1304">
        <v>0</v>
      </c>
      <c r="O155"/>
      <c r="P155"/>
      <c r="Q155"/>
      <c r="R155"/>
      <c r="S155"/>
      <c r="T155"/>
      <c r="U155"/>
      <c r="V155"/>
      <c r="W155"/>
      <c r="X155"/>
      <c r="Y155"/>
      <c r="Z155"/>
    </row>
    <row r="156" spans="1:26" s="1635" customFormat="1" ht="15.75" customHeight="1" outlineLevel="1">
      <c r="A156" s="1631" t="str">
        <f t="shared" si="11"/>
        <v>VERNON BOULEVARD  (Queens)341Structures &amp; Improvements</v>
      </c>
      <c r="B156" s="1632" t="s">
        <v>1413</v>
      </c>
      <c r="C156" s="1633" t="s">
        <v>451</v>
      </c>
      <c r="D156" s="1634" t="s">
        <v>167</v>
      </c>
      <c r="E156" s="1633">
        <v>341</v>
      </c>
      <c r="F156" s="1633" t="s">
        <v>69</v>
      </c>
      <c r="G156" s="1304">
        <v>2766217.58</v>
      </c>
      <c r="H156" s="1304">
        <v>939255.74636522878</v>
      </c>
      <c r="I156" s="1304">
        <v>1826961.8336347714</v>
      </c>
      <c r="J156" s="1304">
        <v>17263.246365228722</v>
      </c>
      <c r="K156" s="1304">
        <v>2766217.58</v>
      </c>
      <c r="L156" s="1304">
        <v>921992.50000000012</v>
      </c>
      <c r="M156" s="1304">
        <v>1844225.08</v>
      </c>
      <c r="N156" s="1304">
        <v>28826</v>
      </c>
      <c r="O156"/>
      <c r="P156"/>
      <c r="Q156"/>
      <c r="R156"/>
      <c r="S156"/>
      <c r="T156"/>
      <c r="U156"/>
      <c r="V156"/>
      <c r="W156"/>
      <c r="X156"/>
      <c r="Y156"/>
      <c r="Z156"/>
    </row>
    <row r="157" spans="1:26" s="1635" customFormat="1" ht="15.75" customHeight="1" outlineLevel="1">
      <c r="A157" s="1631" t="str">
        <f t="shared" si="11"/>
        <v>VERNON BOULEVARD  (Queens)342FuelHolders, Producers, Accessory</v>
      </c>
      <c r="B157" s="1632" t="s">
        <v>1414</v>
      </c>
      <c r="C157" s="1633" t="s">
        <v>451</v>
      </c>
      <c r="D157" s="1634" t="s">
        <v>167</v>
      </c>
      <c r="E157" s="1633">
        <v>342</v>
      </c>
      <c r="F157" s="1633" t="s">
        <v>1907</v>
      </c>
      <c r="G157" s="1304">
        <v>5968898</v>
      </c>
      <c r="H157" s="1304">
        <v>2340435</v>
      </c>
      <c r="I157" s="1304">
        <v>3628463</v>
      </c>
      <c r="J157" s="1304">
        <v>0</v>
      </c>
      <c r="K157" s="1304">
        <v>5968898</v>
      </c>
      <c r="L157" s="1304">
        <v>2340435</v>
      </c>
      <c r="M157" s="1304">
        <v>3628463</v>
      </c>
      <c r="N157" s="1304">
        <v>0</v>
      </c>
      <c r="O157"/>
      <c r="P157"/>
      <c r="Q157"/>
      <c r="R157"/>
      <c r="S157"/>
      <c r="T157"/>
      <c r="U157"/>
      <c r="V157"/>
      <c r="W157"/>
      <c r="X157"/>
      <c r="Y157"/>
      <c r="Z157"/>
    </row>
    <row r="158" spans="1:26" s="1635" customFormat="1" ht="15.75" customHeight="1" outlineLevel="1">
      <c r="A158" s="1631" t="str">
        <f t="shared" si="11"/>
        <v>VERNON BOULEVARD  (Queens)344Generators</v>
      </c>
      <c r="B158" s="1632" t="s">
        <v>1415</v>
      </c>
      <c r="C158" s="1633" t="s">
        <v>451</v>
      </c>
      <c r="D158" s="1634" t="s">
        <v>167</v>
      </c>
      <c r="E158" s="1633">
        <v>344</v>
      </c>
      <c r="F158" s="1633" t="s">
        <v>1908</v>
      </c>
      <c r="G158" s="1304">
        <v>79624201.120000005</v>
      </c>
      <c r="H158" s="1304">
        <v>33562975.780000001</v>
      </c>
      <c r="I158" s="1304">
        <v>46061225.340000004</v>
      </c>
      <c r="J158" s="1304">
        <v>0</v>
      </c>
      <c r="K158" s="1304">
        <v>79624201.120000005</v>
      </c>
      <c r="L158" s="1304">
        <v>33562975.780000001</v>
      </c>
      <c r="M158" s="1304">
        <v>46061225.340000004</v>
      </c>
      <c r="N158" s="1304">
        <v>0</v>
      </c>
      <c r="O158"/>
      <c r="P158"/>
      <c r="Q158"/>
      <c r="R158"/>
      <c r="S158"/>
      <c r="T158"/>
      <c r="U158"/>
      <c r="V158"/>
      <c r="W158"/>
      <c r="X158"/>
      <c r="Y158"/>
      <c r="Z158"/>
    </row>
    <row r="159" spans="1:26" s="1635" customFormat="1" ht="15.75" customHeight="1" outlineLevel="1">
      <c r="A159" s="1631" t="str">
        <f t="shared" si="11"/>
        <v>VERNON BOULEVARD  (Queens)345Accessory Electric Equipment</v>
      </c>
      <c r="B159" s="1632" t="s">
        <v>1416</v>
      </c>
      <c r="C159" s="1633" t="s">
        <v>451</v>
      </c>
      <c r="D159" s="1634" t="s">
        <v>167</v>
      </c>
      <c r="E159" s="1633">
        <v>345</v>
      </c>
      <c r="F159" s="1633" t="s">
        <v>1901</v>
      </c>
      <c r="G159" s="1304">
        <v>3560059</v>
      </c>
      <c r="H159" s="1304">
        <v>1508537</v>
      </c>
      <c r="I159" s="1304">
        <v>2051522</v>
      </c>
      <c r="J159" s="1304">
        <v>0</v>
      </c>
      <c r="K159" s="1304">
        <v>3560059</v>
      </c>
      <c r="L159" s="1304">
        <v>1508537</v>
      </c>
      <c r="M159" s="1304">
        <v>2051522</v>
      </c>
      <c r="N159" s="1304">
        <v>0</v>
      </c>
      <c r="O159"/>
      <c r="P159"/>
      <c r="Q159"/>
      <c r="R159"/>
      <c r="S159"/>
      <c r="T159"/>
      <c r="U159"/>
      <c r="V159"/>
      <c r="W159"/>
      <c r="X159"/>
      <c r="Y159"/>
      <c r="Z159"/>
    </row>
    <row r="160" spans="1:26" s="1635" customFormat="1" ht="15.75" customHeight="1" outlineLevel="1">
      <c r="A160" s="1631" t="str">
        <f t="shared" si="11"/>
        <v>VERNON BOULEVARD  (Queens)346Misc Power Plant Equipment</v>
      </c>
      <c r="B160" s="1632" t="s">
        <v>1417</v>
      </c>
      <c r="C160" s="1633" t="s">
        <v>451</v>
      </c>
      <c r="D160" s="1634" t="s">
        <v>167</v>
      </c>
      <c r="E160" s="1633">
        <v>346</v>
      </c>
      <c r="F160" s="1633" t="s">
        <v>1902</v>
      </c>
      <c r="G160" s="1304">
        <v>14816000</v>
      </c>
      <c r="H160" s="1304">
        <v>977708.3</v>
      </c>
      <c r="I160" s="1304">
        <v>13838291.699999999</v>
      </c>
      <c r="J160" s="1304">
        <v>0</v>
      </c>
      <c r="K160" s="1304">
        <v>14816000</v>
      </c>
      <c r="L160" s="1304">
        <v>977708.3</v>
      </c>
      <c r="M160" s="1304">
        <v>13838291.699999999</v>
      </c>
      <c r="N160" s="1304">
        <v>0</v>
      </c>
      <c r="O160"/>
      <c r="P160"/>
      <c r="Q160"/>
      <c r="R160"/>
      <c r="S160"/>
      <c r="T160"/>
      <c r="U160"/>
      <c r="V160"/>
      <c r="W160"/>
      <c r="X160"/>
      <c r="Y160"/>
      <c r="Z160"/>
    </row>
    <row r="161" spans="1:26" s="1635" customFormat="1" ht="15.75" customHeight="1" outlineLevel="1">
      <c r="A161" s="1631" t="str">
        <f t="shared" si="11"/>
        <v>Astoria 2 (AE-II) SubstationCapital Lease Asset (Manual)</v>
      </c>
      <c r="B161" s="1632" t="s">
        <v>1418</v>
      </c>
      <c r="C161" s="1633" t="s">
        <v>451</v>
      </c>
      <c r="D161" s="1634" t="s">
        <v>448</v>
      </c>
      <c r="E161" s="1633"/>
      <c r="F161" s="1659" t="s">
        <v>1909</v>
      </c>
      <c r="G161" s="1304">
        <v>1155449919</v>
      </c>
      <c r="H161" s="1304">
        <v>606612770</v>
      </c>
      <c r="I161" s="1304">
        <v>548837149</v>
      </c>
      <c r="J161" s="1304">
        <v>57772692</v>
      </c>
      <c r="K161" s="1304">
        <v>1155449919</v>
      </c>
      <c r="L161" s="1304">
        <v>548840078</v>
      </c>
      <c r="M161" s="1304">
        <v>606609841</v>
      </c>
      <c r="N161" s="1304">
        <v>57772692</v>
      </c>
      <c r="O161"/>
      <c r="P161"/>
      <c r="Q161"/>
      <c r="R161"/>
      <c r="S161"/>
      <c r="T161"/>
      <c r="U161"/>
      <c r="V161"/>
      <c r="W161"/>
      <c r="X161"/>
      <c r="Y161"/>
      <c r="Z161"/>
    </row>
    <row r="162" spans="1:26" s="1635" customFormat="1" ht="15.75" customHeight="1" outlineLevel="1">
      <c r="A162" s="1631" t="str">
        <f t="shared" si="11"/>
        <v>AdjustmentsImpairment (Prod)</v>
      </c>
      <c r="B162" s="1632" t="s">
        <v>1419</v>
      </c>
      <c r="C162" s="1633" t="s">
        <v>451</v>
      </c>
      <c r="D162" s="1656" t="s">
        <v>183</v>
      </c>
      <c r="E162" s="1657"/>
      <c r="F162" s="1658" t="s">
        <v>1910</v>
      </c>
      <c r="G162" s="1304">
        <v>-173816000</v>
      </c>
      <c r="H162" s="1304">
        <v>0</v>
      </c>
      <c r="I162" s="1304">
        <v>-173816000</v>
      </c>
      <c r="J162" s="1304">
        <v>0</v>
      </c>
      <c r="K162" s="1304">
        <v>-173816000</v>
      </c>
      <c r="L162" s="1304">
        <v>0</v>
      </c>
      <c r="M162" s="1304">
        <v>-173816000</v>
      </c>
      <c r="N162" s="1304">
        <v>0</v>
      </c>
      <c r="O162"/>
      <c r="P162"/>
      <c r="Q162"/>
      <c r="R162"/>
      <c r="S162"/>
      <c r="T162"/>
      <c r="U162"/>
      <c r="V162"/>
      <c r="W162"/>
      <c r="X162"/>
      <c r="Y162"/>
      <c r="Z162"/>
    </row>
    <row r="163" spans="1:26" s="1635" customFormat="1" ht="15.75" customHeight="1" outlineLevel="1">
      <c r="A163" s="1631" t="str">
        <f t="shared" ref="A163:A164" si="12">CONCATENATE(D163,E163,F163)</f>
        <v>VERNON BOULEVARD  (Queens)ARO GASB# 83</v>
      </c>
      <c r="B163" s="1632" t="s">
        <v>1420</v>
      </c>
      <c r="C163" s="1636"/>
      <c r="D163" s="1634" t="s">
        <v>167</v>
      </c>
      <c r="E163" s="1304"/>
      <c r="F163" s="1636" t="s">
        <v>2039</v>
      </c>
      <c r="G163" s="1304">
        <v>-16540201</v>
      </c>
      <c r="H163" s="1304">
        <v>0</v>
      </c>
      <c r="I163" s="1304">
        <v>-16540201</v>
      </c>
      <c r="J163" s="1304">
        <v>0</v>
      </c>
      <c r="K163" s="1304">
        <v>-16540201</v>
      </c>
      <c r="L163" s="1304">
        <v>0</v>
      </c>
      <c r="M163" s="1304">
        <v>-16540201</v>
      </c>
      <c r="N163" s="1304">
        <v>0</v>
      </c>
      <c r="O163"/>
      <c r="P163"/>
      <c r="Q163"/>
      <c r="R163"/>
      <c r="S163"/>
      <c r="T163"/>
      <c r="U163"/>
      <c r="V163"/>
      <c r="W163"/>
      <c r="X163"/>
      <c r="Y163"/>
      <c r="Z163"/>
    </row>
    <row r="164" spans="1:26" s="1635" customFormat="1" ht="15.75" customHeight="1" outlineLevel="1" thickBot="1">
      <c r="A164" s="1631" t="str">
        <f t="shared" si="12"/>
        <v/>
      </c>
      <c r="B164" s="1632" t="s">
        <v>541</v>
      </c>
      <c r="C164" s="1636"/>
      <c r="D164" s="1636"/>
      <c r="E164" s="1304"/>
      <c r="F164" s="1636"/>
      <c r="G164" s="1304"/>
      <c r="H164" s="1304"/>
      <c r="I164" s="1304"/>
      <c r="J164" s="1304"/>
      <c r="K164" s="1304"/>
      <c r="L164" s="1304"/>
      <c r="M164" s="1304"/>
      <c r="N164" s="1304"/>
      <c r="O164"/>
      <c r="P164"/>
      <c r="Q164"/>
      <c r="R164"/>
      <c r="S164"/>
      <c r="T164"/>
      <c r="U164"/>
      <c r="V164"/>
      <c r="W164"/>
      <c r="X164"/>
      <c r="Y164"/>
      <c r="Z164"/>
    </row>
    <row r="165" spans="1:26" s="1640" customFormat="1" ht="34.5" customHeight="1" thickBot="1">
      <c r="A165" s="1631" t="str">
        <f t="shared" ref="A165:A210" si="13">CONCATENATE(D165,E165,F165)</f>
        <v>Production - Gas turbine/combined cycle Total</v>
      </c>
      <c r="B165" s="1637">
        <v>9</v>
      </c>
      <c r="C165" s="1638"/>
      <c r="D165" s="1638"/>
      <c r="E165" s="1638"/>
      <c r="F165" s="1660" t="s">
        <v>615</v>
      </c>
      <c r="G165" s="773">
        <f>SUBTOTAL(9,G108:G164)</f>
        <v>2399695600.5</v>
      </c>
      <c r="H165" s="773">
        <f t="shared" ref="H165:J165" si="14">SUBTOTAL(9,H108:H164)</f>
        <v>1468958517.4201913</v>
      </c>
      <c r="I165" s="773">
        <f t="shared" si="14"/>
        <v>930737083.07980895</v>
      </c>
      <c r="J165" s="773">
        <f t="shared" si="14"/>
        <v>87411180.900191173</v>
      </c>
      <c r="K165" s="773">
        <f t="shared" ref="K165:N165" si="15">SUBTOTAL(9,K108:K164)</f>
        <v>2385977682.8499999</v>
      </c>
      <c r="L165" s="773">
        <f t="shared" si="15"/>
        <v>1381547336.8891211</v>
      </c>
      <c r="M165" s="773">
        <f>SUBTOTAL(9,M108:M164)</f>
        <v>1004430345.9608786</v>
      </c>
      <c r="N165" s="773">
        <f t="shared" si="15"/>
        <v>85672611.450000003</v>
      </c>
      <c r="O165"/>
      <c r="P165"/>
      <c r="Q165"/>
      <c r="R165"/>
      <c r="S165"/>
      <c r="T165"/>
      <c r="U165"/>
      <c r="V165"/>
      <c r="W165"/>
      <c r="X165"/>
      <c r="Y165"/>
      <c r="Z165"/>
    </row>
    <row r="166" spans="1:26" s="1635" customFormat="1" ht="15.75" customHeight="1" outlineLevel="1">
      <c r="A166" s="1631" t="str">
        <f t="shared" si="13"/>
        <v/>
      </c>
      <c r="B166" s="1632"/>
      <c r="C166" s="1641"/>
      <c r="D166" s="1655"/>
      <c r="E166" s="1641"/>
      <c r="F166" s="1652"/>
      <c r="G166" s="774"/>
      <c r="H166" s="774"/>
      <c r="I166" s="774"/>
      <c r="J166" s="774"/>
      <c r="K166" s="774"/>
      <c r="L166" s="774"/>
      <c r="M166" s="774"/>
      <c r="N166" s="774"/>
      <c r="O166"/>
      <c r="P166"/>
      <c r="Q166"/>
      <c r="R166"/>
      <c r="S166"/>
      <c r="T166"/>
      <c r="U166"/>
      <c r="V166"/>
      <c r="W166"/>
      <c r="X166"/>
      <c r="Y166"/>
      <c r="Z166"/>
    </row>
    <row r="167" spans="1:26" s="1635" customFormat="1" ht="15.75" customHeight="1" outlineLevel="1">
      <c r="A167" s="1631" t="str">
        <f t="shared" si="13"/>
        <v/>
      </c>
      <c r="B167" s="1632"/>
      <c r="C167" s="1641"/>
      <c r="D167" s="1655"/>
      <c r="E167" s="1641"/>
      <c r="F167" s="1652"/>
      <c r="G167" s="774"/>
      <c r="H167" s="774"/>
      <c r="I167" s="774"/>
      <c r="J167" s="774"/>
      <c r="K167" s="774"/>
      <c r="L167" s="774"/>
      <c r="M167" s="774"/>
      <c r="N167" s="774"/>
      <c r="O167"/>
      <c r="P167"/>
      <c r="Q167"/>
      <c r="R167"/>
      <c r="S167"/>
      <c r="T167"/>
      <c r="U167"/>
      <c r="V167"/>
      <c r="W167"/>
      <c r="X167"/>
      <c r="Y167"/>
      <c r="Z167"/>
    </row>
    <row r="168" spans="1:26" s="1640" customFormat="1" ht="16.5" customHeight="1" outlineLevel="1" thickBot="1">
      <c r="A168" s="1631" t="str">
        <f t="shared" si="13"/>
        <v>Transmission</v>
      </c>
      <c r="B168" s="1644">
        <v>10</v>
      </c>
      <c r="C168" s="1645"/>
      <c r="D168" s="1646"/>
      <c r="E168" s="1645"/>
      <c r="F168" s="1647" t="s">
        <v>34</v>
      </c>
      <c r="G168" s="775"/>
      <c r="H168" s="775"/>
      <c r="I168" s="775"/>
      <c r="J168" s="775"/>
      <c r="K168" s="775"/>
      <c r="L168" s="775"/>
      <c r="M168" s="775"/>
      <c r="N168" s="775"/>
      <c r="O168"/>
      <c r="P168"/>
      <c r="Q168"/>
      <c r="R168"/>
      <c r="S168"/>
      <c r="T168"/>
      <c r="U168"/>
      <c r="V168"/>
      <c r="W168"/>
      <c r="X168"/>
      <c r="Y168"/>
      <c r="Z168"/>
    </row>
    <row r="169" spans="1:26" s="1635" customFormat="1" ht="15.75" customHeight="1" outlineLevel="1">
      <c r="A169" s="1631" t="str">
        <f t="shared" si="13"/>
        <v>BLENHEIM - GILBOA352Structures &amp; Improvements</v>
      </c>
      <c r="B169" s="1632" t="s">
        <v>1217</v>
      </c>
      <c r="C169" s="1633" t="s">
        <v>34</v>
      </c>
      <c r="D169" s="1634" t="s">
        <v>1889</v>
      </c>
      <c r="E169" s="1633">
        <v>352</v>
      </c>
      <c r="F169" s="1633" t="s">
        <v>69</v>
      </c>
      <c r="G169" s="1304">
        <v>4733436.66</v>
      </c>
      <c r="H169" s="1304">
        <v>3667823.8564239689</v>
      </c>
      <c r="I169" s="1304">
        <v>1065612.8035760312</v>
      </c>
      <c r="J169" s="1304">
        <v>67229.740335051538</v>
      </c>
      <c r="K169" s="1304">
        <v>4733436.66</v>
      </c>
      <c r="L169" s="1304">
        <v>3600594.1160889175</v>
      </c>
      <c r="M169" s="1304">
        <v>1132842.5439110827</v>
      </c>
      <c r="N169" s="1304">
        <v>67229.740335051538</v>
      </c>
      <c r="O169"/>
      <c r="P169"/>
      <c r="Q169"/>
      <c r="R169"/>
      <c r="S169"/>
      <c r="T169"/>
      <c r="U169"/>
      <c r="V169"/>
      <c r="W169"/>
      <c r="X169"/>
      <c r="Y169"/>
      <c r="Z169"/>
    </row>
    <row r="170" spans="1:26" s="1635" customFormat="1" ht="15.75" customHeight="1" outlineLevel="1">
      <c r="A170" s="1631" t="str">
        <f t="shared" si="13"/>
        <v>BLENHEIM - GILBOA353Station Equipment</v>
      </c>
      <c r="B170" s="1632" t="s">
        <v>1218</v>
      </c>
      <c r="C170" s="1633" t="s">
        <v>34</v>
      </c>
      <c r="D170" s="1634" t="s">
        <v>1889</v>
      </c>
      <c r="E170" s="1633">
        <v>353</v>
      </c>
      <c r="F170" s="1633" t="s">
        <v>20</v>
      </c>
      <c r="G170" s="1304">
        <v>72368176.140000001</v>
      </c>
      <c r="H170" s="1304">
        <v>18327998.147693299</v>
      </c>
      <c r="I170" s="1304">
        <v>54040177.992306702</v>
      </c>
      <c r="J170" s="1304">
        <v>1075555.385927835</v>
      </c>
      <c r="K170" s="1304">
        <v>63678237.409999996</v>
      </c>
      <c r="L170" s="1304">
        <v>17252442.761765465</v>
      </c>
      <c r="M170" s="1304">
        <v>46425794.648234531</v>
      </c>
      <c r="N170" s="1304">
        <v>980808.19592783507</v>
      </c>
      <c r="O170"/>
      <c r="P170"/>
      <c r="Q170"/>
      <c r="R170"/>
      <c r="S170"/>
      <c r="T170"/>
      <c r="U170"/>
      <c r="V170"/>
      <c r="W170"/>
      <c r="X170"/>
      <c r="Y170"/>
      <c r="Z170"/>
    </row>
    <row r="171" spans="1:26" s="1635" customFormat="1" ht="15.75" customHeight="1" outlineLevel="1">
      <c r="A171" s="1631" t="str">
        <f t="shared" si="13"/>
        <v>BLENHEIM - GILBOA354Towers &amp; Fixtures</v>
      </c>
      <c r="B171" s="1632" t="s">
        <v>1219</v>
      </c>
      <c r="C171" s="1633" t="s">
        <v>34</v>
      </c>
      <c r="D171" s="1634" t="s">
        <v>1889</v>
      </c>
      <c r="E171" s="1633">
        <v>354</v>
      </c>
      <c r="F171" s="1633" t="s">
        <v>70</v>
      </c>
      <c r="G171" s="1304">
        <v>22612274</v>
      </c>
      <c r="H171" s="1304">
        <v>22354114.166011598</v>
      </c>
      <c r="I171" s="1304">
        <v>258159.83398840204</v>
      </c>
      <c r="J171" s="1304">
        <v>450343.87435567018</v>
      </c>
      <c r="K171" s="1304">
        <v>22612274</v>
      </c>
      <c r="L171" s="1304">
        <v>21903770.291655928</v>
      </c>
      <c r="M171" s="1304">
        <v>708503.7083440721</v>
      </c>
      <c r="N171" s="1304">
        <v>450343.87435567018</v>
      </c>
      <c r="O171"/>
      <c r="P171"/>
      <c r="Q171"/>
      <c r="R171"/>
      <c r="S171"/>
      <c r="T171"/>
      <c r="U171"/>
      <c r="V171"/>
      <c r="W171"/>
      <c r="X171"/>
      <c r="Y171"/>
      <c r="Z171"/>
    </row>
    <row r="172" spans="1:26" s="1635" customFormat="1" ht="15.75" customHeight="1" outlineLevel="1">
      <c r="A172" s="1631" t="str">
        <f t="shared" si="13"/>
        <v>BLENHEIM - GILBOA355Poles &amp; Fixtures</v>
      </c>
      <c r="B172" s="1632" t="s">
        <v>1220</v>
      </c>
      <c r="C172" s="1633" t="s">
        <v>34</v>
      </c>
      <c r="D172" s="1634" t="s">
        <v>1889</v>
      </c>
      <c r="E172" s="1633">
        <v>355</v>
      </c>
      <c r="F172" s="1633" t="s">
        <v>71</v>
      </c>
      <c r="G172" s="1304">
        <v>2053118</v>
      </c>
      <c r="H172" s="1304">
        <v>2194004.6973582474</v>
      </c>
      <c r="I172" s="1304">
        <v>-140886.69735824736</v>
      </c>
      <c r="J172" s="1304">
        <v>38666.952319587625</v>
      </c>
      <c r="K172" s="1304">
        <v>1953118</v>
      </c>
      <c r="L172" s="1304">
        <v>2155337.7450386598</v>
      </c>
      <c r="M172" s="1304">
        <v>-202219.74503865978</v>
      </c>
      <c r="N172" s="1304">
        <v>37450.952319587625</v>
      </c>
      <c r="O172"/>
      <c r="P172"/>
      <c r="Q172"/>
      <c r="R172"/>
      <c r="S172"/>
      <c r="T172"/>
      <c r="U172"/>
      <c r="V172"/>
      <c r="W172"/>
      <c r="X172"/>
      <c r="Y172"/>
      <c r="Z172"/>
    </row>
    <row r="173" spans="1:26" s="1635" customFormat="1" ht="15.75" customHeight="1" outlineLevel="1">
      <c r="A173" s="1631" t="str">
        <f t="shared" si="13"/>
        <v>BLENHEIM - GILBOA356Overhead Conductors &amp; Devices</v>
      </c>
      <c r="B173" s="1632" t="s">
        <v>1221</v>
      </c>
      <c r="C173" s="1633" t="s">
        <v>34</v>
      </c>
      <c r="D173" s="1634" t="s">
        <v>1889</v>
      </c>
      <c r="E173" s="1633">
        <v>356</v>
      </c>
      <c r="F173" s="1633" t="s">
        <v>72</v>
      </c>
      <c r="G173" s="1304">
        <v>9403929</v>
      </c>
      <c r="H173" s="1304">
        <v>9009340.4500322174</v>
      </c>
      <c r="I173" s="1304">
        <v>394588.54996778257</v>
      </c>
      <c r="J173" s="1304">
        <v>104604.31765463919</v>
      </c>
      <c r="K173" s="1304">
        <v>9403929</v>
      </c>
      <c r="L173" s="1304">
        <v>8904736.1323775779</v>
      </c>
      <c r="M173" s="1304">
        <v>499192.86762242205</v>
      </c>
      <c r="N173" s="1304">
        <v>104604.31765463919</v>
      </c>
      <c r="O173"/>
      <c r="P173"/>
      <c r="Q173"/>
      <c r="R173"/>
      <c r="S173"/>
      <c r="T173"/>
      <c r="U173"/>
      <c r="V173"/>
      <c r="W173"/>
      <c r="X173"/>
      <c r="Y173"/>
      <c r="Z173"/>
    </row>
    <row r="174" spans="1:26" s="1635" customFormat="1" ht="15.75" customHeight="1" outlineLevel="1">
      <c r="A174" s="1631" t="str">
        <f t="shared" si="13"/>
        <v>BLENHEIM - GILBOA359Roads &amp; Trails</v>
      </c>
      <c r="B174" s="1632" t="s">
        <v>1222</v>
      </c>
      <c r="C174" s="1633" t="s">
        <v>34</v>
      </c>
      <c r="D174" s="1634" t="s">
        <v>1889</v>
      </c>
      <c r="E174" s="1633">
        <v>359</v>
      </c>
      <c r="F174" s="1633" t="s">
        <v>75</v>
      </c>
      <c r="G174" s="1304">
        <v>670808</v>
      </c>
      <c r="H174" s="1304">
        <v>435951.70248067018</v>
      </c>
      <c r="I174" s="1304">
        <v>234856.29751932982</v>
      </c>
      <c r="J174" s="1304">
        <v>7666.4594072164946</v>
      </c>
      <c r="K174" s="1304">
        <v>670808</v>
      </c>
      <c r="L174" s="1304">
        <v>428285.24307345366</v>
      </c>
      <c r="M174" s="1304">
        <v>242522.75692654634</v>
      </c>
      <c r="N174" s="1304">
        <v>7666.4594072164946</v>
      </c>
      <c r="O174"/>
      <c r="P174"/>
      <c r="Q174"/>
      <c r="R174"/>
      <c r="S174"/>
      <c r="T174"/>
      <c r="U174"/>
      <c r="V174"/>
      <c r="W174"/>
      <c r="X174"/>
      <c r="Y174"/>
      <c r="Z174"/>
    </row>
    <row r="175" spans="1:26" s="1635" customFormat="1" ht="15.75" customHeight="1" outlineLevel="1">
      <c r="A175" s="1631" t="str">
        <f t="shared" si="13"/>
        <v>J. A. FITZPATRICK352Structures &amp; Improvements</v>
      </c>
      <c r="B175" s="1632" t="s">
        <v>1223</v>
      </c>
      <c r="C175" s="1633" t="s">
        <v>34</v>
      </c>
      <c r="D175" s="1634" t="s">
        <v>1891</v>
      </c>
      <c r="E175" s="1633">
        <v>352</v>
      </c>
      <c r="F175" s="1633" t="s">
        <v>69</v>
      </c>
      <c r="G175" s="1304">
        <v>0</v>
      </c>
      <c r="H175" s="1304">
        <v>77356</v>
      </c>
      <c r="I175" s="1304">
        <v>-77356</v>
      </c>
      <c r="J175" s="1304">
        <v>0</v>
      </c>
      <c r="K175" s="1304">
        <v>0</v>
      </c>
      <c r="L175" s="1304">
        <v>77356</v>
      </c>
      <c r="M175" s="1304">
        <v>-77356</v>
      </c>
      <c r="N175" s="1304">
        <v>0</v>
      </c>
      <c r="O175"/>
      <c r="P175"/>
      <c r="Q175"/>
      <c r="R175"/>
      <c r="S175"/>
      <c r="T175"/>
      <c r="U175"/>
      <c r="V175"/>
      <c r="W175"/>
      <c r="X175"/>
      <c r="Y175"/>
      <c r="Z175"/>
    </row>
    <row r="176" spans="1:26" s="1635" customFormat="1" ht="15.75" customHeight="1" outlineLevel="1">
      <c r="A176" s="1631" t="str">
        <f t="shared" si="13"/>
        <v>J. A. FITZPATRICK353Station Equipment</v>
      </c>
      <c r="B176" s="1632" t="s">
        <v>1421</v>
      </c>
      <c r="C176" s="1633" t="s">
        <v>34</v>
      </c>
      <c r="D176" s="1634" t="s">
        <v>1891</v>
      </c>
      <c r="E176" s="1633">
        <v>353</v>
      </c>
      <c r="F176" s="1633" t="s">
        <v>20</v>
      </c>
      <c r="G176" s="1304">
        <v>0</v>
      </c>
      <c r="H176" s="1304">
        <v>0</v>
      </c>
      <c r="I176" s="1304">
        <v>0</v>
      </c>
      <c r="J176" s="1304">
        <v>0</v>
      </c>
      <c r="K176" s="1304">
        <v>0</v>
      </c>
      <c r="L176" s="1304">
        <v>0</v>
      </c>
      <c r="M176" s="1304">
        <v>0</v>
      </c>
      <c r="N176" s="1304">
        <v>0</v>
      </c>
      <c r="O176"/>
      <c r="P176"/>
      <c r="Q176"/>
      <c r="R176"/>
      <c r="S176"/>
      <c r="T176"/>
      <c r="U176"/>
      <c r="V176"/>
      <c r="W176"/>
      <c r="X176"/>
      <c r="Y176"/>
      <c r="Z176"/>
    </row>
    <row r="177" spans="1:26" s="1635" customFormat="1" ht="15.75" customHeight="1" outlineLevel="1">
      <c r="A177" s="1631" t="str">
        <f t="shared" si="13"/>
        <v>J. A. FITZPATRICK354Towers &amp; Fixtures</v>
      </c>
      <c r="B177" s="1632" t="s">
        <v>1422</v>
      </c>
      <c r="C177" s="1633" t="s">
        <v>34</v>
      </c>
      <c r="D177" s="1634" t="s">
        <v>1891</v>
      </c>
      <c r="E177" s="1633">
        <v>354</v>
      </c>
      <c r="F177" s="1633" t="s">
        <v>70</v>
      </c>
      <c r="G177" s="1304">
        <v>10051183</v>
      </c>
      <c r="H177" s="1304">
        <v>12811789.747664157</v>
      </c>
      <c r="I177" s="1304">
        <v>-2760606.7476641573</v>
      </c>
      <c r="J177" s="1304">
        <v>105031.45122746035</v>
      </c>
      <c r="K177" s="1304">
        <v>10051183</v>
      </c>
      <c r="L177" s="1304">
        <v>12706758.296436697</v>
      </c>
      <c r="M177" s="1304">
        <v>-2655575.2964366972</v>
      </c>
      <c r="N177" s="1304">
        <v>105031.45122746035</v>
      </c>
      <c r="O177"/>
      <c r="P177"/>
      <c r="Q177"/>
      <c r="R177"/>
      <c r="S177"/>
      <c r="T177"/>
      <c r="U177"/>
      <c r="V177"/>
      <c r="W177"/>
      <c r="X177"/>
      <c r="Y177"/>
      <c r="Z177"/>
    </row>
    <row r="178" spans="1:26" s="1635" customFormat="1" ht="15.75" customHeight="1" outlineLevel="1">
      <c r="A178" s="1631" t="str">
        <f t="shared" si="13"/>
        <v>J. A. FITZPATRICK356Overhead Conductors &amp; Devices</v>
      </c>
      <c r="B178" s="1632" t="s">
        <v>1423</v>
      </c>
      <c r="C178" s="1633" t="s">
        <v>34</v>
      </c>
      <c r="D178" s="1634" t="s">
        <v>1891</v>
      </c>
      <c r="E178" s="1633">
        <v>356</v>
      </c>
      <c r="F178" s="1633" t="s">
        <v>72</v>
      </c>
      <c r="G178" s="1304">
        <v>5926677</v>
      </c>
      <c r="H178" s="1304">
        <v>6774986.7471969854</v>
      </c>
      <c r="I178" s="1304">
        <v>-848309.74719698541</v>
      </c>
      <c r="J178" s="1304">
        <v>35958.246361068843</v>
      </c>
      <c r="K178" s="1304">
        <v>5926677</v>
      </c>
      <c r="L178" s="1304">
        <v>6739028.500835917</v>
      </c>
      <c r="M178" s="1304">
        <v>-812351.50083591696</v>
      </c>
      <c r="N178" s="1304">
        <v>35958.246361068843</v>
      </c>
      <c r="O178"/>
      <c r="P178"/>
      <c r="Q178"/>
      <c r="R178"/>
      <c r="S178"/>
      <c r="T178"/>
      <c r="U178"/>
      <c r="V178"/>
      <c r="W178"/>
      <c r="X178"/>
      <c r="Y178"/>
      <c r="Z178"/>
    </row>
    <row r="179" spans="1:26" s="1635" customFormat="1" ht="15.75" customHeight="1" outlineLevel="1">
      <c r="A179" s="1631" t="str">
        <f t="shared" si="13"/>
        <v>J. A. FITZPATRICK359Roads &amp; Trails</v>
      </c>
      <c r="B179" s="1632" t="s">
        <v>1424</v>
      </c>
      <c r="C179" s="1633" t="s">
        <v>34</v>
      </c>
      <c r="D179" s="1634" t="s">
        <v>1891</v>
      </c>
      <c r="E179" s="1633">
        <v>359</v>
      </c>
      <c r="F179" s="1633" t="s">
        <v>75</v>
      </c>
      <c r="G179" s="1304">
        <v>80335</v>
      </c>
      <c r="H179" s="1304">
        <v>78076.105138855331</v>
      </c>
      <c r="I179" s="1304">
        <v>2258.8948611446685</v>
      </c>
      <c r="J179" s="1304">
        <v>995.90241147077961</v>
      </c>
      <c r="K179" s="1304">
        <v>80335</v>
      </c>
      <c r="L179" s="1304">
        <v>77080.202727384545</v>
      </c>
      <c r="M179" s="1304">
        <v>3254.7972726154549</v>
      </c>
      <c r="N179" s="1304">
        <v>995.90241147077961</v>
      </c>
      <c r="O179"/>
      <c r="P179"/>
      <c r="Q179"/>
      <c r="R179"/>
      <c r="S179"/>
      <c r="T179"/>
      <c r="U179"/>
      <c r="V179"/>
      <c r="W179"/>
      <c r="X179"/>
      <c r="Y179"/>
      <c r="Z179"/>
    </row>
    <row r="180" spans="1:26" s="1635" customFormat="1" ht="15.75" customHeight="1" outlineLevel="1">
      <c r="A180" s="1631" t="str">
        <f t="shared" si="13"/>
        <v>LONG ISLAND SOUND CABLE352Structures &amp; Improvements</v>
      </c>
      <c r="B180" s="1632" t="s">
        <v>1425</v>
      </c>
      <c r="C180" s="1633" t="s">
        <v>34</v>
      </c>
      <c r="D180" s="1634" t="s">
        <v>1892</v>
      </c>
      <c r="E180" s="1633">
        <v>352</v>
      </c>
      <c r="F180" s="1633" t="s">
        <v>69</v>
      </c>
      <c r="G180" s="1304">
        <v>6286200.6100000003</v>
      </c>
      <c r="H180" s="1304">
        <v>5980217.6100000003</v>
      </c>
      <c r="I180" s="1304">
        <v>305983</v>
      </c>
      <c r="J180" s="1304">
        <v>209542</v>
      </c>
      <c r="K180" s="1304">
        <v>6286200.6100000003</v>
      </c>
      <c r="L180" s="1304">
        <v>5770675.6100000003</v>
      </c>
      <c r="M180" s="1304">
        <v>515525</v>
      </c>
      <c r="N180" s="1304">
        <v>209542</v>
      </c>
      <c r="O180"/>
      <c r="P180"/>
      <c r="Q180"/>
      <c r="R180"/>
      <c r="S180"/>
      <c r="T180"/>
      <c r="U180"/>
      <c r="V180"/>
      <c r="W180"/>
      <c r="X180"/>
      <c r="Y180"/>
      <c r="Z180"/>
    </row>
    <row r="181" spans="1:26" s="1635" customFormat="1" ht="15.75" customHeight="1" outlineLevel="1">
      <c r="A181" s="1631" t="str">
        <f t="shared" si="13"/>
        <v>LONG ISLAND SOUND CABLE353Station Equipment</v>
      </c>
      <c r="B181" s="1632" t="s">
        <v>1427</v>
      </c>
      <c r="C181" s="1633" t="s">
        <v>34</v>
      </c>
      <c r="D181" s="1634" t="s">
        <v>1892</v>
      </c>
      <c r="E181" s="1633">
        <v>353</v>
      </c>
      <c r="F181" s="1633" t="s">
        <v>20</v>
      </c>
      <c r="G181" s="1304">
        <v>68327864.799999997</v>
      </c>
      <c r="H181" s="1304">
        <v>59371158.799999997</v>
      </c>
      <c r="I181" s="1304">
        <v>8956706</v>
      </c>
      <c r="J181" s="1304">
        <v>1474119.3</v>
      </c>
      <c r="K181" s="1304">
        <v>65050618.5</v>
      </c>
      <c r="L181" s="1304">
        <v>57897039.5</v>
      </c>
      <c r="M181" s="1304">
        <v>7153579</v>
      </c>
      <c r="N181" s="1304">
        <v>2079346.63</v>
      </c>
      <c r="O181"/>
      <c r="P181"/>
      <c r="Q181"/>
      <c r="R181"/>
      <c r="S181"/>
      <c r="T181"/>
      <c r="U181"/>
      <c r="V181"/>
      <c r="W181"/>
      <c r="X181"/>
      <c r="Y181"/>
      <c r="Z181"/>
    </row>
    <row r="182" spans="1:26" s="1635" customFormat="1" ht="15.75" customHeight="1" outlineLevel="1">
      <c r="A182" s="1631" t="str">
        <f t="shared" si="13"/>
        <v>LONG ISLAND SOUND CABLE357Underground Conduit</v>
      </c>
      <c r="B182" s="1632" t="s">
        <v>1426</v>
      </c>
      <c r="C182" s="1633" t="s">
        <v>34</v>
      </c>
      <c r="D182" s="1634" t="s">
        <v>1892</v>
      </c>
      <c r="E182" s="1633">
        <v>357</v>
      </c>
      <c r="F182" s="1633" t="s">
        <v>73</v>
      </c>
      <c r="G182" s="1304">
        <v>60722320</v>
      </c>
      <c r="H182" s="1304">
        <v>60722320</v>
      </c>
      <c r="I182" s="1304">
        <v>0</v>
      </c>
      <c r="J182" s="1304">
        <v>738351</v>
      </c>
      <c r="K182" s="1304">
        <v>60722320</v>
      </c>
      <c r="L182" s="1304">
        <v>59983969</v>
      </c>
      <c r="M182" s="1304">
        <v>738351</v>
      </c>
      <c r="N182" s="1304">
        <v>2024078</v>
      </c>
      <c r="O182"/>
      <c r="P182"/>
      <c r="Q182"/>
      <c r="R182"/>
      <c r="S182"/>
      <c r="T182"/>
      <c r="U182"/>
      <c r="V182"/>
      <c r="W182"/>
      <c r="X182"/>
      <c r="Y182"/>
      <c r="Z182"/>
    </row>
    <row r="183" spans="1:26" s="1635" customFormat="1" ht="15.75" customHeight="1" outlineLevel="1">
      <c r="A183" s="1631" t="str">
        <f t="shared" si="13"/>
        <v>LONG ISLAND SOUND CABLE358Underground Conductors &amp; Devices</v>
      </c>
      <c r="B183" s="1632" t="s">
        <v>1428</v>
      </c>
      <c r="C183" s="1633" t="s">
        <v>34</v>
      </c>
      <c r="D183" s="1634" t="s">
        <v>1892</v>
      </c>
      <c r="E183" s="1633">
        <v>358</v>
      </c>
      <c r="F183" s="1633" t="s">
        <v>74</v>
      </c>
      <c r="G183" s="1304">
        <v>162719243</v>
      </c>
      <c r="H183" s="1304">
        <v>162719244</v>
      </c>
      <c r="I183" s="1304">
        <v>-1</v>
      </c>
      <c r="J183" s="1304">
        <v>2759063</v>
      </c>
      <c r="K183" s="1304">
        <v>162719243</v>
      </c>
      <c r="L183" s="1304">
        <v>159960181</v>
      </c>
      <c r="M183" s="1304">
        <v>2759062</v>
      </c>
      <c r="N183" s="1304">
        <v>5450121</v>
      </c>
      <c r="O183"/>
      <c r="P183"/>
      <c r="Q183"/>
      <c r="R183"/>
      <c r="S183"/>
      <c r="T183"/>
      <c r="U183"/>
      <c r="V183"/>
      <c r="W183"/>
      <c r="X183"/>
      <c r="Y183"/>
      <c r="Z183"/>
    </row>
    <row r="184" spans="1:26" s="1635" customFormat="1" ht="15.75" customHeight="1" outlineLevel="1">
      <c r="A184" s="1631" t="str">
        <f t="shared" si="13"/>
        <v>MARCY-SOUTH352Structures &amp; Improvements</v>
      </c>
      <c r="B184" s="1632" t="s">
        <v>1429</v>
      </c>
      <c r="C184" s="1633" t="s">
        <v>34</v>
      </c>
      <c r="D184" s="1634" t="s">
        <v>1893</v>
      </c>
      <c r="E184" s="1633">
        <v>352</v>
      </c>
      <c r="F184" s="1633" t="s">
        <v>69</v>
      </c>
      <c r="G184" s="1304">
        <v>0</v>
      </c>
      <c r="H184" s="1304">
        <v>0</v>
      </c>
      <c r="I184" s="1304">
        <v>0</v>
      </c>
      <c r="J184" s="1304">
        <v>0</v>
      </c>
      <c r="K184" s="1304">
        <v>0</v>
      </c>
      <c r="L184" s="1304">
        <v>0</v>
      </c>
      <c r="M184" s="1304">
        <v>0</v>
      </c>
      <c r="N184" s="1304">
        <v>0</v>
      </c>
      <c r="O184"/>
      <c r="P184"/>
      <c r="Q184"/>
      <c r="R184"/>
      <c r="S184"/>
      <c r="T184"/>
      <c r="U184"/>
      <c r="V184"/>
      <c r="W184"/>
      <c r="X184"/>
      <c r="Y184"/>
      <c r="Z184"/>
    </row>
    <row r="185" spans="1:26" s="1635" customFormat="1" ht="15.75" customHeight="1" outlineLevel="1">
      <c r="A185" s="1631" t="str">
        <f t="shared" si="13"/>
        <v>MARCY-SOUTH353Station Equipment</v>
      </c>
      <c r="B185" s="1632" t="s">
        <v>1430</v>
      </c>
      <c r="C185" s="1633" t="s">
        <v>34</v>
      </c>
      <c r="D185" s="1634" t="s">
        <v>1893</v>
      </c>
      <c r="E185" s="1633">
        <v>353</v>
      </c>
      <c r="F185" s="1633" t="s">
        <v>20</v>
      </c>
      <c r="G185" s="1304">
        <v>72013291.689999998</v>
      </c>
      <c r="H185" s="1304">
        <v>19217551.212661032</v>
      </c>
      <c r="I185" s="1304">
        <v>52795740.47733897</v>
      </c>
      <c r="J185" s="1304">
        <v>1015584.3377608124</v>
      </c>
      <c r="K185" s="1304">
        <v>71362196.390000001</v>
      </c>
      <c r="L185" s="1304">
        <v>18201966.874900218</v>
      </c>
      <c r="M185" s="1304">
        <v>53160229.515099779</v>
      </c>
      <c r="N185" s="1304">
        <v>1003960.6777608123</v>
      </c>
      <c r="O185"/>
      <c r="P185"/>
      <c r="Q185"/>
      <c r="R185"/>
      <c r="S185"/>
      <c r="T185"/>
      <c r="U185"/>
      <c r="V185"/>
      <c r="W185"/>
      <c r="X185"/>
      <c r="Y185"/>
      <c r="Z185"/>
    </row>
    <row r="186" spans="1:26" s="1635" customFormat="1" ht="15.75" customHeight="1" outlineLevel="1">
      <c r="A186" s="1631" t="str">
        <f t="shared" si="13"/>
        <v>MARCY-SOUTH354Towers &amp; Fixtures</v>
      </c>
      <c r="B186" s="1632" t="s">
        <v>1431</v>
      </c>
      <c r="C186" s="1633" t="s">
        <v>34</v>
      </c>
      <c r="D186" s="1634" t="s">
        <v>1893</v>
      </c>
      <c r="E186" s="1633">
        <v>354</v>
      </c>
      <c r="F186" s="1633" t="s">
        <v>70</v>
      </c>
      <c r="G186" s="1304">
        <v>75439776</v>
      </c>
      <c r="H186" s="1304">
        <v>52681347.763323404</v>
      </c>
      <c r="I186" s="1304">
        <v>22758428.236676596</v>
      </c>
      <c r="J186" s="1304">
        <v>1462226.8639096415</v>
      </c>
      <c r="K186" s="1304">
        <v>75439776</v>
      </c>
      <c r="L186" s="1304">
        <v>51219120.899413764</v>
      </c>
      <c r="M186" s="1304">
        <v>24220655.100586236</v>
      </c>
      <c r="N186" s="1304">
        <v>1462226.8639096415</v>
      </c>
      <c r="O186"/>
      <c r="P186"/>
      <c r="Q186"/>
      <c r="R186"/>
      <c r="S186"/>
      <c r="T186"/>
      <c r="U186"/>
      <c r="V186"/>
      <c r="W186"/>
      <c r="X186"/>
      <c r="Y186"/>
      <c r="Z186"/>
    </row>
    <row r="187" spans="1:26" s="1635" customFormat="1" ht="15.6" customHeight="1" outlineLevel="1">
      <c r="A187" s="1631" t="str">
        <f t="shared" si="13"/>
        <v>MARCY-SOUTH355Poles &amp; Fixtures</v>
      </c>
      <c r="B187" s="1632" t="s">
        <v>1432</v>
      </c>
      <c r="C187" s="1633" t="s">
        <v>34</v>
      </c>
      <c r="D187" s="1634" t="s">
        <v>1893</v>
      </c>
      <c r="E187" s="1633">
        <v>355</v>
      </c>
      <c r="F187" s="1633" t="s">
        <v>71</v>
      </c>
      <c r="G187" s="1304">
        <v>210096383</v>
      </c>
      <c r="H187" s="1304">
        <v>178046179.54601952</v>
      </c>
      <c r="I187" s="1304">
        <v>32050203.453980476</v>
      </c>
      <c r="J187" s="1304">
        <v>4145863.2185139903</v>
      </c>
      <c r="K187" s="1304">
        <v>210096383</v>
      </c>
      <c r="L187" s="1304">
        <v>173900316.32750553</v>
      </c>
      <c r="M187" s="1304">
        <v>36196066.672494471</v>
      </c>
      <c r="N187" s="1304">
        <v>4145863.2185139903</v>
      </c>
      <c r="O187"/>
      <c r="P187"/>
      <c r="Q187"/>
      <c r="R187"/>
      <c r="S187"/>
      <c r="T187"/>
      <c r="U187"/>
      <c r="V187"/>
      <c r="W187"/>
      <c r="X187"/>
      <c r="Y187"/>
      <c r="Z187"/>
    </row>
    <row r="188" spans="1:26" s="1635" customFormat="1" ht="15.75" customHeight="1" outlineLevel="1">
      <c r="A188" s="1631" t="str">
        <f t="shared" si="13"/>
        <v>MARCY-SOUTH356Overhead Conductors &amp; Devices</v>
      </c>
      <c r="B188" s="1632" t="s">
        <v>1433</v>
      </c>
      <c r="C188" s="1633" t="s">
        <v>34</v>
      </c>
      <c r="D188" s="1634" t="s">
        <v>1893</v>
      </c>
      <c r="E188" s="1633">
        <v>356</v>
      </c>
      <c r="F188" s="1633" t="s">
        <v>72</v>
      </c>
      <c r="G188" s="1304">
        <v>116584296</v>
      </c>
      <c r="H188" s="1304">
        <v>72238844.671273157</v>
      </c>
      <c r="I188" s="1304">
        <v>44345451.328726843</v>
      </c>
      <c r="J188" s="1304">
        <v>1746698.7723896902</v>
      </c>
      <c r="K188" s="1304">
        <v>116584296</v>
      </c>
      <c r="L188" s="1304">
        <v>70492145.898883462</v>
      </c>
      <c r="M188" s="1304">
        <v>46092150.101116538</v>
      </c>
      <c r="N188" s="1304">
        <v>1496660.7723896902</v>
      </c>
      <c r="O188"/>
      <c r="P188"/>
      <c r="Q188"/>
      <c r="R188"/>
      <c r="S188"/>
      <c r="T188"/>
      <c r="U188"/>
      <c r="V188"/>
      <c r="W188"/>
      <c r="X188"/>
      <c r="Y188"/>
      <c r="Z188"/>
    </row>
    <row r="189" spans="1:26" s="1635" customFormat="1" ht="15.75" customHeight="1" outlineLevel="1">
      <c r="A189" s="1631" t="str">
        <f t="shared" si="13"/>
        <v>MARCY-SOUTH357Underground Conduit</v>
      </c>
      <c r="B189" s="1632" t="s">
        <v>1434</v>
      </c>
      <c r="C189" s="1633" t="s">
        <v>34</v>
      </c>
      <c r="D189" s="1634" t="s">
        <v>1893</v>
      </c>
      <c r="E189" s="1633">
        <v>357</v>
      </c>
      <c r="F189" s="1633" t="s">
        <v>73</v>
      </c>
      <c r="G189" s="1304">
        <v>43951419</v>
      </c>
      <c r="H189" s="1304">
        <v>23629088.0125806</v>
      </c>
      <c r="I189" s="1304">
        <v>20322330.9874194</v>
      </c>
      <c r="J189" s="1304">
        <v>544255.6118268508</v>
      </c>
      <c r="K189" s="1304">
        <v>43951419</v>
      </c>
      <c r="L189" s="1304">
        <v>23084832.400753748</v>
      </c>
      <c r="M189" s="1304">
        <v>20866586.599246252</v>
      </c>
      <c r="N189" s="1304">
        <v>544255.6118268508</v>
      </c>
      <c r="O189"/>
      <c r="P189"/>
      <c r="Q189"/>
      <c r="R189"/>
      <c r="S189"/>
      <c r="T189"/>
      <c r="U189"/>
      <c r="V189"/>
      <c r="W189"/>
      <c r="X189"/>
      <c r="Y189"/>
      <c r="Z189"/>
    </row>
    <row r="190" spans="1:26" s="1635" customFormat="1" ht="15.75" customHeight="1" outlineLevel="1">
      <c r="A190" s="1631" t="str">
        <f t="shared" si="13"/>
        <v>MARCY-SOUTH358Underground Conductors &amp; Devices</v>
      </c>
      <c r="B190" s="1632" t="s">
        <v>1435</v>
      </c>
      <c r="C190" s="1633" t="s">
        <v>34</v>
      </c>
      <c r="D190" s="1634" t="s">
        <v>1893</v>
      </c>
      <c r="E190" s="1633">
        <v>358</v>
      </c>
      <c r="F190" s="1633" t="s">
        <v>74</v>
      </c>
      <c r="G190" s="1304">
        <v>12314493</v>
      </c>
      <c r="H190" s="1304">
        <v>9011721.75414229</v>
      </c>
      <c r="I190" s="1304">
        <v>3302771.24585771</v>
      </c>
      <c r="J190" s="1304">
        <v>201783.45559901505</v>
      </c>
      <c r="K190" s="1304">
        <v>12314493</v>
      </c>
      <c r="L190" s="1304">
        <v>8809938.2985432744</v>
      </c>
      <c r="M190" s="1304">
        <v>3504554.7014567256</v>
      </c>
      <c r="N190" s="1304">
        <v>201783.45559901505</v>
      </c>
      <c r="O190"/>
      <c r="P190"/>
      <c r="Q190"/>
      <c r="R190"/>
      <c r="S190"/>
      <c r="T190"/>
      <c r="U190"/>
      <c r="V190"/>
      <c r="W190"/>
      <c r="X190"/>
      <c r="Y190"/>
      <c r="Z190"/>
    </row>
    <row r="191" spans="1:26" s="1635" customFormat="1" ht="15.75" customHeight="1" outlineLevel="1">
      <c r="A191" s="1631" t="str">
        <f t="shared" si="13"/>
        <v>MARCY-SOUTH359Roads &amp; Trails</v>
      </c>
      <c r="B191" s="1632" t="s">
        <v>1436</v>
      </c>
      <c r="C191" s="1633" t="s">
        <v>34</v>
      </c>
      <c r="D191" s="1634" t="s">
        <v>1893</v>
      </c>
      <c r="E191" s="1633">
        <v>359</v>
      </c>
      <c r="F191" s="1633" t="s">
        <v>75</v>
      </c>
      <c r="G191" s="1304">
        <v>22421909</v>
      </c>
      <c r="H191" s="1304">
        <v>8894008</v>
      </c>
      <c r="I191" s="1304">
        <v>13527901</v>
      </c>
      <c r="J191" s="1304">
        <v>201148</v>
      </c>
      <c r="K191" s="1304">
        <v>22421909</v>
      </c>
      <c r="L191" s="1304">
        <v>8692860</v>
      </c>
      <c r="M191" s="1304">
        <v>13729049</v>
      </c>
      <c r="N191" s="1304">
        <v>201147</v>
      </c>
      <c r="O191"/>
      <c r="P191"/>
      <c r="Q191"/>
      <c r="R191"/>
      <c r="S191"/>
      <c r="T191"/>
      <c r="U191"/>
      <c r="V191"/>
      <c r="W191"/>
      <c r="X191"/>
      <c r="Y191"/>
      <c r="Z191"/>
    </row>
    <row r="192" spans="1:26" s="1635" customFormat="1" ht="15.75" customHeight="1" outlineLevel="1">
      <c r="A192" s="1631" t="str">
        <f t="shared" si="13"/>
        <v>MASSENA - MARCY  (Clark)352Structures &amp; Improvements</v>
      </c>
      <c r="B192" s="1632" t="s">
        <v>2089</v>
      </c>
      <c r="C192" s="1633" t="s">
        <v>34</v>
      </c>
      <c r="D192" s="1634" t="s">
        <v>1894</v>
      </c>
      <c r="E192" s="1633">
        <v>352</v>
      </c>
      <c r="F192" s="1633" t="s">
        <v>69</v>
      </c>
      <c r="G192" s="1304">
        <v>40705098.289999999</v>
      </c>
      <c r="H192" s="1304">
        <v>28734005.636544563</v>
      </c>
      <c r="I192" s="1304">
        <v>11971092.653455436</v>
      </c>
      <c r="J192" s="1304">
        <v>611424.3719884851</v>
      </c>
      <c r="K192" s="1304">
        <v>40705098.289999999</v>
      </c>
      <c r="L192" s="1304">
        <v>28122581.264556076</v>
      </c>
      <c r="M192" s="1304">
        <v>12582517.025443923</v>
      </c>
      <c r="N192" s="1304">
        <v>614100.3719884851</v>
      </c>
      <c r="O192"/>
      <c r="P192"/>
      <c r="Q192"/>
      <c r="R192"/>
      <c r="S192"/>
      <c r="T192"/>
      <c r="U192"/>
      <c r="V192"/>
      <c r="W192"/>
      <c r="X192"/>
      <c r="Y192"/>
      <c r="Z192"/>
    </row>
    <row r="193" spans="1:26" s="1635" customFormat="1" ht="15.75" customHeight="1" outlineLevel="1">
      <c r="A193" s="1631" t="str">
        <f t="shared" si="13"/>
        <v>MASSENA - MARCY  (Clark)353Station Equipment</v>
      </c>
      <c r="B193" s="1632" t="s">
        <v>1437</v>
      </c>
      <c r="C193" s="1633" t="s">
        <v>34</v>
      </c>
      <c r="D193" s="1634" t="s">
        <v>1894</v>
      </c>
      <c r="E193" s="1633">
        <v>353</v>
      </c>
      <c r="F193" s="1633" t="s">
        <v>20</v>
      </c>
      <c r="G193" s="1304">
        <v>281362658.59000003</v>
      </c>
      <c r="H193" s="1304">
        <v>139779388.35371193</v>
      </c>
      <c r="I193" s="1304">
        <v>141583270.2362881</v>
      </c>
      <c r="J193" s="1304">
        <v>3978978.057509176</v>
      </c>
      <c r="K193" s="1304">
        <v>242203703.92000005</v>
      </c>
      <c r="L193" s="1304">
        <v>135800410.29620275</v>
      </c>
      <c r="M193" s="1304">
        <v>106403293.6237973</v>
      </c>
      <c r="N193" s="1304">
        <v>3690130.4675091761</v>
      </c>
      <c r="O193"/>
      <c r="P193"/>
      <c r="Q193"/>
      <c r="R193"/>
      <c r="S193"/>
      <c r="T193"/>
      <c r="U193"/>
      <c r="V193"/>
      <c r="W193"/>
      <c r="X193"/>
      <c r="Y193"/>
      <c r="Z193"/>
    </row>
    <row r="194" spans="1:26" s="1635" customFormat="1" ht="15.75" customHeight="1" outlineLevel="1">
      <c r="A194" s="1631" t="str">
        <f t="shared" si="13"/>
        <v>MASSENA - MARCY  (Clark)353Station Equipment - Windfarm Assets acq. 12-1-11</v>
      </c>
      <c r="B194" s="1632" t="s">
        <v>1438</v>
      </c>
      <c r="C194" s="1633" t="s">
        <v>34</v>
      </c>
      <c r="D194" s="1634" t="s">
        <v>1894</v>
      </c>
      <c r="E194" s="1633">
        <v>353</v>
      </c>
      <c r="F194" s="1633" t="s">
        <v>1911</v>
      </c>
      <c r="G194" s="1304">
        <v>83102898.969999999</v>
      </c>
      <c r="H194" s="1304">
        <v>15546261.970000001</v>
      </c>
      <c r="I194" s="1304">
        <v>67556637</v>
      </c>
      <c r="J194" s="1304">
        <v>1663426</v>
      </c>
      <c r="K194" s="1304">
        <v>83102898.969999999</v>
      </c>
      <c r="L194" s="1304">
        <v>13882835.970000001</v>
      </c>
      <c r="M194" s="1304">
        <v>69220063</v>
      </c>
      <c r="N194" s="1304">
        <v>1663426</v>
      </c>
      <c r="O194"/>
      <c r="P194"/>
      <c r="Q194"/>
      <c r="R194"/>
      <c r="S194"/>
      <c r="T194"/>
      <c r="U194"/>
      <c r="V194"/>
      <c r="W194"/>
      <c r="X194"/>
      <c r="Y194"/>
      <c r="Z194"/>
    </row>
    <row r="195" spans="1:26" s="1635" customFormat="1" ht="15.75" customHeight="1" outlineLevel="1">
      <c r="A195" s="1631" t="str">
        <f t="shared" si="13"/>
        <v>MASSENA - MARCY  (Clark)354Towers &amp; Fixtures</v>
      </c>
      <c r="B195" s="1632" t="s">
        <v>1439</v>
      </c>
      <c r="C195" s="1633" t="s">
        <v>34</v>
      </c>
      <c r="D195" s="1634" t="s">
        <v>1894</v>
      </c>
      <c r="E195" s="1633">
        <v>354</v>
      </c>
      <c r="F195" s="1633" t="s">
        <v>70</v>
      </c>
      <c r="G195" s="1304">
        <v>64465654</v>
      </c>
      <c r="H195" s="1304">
        <v>58665411.478646286</v>
      </c>
      <c r="I195" s="1304">
        <v>5800242.5213537142</v>
      </c>
      <c r="J195" s="1304">
        <v>1288389.8355422816</v>
      </c>
      <c r="K195" s="1304">
        <v>64465654</v>
      </c>
      <c r="L195" s="1304">
        <v>57377021.643104002</v>
      </c>
      <c r="M195" s="1304">
        <v>7088632.3568959981</v>
      </c>
      <c r="N195" s="1304">
        <v>1288389.8355422816</v>
      </c>
      <c r="O195"/>
      <c r="P195"/>
      <c r="Q195"/>
      <c r="R195"/>
      <c r="S195"/>
      <c r="T195"/>
      <c r="U195"/>
      <c r="V195"/>
      <c r="W195"/>
      <c r="X195"/>
      <c r="Y195"/>
      <c r="Z195"/>
    </row>
    <row r="196" spans="1:26" s="1635" customFormat="1" ht="15.75" customHeight="1" outlineLevel="1">
      <c r="A196" s="1631" t="str">
        <f t="shared" si="13"/>
        <v>MASSENA - MARCY  (Clark)355Poles &amp; Fixtures</v>
      </c>
      <c r="B196" s="1632" t="s">
        <v>1440</v>
      </c>
      <c r="C196" s="1633" t="s">
        <v>34</v>
      </c>
      <c r="D196" s="1634" t="s">
        <v>1894</v>
      </c>
      <c r="E196" s="1633">
        <v>355</v>
      </c>
      <c r="F196" s="1633" t="s">
        <v>71</v>
      </c>
      <c r="G196" s="1304">
        <v>19615058</v>
      </c>
      <c r="H196" s="1304">
        <v>21756921.643401701</v>
      </c>
      <c r="I196" s="1304">
        <v>-2141863.643401701</v>
      </c>
      <c r="J196" s="1304">
        <v>363973.45941705653</v>
      </c>
      <c r="K196" s="1304">
        <v>19615058</v>
      </c>
      <c r="L196" s="1304">
        <v>21392948.183984645</v>
      </c>
      <c r="M196" s="1304">
        <v>-1777890.1839846447</v>
      </c>
      <c r="N196" s="1304">
        <v>363973.45941705653</v>
      </c>
      <c r="O196"/>
      <c r="P196"/>
      <c r="Q196"/>
      <c r="R196"/>
      <c r="S196"/>
      <c r="T196"/>
      <c r="U196"/>
      <c r="V196"/>
      <c r="W196"/>
      <c r="X196"/>
      <c r="Y196"/>
      <c r="Z196"/>
    </row>
    <row r="197" spans="1:26" s="1635" customFormat="1" ht="15.75" customHeight="1" outlineLevel="1">
      <c r="A197" s="1631" t="str">
        <f t="shared" si="13"/>
        <v>MASSENA - MARCY  (Clark)356Overhead Conductors &amp; Devices</v>
      </c>
      <c r="B197" s="1632" t="s">
        <v>1441</v>
      </c>
      <c r="C197" s="1633" t="s">
        <v>34</v>
      </c>
      <c r="D197" s="1634" t="s">
        <v>1894</v>
      </c>
      <c r="E197" s="1633">
        <v>356</v>
      </c>
      <c r="F197" s="1633" t="s">
        <v>72</v>
      </c>
      <c r="G197" s="1304">
        <v>52631771.079999998</v>
      </c>
      <c r="H197" s="1304">
        <v>26284269.637695577</v>
      </c>
      <c r="I197" s="1304">
        <v>26347501.442304421</v>
      </c>
      <c r="J197" s="1304">
        <v>751048.98554300121</v>
      </c>
      <c r="K197" s="1304">
        <v>42480940.079999998</v>
      </c>
      <c r="L197" s="1304">
        <v>25533220.652152576</v>
      </c>
      <c r="M197" s="1304">
        <v>16947719.427847423</v>
      </c>
      <c r="N197" s="1304">
        <v>540390.98554300121</v>
      </c>
      <c r="O197"/>
      <c r="P197"/>
      <c r="Q197"/>
      <c r="R197"/>
      <c r="S197"/>
      <c r="T197"/>
      <c r="U197"/>
      <c r="V197"/>
      <c r="W197"/>
      <c r="X197"/>
      <c r="Y197"/>
      <c r="Z197"/>
    </row>
    <row r="198" spans="1:26" s="1635" customFormat="1" ht="15.75" customHeight="1" outlineLevel="1">
      <c r="A198" s="1631" t="str">
        <f t="shared" si="13"/>
        <v>MASSENA - MARCY  (Clark)359Roads &amp; Trails</v>
      </c>
      <c r="B198" s="1632" t="s">
        <v>1442</v>
      </c>
      <c r="C198" s="1633" t="s">
        <v>34</v>
      </c>
      <c r="D198" s="1634" t="s">
        <v>1894</v>
      </c>
      <c r="E198" s="1633">
        <v>359</v>
      </c>
      <c r="F198" s="1633" t="s">
        <v>75</v>
      </c>
      <c r="G198" s="1304">
        <v>5105433</v>
      </c>
      <c r="H198" s="1304">
        <v>2896490</v>
      </c>
      <c r="I198" s="1304">
        <v>2208943</v>
      </c>
      <c r="J198" s="1304">
        <v>37248</v>
      </c>
      <c r="K198" s="1304">
        <v>5105433</v>
      </c>
      <c r="L198" s="1304">
        <v>2859242</v>
      </c>
      <c r="M198" s="1304">
        <v>2246191</v>
      </c>
      <c r="N198" s="1304">
        <v>37248</v>
      </c>
      <c r="O198"/>
      <c r="P198"/>
      <c r="Q198"/>
      <c r="R198"/>
      <c r="S198"/>
      <c r="T198"/>
      <c r="U198"/>
      <c r="V198"/>
      <c r="W198"/>
      <c r="X198"/>
      <c r="Y198"/>
      <c r="Z198"/>
    </row>
    <row r="199" spans="1:26" s="1635" customFormat="1" ht="15.75" customHeight="1" outlineLevel="1">
      <c r="A199" s="1631" t="str">
        <f t="shared" si="13"/>
        <v>NIAGARA352Structures &amp; Improvements</v>
      </c>
      <c r="B199" s="1632" t="s">
        <v>1443</v>
      </c>
      <c r="C199" s="1633" t="s">
        <v>34</v>
      </c>
      <c r="D199" s="1634" t="s">
        <v>30</v>
      </c>
      <c r="E199" s="1633">
        <v>352</v>
      </c>
      <c r="F199" s="1633" t="s">
        <v>69</v>
      </c>
      <c r="G199" s="1304">
        <v>24449344</v>
      </c>
      <c r="H199" s="1304">
        <v>21799065.254388634</v>
      </c>
      <c r="I199" s="1304">
        <v>2650278.7456113659</v>
      </c>
      <c r="J199" s="1304">
        <v>476979.44931506854</v>
      </c>
      <c r="K199" s="1304">
        <v>24449344</v>
      </c>
      <c r="L199" s="1304">
        <v>21322085.805073567</v>
      </c>
      <c r="M199" s="1304">
        <v>3127258.1949264333</v>
      </c>
      <c r="N199" s="1304">
        <v>476979.44931506854</v>
      </c>
      <c r="O199"/>
      <c r="P199"/>
      <c r="Q199"/>
      <c r="R199"/>
      <c r="S199"/>
      <c r="T199"/>
      <c r="U199"/>
      <c r="V199"/>
      <c r="W199"/>
      <c r="X199"/>
      <c r="Y199"/>
      <c r="Z199"/>
    </row>
    <row r="200" spans="1:26" s="1635" customFormat="1" ht="15.75" customHeight="1" outlineLevel="1">
      <c r="A200" s="1631" t="str">
        <f t="shared" si="13"/>
        <v>NIAGARA353Station Equipment</v>
      </c>
      <c r="B200" s="1632" t="s">
        <v>1444</v>
      </c>
      <c r="C200" s="1633" t="s">
        <v>34</v>
      </c>
      <c r="D200" s="1634" t="s">
        <v>30</v>
      </c>
      <c r="E200" s="1633">
        <v>353</v>
      </c>
      <c r="F200" s="1633" t="s">
        <v>20</v>
      </c>
      <c r="G200" s="1304">
        <v>253351592.38000005</v>
      </c>
      <c r="H200" s="1304">
        <v>68865900.849736169</v>
      </c>
      <c r="I200" s="1304">
        <v>184485691.5302639</v>
      </c>
      <c r="J200" s="1304">
        <v>3114544.8376712329</v>
      </c>
      <c r="K200" s="1304">
        <v>191290774.71000004</v>
      </c>
      <c r="L200" s="1304">
        <v>65751356.012064941</v>
      </c>
      <c r="M200" s="1304">
        <v>125539418.6979351</v>
      </c>
      <c r="N200" s="1304">
        <v>2528568.3776712329</v>
      </c>
      <c r="O200"/>
      <c r="P200"/>
      <c r="Q200"/>
      <c r="R200"/>
      <c r="S200"/>
      <c r="T200"/>
      <c r="U200"/>
      <c r="V200"/>
      <c r="W200"/>
      <c r="X200"/>
      <c r="Y200"/>
      <c r="Z200"/>
    </row>
    <row r="201" spans="1:26" s="1635" customFormat="1" ht="15.75" customHeight="1" outlineLevel="1">
      <c r="A201" s="1631" t="str">
        <f t="shared" si="13"/>
        <v>NIAGARA354Towers &amp; Fixtures</v>
      </c>
      <c r="B201" s="1632" t="s">
        <v>1445</v>
      </c>
      <c r="C201" s="1633" t="s">
        <v>34</v>
      </c>
      <c r="D201" s="1634" t="s">
        <v>30</v>
      </c>
      <c r="E201" s="1633">
        <v>354</v>
      </c>
      <c r="F201" s="1633" t="s">
        <v>70</v>
      </c>
      <c r="G201" s="1304">
        <v>18743984</v>
      </c>
      <c r="H201" s="1304">
        <v>21832144.365520045</v>
      </c>
      <c r="I201" s="1304">
        <v>-3088160.3655200452</v>
      </c>
      <c r="J201" s="1304">
        <v>598792.86410958902</v>
      </c>
      <c r="K201" s="1304">
        <v>18743984</v>
      </c>
      <c r="L201" s="1304">
        <v>21233351.501410455</v>
      </c>
      <c r="M201" s="1304">
        <v>-2489367.5014104545</v>
      </c>
      <c r="N201" s="1304">
        <v>598792.86410958902</v>
      </c>
      <c r="O201"/>
      <c r="P201"/>
      <c r="Q201"/>
      <c r="R201"/>
      <c r="S201"/>
      <c r="T201"/>
      <c r="U201"/>
      <c r="V201"/>
      <c r="W201"/>
      <c r="X201"/>
      <c r="Y201"/>
      <c r="Z201"/>
    </row>
    <row r="202" spans="1:26" s="1635" customFormat="1" ht="15.75" customHeight="1" outlineLevel="1">
      <c r="A202" s="1631" t="str">
        <f t="shared" si="13"/>
        <v>NIAGARA355Poles &amp; Fixtures</v>
      </c>
      <c r="B202" s="1632" t="s">
        <v>1446</v>
      </c>
      <c r="C202" s="1633" t="s">
        <v>34</v>
      </c>
      <c r="D202" s="1634" t="s">
        <v>30</v>
      </c>
      <c r="E202" s="1633">
        <v>355</v>
      </c>
      <c r="F202" s="1633" t="s">
        <v>71</v>
      </c>
      <c r="G202" s="1304">
        <v>19726</v>
      </c>
      <c r="H202" s="1304">
        <v>23574.156154236422</v>
      </c>
      <c r="I202" s="1304">
        <v>-3848.1561542364216</v>
      </c>
      <c r="J202" s="1304">
        <v>746.13643835616426</v>
      </c>
      <c r="K202" s="1304">
        <v>19726</v>
      </c>
      <c r="L202" s="1304">
        <v>22828.019715880258</v>
      </c>
      <c r="M202" s="1304">
        <v>-3102.0197158802584</v>
      </c>
      <c r="N202" s="1304">
        <v>746.13643835616426</v>
      </c>
      <c r="O202"/>
      <c r="P202"/>
      <c r="Q202"/>
      <c r="R202"/>
      <c r="S202"/>
      <c r="T202"/>
      <c r="U202"/>
      <c r="V202"/>
      <c r="W202"/>
      <c r="X202"/>
      <c r="Y202"/>
      <c r="Z202"/>
    </row>
    <row r="203" spans="1:26" s="1635" customFormat="1" ht="15.75" customHeight="1" outlineLevel="1">
      <c r="A203" s="1631" t="str">
        <f t="shared" si="13"/>
        <v>NIAGARA356Overhead Conductors &amp; Devices</v>
      </c>
      <c r="B203" s="1632" t="s">
        <v>1447</v>
      </c>
      <c r="C203" s="1633" t="s">
        <v>34</v>
      </c>
      <c r="D203" s="1634" t="s">
        <v>30</v>
      </c>
      <c r="E203" s="1633">
        <v>356</v>
      </c>
      <c r="F203" s="1633" t="s">
        <v>72</v>
      </c>
      <c r="G203" s="1304">
        <v>64449341</v>
      </c>
      <c r="H203" s="1304">
        <v>31380314.673668195</v>
      </c>
      <c r="I203" s="1304">
        <v>33069026.326331805</v>
      </c>
      <c r="J203" s="1304">
        <v>1345387.5041095896</v>
      </c>
      <c r="K203" s="1304">
        <v>42873942</v>
      </c>
      <c r="L203" s="1304">
        <v>30034927.169558603</v>
      </c>
      <c r="M203" s="1304">
        <v>12839014.830441397</v>
      </c>
      <c r="N203" s="1304">
        <v>491248.50410958956</v>
      </c>
      <c r="O203"/>
      <c r="P203"/>
      <c r="Q203"/>
      <c r="R203"/>
      <c r="S203"/>
      <c r="T203"/>
      <c r="U203"/>
      <c r="V203"/>
      <c r="W203"/>
      <c r="X203"/>
      <c r="Y203"/>
      <c r="Z203"/>
    </row>
    <row r="204" spans="1:26" s="1635" customFormat="1" ht="15.75" customHeight="1" outlineLevel="1">
      <c r="A204" s="1631" t="str">
        <f t="shared" si="13"/>
        <v>NIAGARA359Roads &amp; Trails</v>
      </c>
      <c r="B204" s="1632" t="s">
        <v>2090</v>
      </c>
      <c r="C204" s="1633" t="s">
        <v>34</v>
      </c>
      <c r="D204" s="1634" t="s">
        <v>30</v>
      </c>
      <c r="E204" s="1633">
        <v>359</v>
      </c>
      <c r="F204" s="1633" t="s">
        <v>75</v>
      </c>
      <c r="G204" s="1304">
        <v>42797</v>
      </c>
      <c r="H204" s="1304">
        <v>39150.610532724502</v>
      </c>
      <c r="I204" s="1304">
        <v>3646.3894672754977</v>
      </c>
      <c r="J204" s="1304">
        <v>326.67835616438322</v>
      </c>
      <c r="K204" s="1304">
        <v>42797</v>
      </c>
      <c r="L204" s="1304">
        <v>38823.93217656012</v>
      </c>
      <c r="M204" s="1304">
        <v>3973.0678234398802</v>
      </c>
      <c r="N204" s="1304">
        <v>326.67835616438322</v>
      </c>
      <c r="O204"/>
      <c r="P204"/>
      <c r="Q204"/>
      <c r="R204"/>
      <c r="S204"/>
      <c r="T204"/>
      <c r="U204"/>
      <c r="V204"/>
      <c r="W204"/>
      <c r="X204"/>
      <c r="Y204"/>
      <c r="Z204"/>
    </row>
    <row r="205" spans="1:26" s="1635" customFormat="1" ht="15.75" customHeight="1" outlineLevel="1">
      <c r="A205" s="1631" t="str">
        <f t="shared" si="13"/>
        <v>St.  LAWRENCE / FDR352Structures &amp; Improvements</v>
      </c>
      <c r="B205" s="1632" t="s">
        <v>1448</v>
      </c>
      <c r="C205" s="1633" t="s">
        <v>34</v>
      </c>
      <c r="D205" s="1634" t="s">
        <v>1895</v>
      </c>
      <c r="E205" s="1633">
        <v>352</v>
      </c>
      <c r="F205" s="1633" t="s">
        <v>69</v>
      </c>
      <c r="G205" s="1304">
        <v>18524523.269999996</v>
      </c>
      <c r="H205" s="1304">
        <v>8897913.672152387</v>
      </c>
      <c r="I205" s="1304">
        <v>9626609.5978476088</v>
      </c>
      <c r="J205" s="1304">
        <v>353605.90523618896</v>
      </c>
      <c r="K205" s="1304">
        <v>18079757.159999996</v>
      </c>
      <c r="L205" s="1304">
        <v>8544307.7669161987</v>
      </c>
      <c r="M205" s="1304">
        <v>9535449.3930837978</v>
      </c>
      <c r="N205" s="1304">
        <v>240347.30523618899</v>
      </c>
      <c r="O205"/>
      <c r="P205"/>
      <c r="Q205"/>
      <c r="R205"/>
      <c r="S205"/>
      <c r="T205"/>
      <c r="U205"/>
      <c r="V205"/>
      <c r="W205"/>
      <c r="X205"/>
      <c r="Y205"/>
      <c r="Z205"/>
    </row>
    <row r="206" spans="1:26" s="1635" customFormat="1" ht="15.75" customHeight="1" outlineLevel="1">
      <c r="A206" s="1631" t="str">
        <f t="shared" si="13"/>
        <v>St.  LAWRENCE / FDR353Station Equipment</v>
      </c>
      <c r="B206" s="1632" t="s">
        <v>1449</v>
      </c>
      <c r="C206" s="1633" t="s">
        <v>34</v>
      </c>
      <c r="D206" s="1634" t="s">
        <v>1895</v>
      </c>
      <c r="E206" s="1633">
        <v>353</v>
      </c>
      <c r="F206" s="1633" t="s">
        <v>20</v>
      </c>
      <c r="G206" s="1304">
        <v>399064670.49000007</v>
      </c>
      <c r="H206" s="1304">
        <v>83928758.171520784</v>
      </c>
      <c r="I206" s="1304">
        <v>315135912.3184793</v>
      </c>
      <c r="J206" s="1304">
        <v>5599006.3942514006</v>
      </c>
      <c r="K206" s="1304">
        <v>360828318.55000007</v>
      </c>
      <c r="L206" s="1304">
        <v>84538327.007269382</v>
      </c>
      <c r="M206" s="1304">
        <v>276289991.54273069</v>
      </c>
      <c r="N206" s="1304">
        <v>4359339.4342514016</v>
      </c>
      <c r="O206"/>
      <c r="P206"/>
      <c r="Q206"/>
      <c r="R206"/>
      <c r="S206"/>
      <c r="T206"/>
      <c r="U206"/>
      <c r="V206"/>
      <c r="W206"/>
      <c r="X206"/>
      <c r="Y206"/>
      <c r="Z206"/>
    </row>
    <row r="207" spans="1:26" s="1635" customFormat="1" ht="15.75" customHeight="1" outlineLevel="1">
      <c r="A207" s="1631" t="str">
        <f t="shared" si="13"/>
        <v>St.  LAWRENCE / FDR354Towers &amp; Fixtures</v>
      </c>
      <c r="B207" s="1632" t="s">
        <v>1450</v>
      </c>
      <c r="C207" s="1633" t="s">
        <v>34</v>
      </c>
      <c r="D207" s="1634" t="s">
        <v>1895</v>
      </c>
      <c r="E207" s="1633">
        <v>354</v>
      </c>
      <c r="F207" s="1633" t="s">
        <v>70</v>
      </c>
      <c r="G207" s="1304">
        <v>15185237</v>
      </c>
      <c r="H207" s="1304">
        <v>15857108.725499511</v>
      </c>
      <c r="I207" s="1304">
        <v>-671871.72549951077</v>
      </c>
      <c r="J207" s="1304">
        <v>469704.07401120901</v>
      </c>
      <c r="K207" s="1304">
        <v>15185237</v>
      </c>
      <c r="L207" s="1304">
        <v>15387404.651488302</v>
      </c>
      <c r="M207" s="1304">
        <v>-202167.65148830228</v>
      </c>
      <c r="N207" s="1304">
        <v>469705.07401120901</v>
      </c>
      <c r="O207"/>
      <c r="P207"/>
      <c r="Q207"/>
      <c r="R207"/>
      <c r="S207"/>
      <c r="T207"/>
      <c r="U207"/>
      <c r="V207"/>
      <c r="W207"/>
      <c r="X207"/>
      <c r="Y207"/>
      <c r="Z207"/>
    </row>
    <row r="208" spans="1:26" s="1635" customFormat="1" ht="15.75" customHeight="1" outlineLevel="1">
      <c r="A208" s="1631" t="str">
        <f t="shared" si="13"/>
        <v>St.  LAWRENCE / FDR355Poles &amp; Fixtures</v>
      </c>
      <c r="B208" s="1632" t="s">
        <v>1451</v>
      </c>
      <c r="C208" s="1633" t="s">
        <v>34</v>
      </c>
      <c r="D208" s="1634" t="s">
        <v>1895</v>
      </c>
      <c r="E208" s="1633">
        <v>355</v>
      </c>
      <c r="F208" s="1633" t="s">
        <v>71</v>
      </c>
      <c r="G208" s="1304">
        <v>142821490.41</v>
      </c>
      <c r="H208" s="1304">
        <v>9633709.6698247492</v>
      </c>
      <c r="I208" s="1304">
        <v>133187780.74017525</v>
      </c>
      <c r="J208" s="1304">
        <v>2384241.6949239392</v>
      </c>
      <c r="K208" s="1304">
        <v>8667261.9500000011</v>
      </c>
      <c r="L208" s="1304">
        <v>7249467.9749008091</v>
      </c>
      <c r="M208" s="1304">
        <v>1417793.975099192</v>
      </c>
      <c r="N208" s="1304">
        <v>319801.21492393914</v>
      </c>
      <c r="O208"/>
      <c r="P208"/>
      <c r="Q208"/>
      <c r="R208"/>
      <c r="S208"/>
      <c r="T208"/>
      <c r="U208"/>
      <c r="V208"/>
      <c r="W208"/>
      <c r="X208"/>
      <c r="Y208"/>
      <c r="Z208"/>
    </row>
    <row r="209" spans="1:26" s="1635" customFormat="1" ht="15.75" customHeight="1" outlineLevel="1">
      <c r="A209" s="1631" t="str">
        <f t="shared" si="13"/>
        <v>St.  LAWRENCE / FDR356Overhead Conductors &amp; Devices</v>
      </c>
      <c r="B209" s="1632" t="s">
        <v>1452</v>
      </c>
      <c r="C209" s="1633" t="s">
        <v>34</v>
      </c>
      <c r="D209" s="1634" t="s">
        <v>1895</v>
      </c>
      <c r="E209" s="1633">
        <v>356</v>
      </c>
      <c r="F209" s="1633" t="s">
        <v>72</v>
      </c>
      <c r="G209" s="1304">
        <v>52408095.850000001</v>
      </c>
      <c r="H209" s="1304">
        <v>18267988.397357885</v>
      </c>
      <c r="I209" s="1304">
        <v>34140107.452642113</v>
      </c>
      <c r="J209" s="1304">
        <v>1711846.0705284227</v>
      </c>
      <c r="K209" s="1304">
        <v>43799856.340000004</v>
      </c>
      <c r="L209" s="1304">
        <v>16556142.326829463</v>
      </c>
      <c r="M209" s="1304">
        <v>27243714.01317054</v>
      </c>
      <c r="N209" s="1304">
        <v>1308644.1205284228</v>
      </c>
      <c r="O209"/>
      <c r="P209"/>
      <c r="Q209"/>
      <c r="R209"/>
      <c r="S209"/>
      <c r="T209"/>
      <c r="U209"/>
      <c r="V209"/>
      <c r="W209"/>
      <c r="X209"/>
      <c r="Y209"/>
      <c r="Z209"/>
    </row>
    <row r="210" spans="1:26" s="1635" customFormat="1" ht="15.75" customHeight="1" outlineLevel="1">
      <c r="A210" s="1631" t="str">
        <f t="shared" si="13"/>
        <v>St.  LAWRENCE / FDR357Underground Conduit</v>
      </c>
      <c r="B210" s="1632" t="s">
        <v>1453</v>
      </c>
      <c r="C210" s="1633" t="s">
        <v>34</v>
      </c>
      <c r="D210" s="1634" t="s">
        <v>1895</v>
      </c>
      <c r="E210" s="1633">
        <v>357</v>
      </c>
      <c r="F210" s="1633" t="s">
        <v>73</v>
      </c>
      <c r="G210" s="1304">
        <v>61047</v>
      </c>
      <c r="H210" s="1304">
        <v>61781.782530468823</v>
      </c>
      <c r="I210" s="1304">
        <v>-734.7825304688231</v>
      </c>
      <c r="J210" s="1304">
        <v>137.62293835068053</v>
      </c>
      <c r="K210" s="1304">
        <v>61047</v>
      </c>
      <c r="L210" s="1304">
        <v>61644.159592118143</v>
      </c>
      <c r="M210" s="1304">
        <v>-597.15959211814334</v>
      </c>
      <c r="N210" s="1304">
        <v>137.62293835068053</v>
      </c>
      <c r="O210"/>
      <c r="P210"/>
      <c r="Q210"/>
      <c r="R210"/>
      <c r="S210"/>
      <c r="T210"/>
      <c r="U210"/>
      <c r="V210"/>
      <c r="W210"/>
      <c r="X210"/>
      <c r="Y210"/>
      <c r="Z210"/>
    </row>
    <row r="211" spans="1:26" s="1635" customFormat="1" ht="15.75" customHeight="1" outlineLevel="1">
      <c r="A211" s="1631" t="str">
        <f t="shared" ref="A211:A237" si="16">CONCATENATE(D211,E211,F211)</f>
        <v>St.  LAWRENCE / FDR358Underground Conductors &amp; Devices</v>
      </c>
      <c r="B211" s="1632" t="s">
        <v>1454</v>
      </c>
      <c r="C211" s="1633" t="s">
        <v>34</v>
      </c>
      <c r="D211" s="1634" t="s">
        <v>1895</v>
      </c>
      <c r="E211" s="1633">
        <v>358</v>
      </c>
      <c r="F211" s="1633" t="s">
        <v>74</v>
      </c>
      <c r="G211" s="1304">
        <v>29908686.399999999</v>
      </c>
      <c r="H211" s="1304">
        <v>3142137.7425535982</v>
      </c>
      <c r="I211" s="1304">
        <v>26766548.657446399</v>
      </c>
      <c r="J211" s="1304">
        <v>486041.53604483587</v>
      </c>
      <c r="K211" s="1304">
        <v>29629416.649999999</v>
      </c>
      <c r="L211" s="1304">
        <v>2656096.2065087622</v>
      </c>
      <c r="M211" s="1304">
        <v>26973320.443491235</v>
      </c>
      <c r="N211" s="1304">
        <v>484403.09604483587</v>
      </c>
      <c r="O211"/>
      <c r="P211"/>
      <c r="Q211"/>
      <c r="R211"/>
      <c r="S211"/>
      <c r="T211"/>
      <c r="U211"/>
      <c r="V211"/>
      <c r="W211"/>
      <c r="X211"/>
      <c r="Y211"/>
      <c r="Z211"/>
    </row>
    <row r="212" spans="1:26" s="1635" customFormat="1" ht="15.75" customHeight="1" outlineLevel="1">
      <c r="A212" s="1631" t="str">
        <f t="shared" si="16"/>
        <v>St.  LAWRENCE / FDR359Roads &amp; Trails</v>
      </c>
      <c r="B212" s="1632" t="s">
        <v>1455</v>
      </c>
      <c r="C212" s="1633" t="s">
        <v>34</v>
      </c>
      <c r="D212" s="1634" t="s">
        <v>1895</v>
      </c>
      <c r="E212" s="1633">
        <v>359</v>
      </c>
      <c r="F212" s="1633" t="s">
        <v>75</v>
      </c>
      <c r="G212" s="1304">
        <v>35851835.039999999</v>
      </c>
      <c r="H212" s="1304">
        <v>296149.03856062633</v>
      </c>
      <c r="I212" s="1304">
        <v>35555686.00143937</v>
      </c>
      <c r="J212" s="1304">
        <v>152464.30206565253</v>
      </c>
      <c r="K212" s="1304">
        <v>193299</v>
      </c>
      <c r="L212" s="1304">
        <v>143684.73649497377</v>
      </c>
      <c r="M212" s="1304">
        <v>49614.263505026232</v>
      </c>
      <c r="N212" s="1304">
        <v>3821.2620656525219</v>
      </c>
      <c r="O212"/>
      <c r="P212"/>
      <c r="Q212"/>
      <c r="R212"/>
      <c r="S212"/>
      <c r="T212"/>
      <c r="U212"/>
      <c r="V212"/>
      <c r="W212"/>
      <c r="X212"/>
      <c r="Y212"/>
      <c r="Z212"/>
    </row>
    <row r="213" spans="1:26" s="1635" customFormat="1" ht="15.75" customHeight="1" outlineLevel="1">
      <c r="A213" s="1631" t="str">
        <f t="shared" si="16"/>
        <v>500mW C - C at Astoria353Station Equip - Transmission</v>
      </c>
      <c r="B213" s="1632" t="s">
        <v>1456</v>
      </c>
      <c r="C213" s="1633" t="s">
        <v>34</v>
      </c>
      <c r="D213" s="1634" t="s">
        <v>153</v>
      </c>
      <c r="E213" s="1633">
        <v>353</v>
      </c>
      <c r="F213" s="1633" t="s">
        <v>1839</v>
      </c>
      <c r="G213" s="1304">
        <v>87822364.659999996</v>
      </c>
      <c r="H213" s="1304">
        <v>41984054.359999999</v>
      </c>
      <c r="I213" s="1304">
        <v>45838310.299999997</v>
      </c>
      <c r="J213" s="1304">
        <v>2818673</v>
      </c>
      <c r="K213" s="1304">
        <v>87822364.659999996</v>
      </c>
      <c r="L213" s="1304">
        <v>39165381.359999999</v>
      </c>
      <c r="M213" s="1304">
        <v>48656983.299999997</v>
      </c>
      <c r="N213" s="1304">
        <v>2817865.36</v>
      </c>
      <c r="O213"/>
      <c r="P213"/>
      <c r="Q213"/>
      <c r="R213"/>
      <c r="S213"/>
      <c r="T213"/>
      <c r="U213"/>
      <c r="V213"/>
      <c r="W213"/>
      <c r="X213"/>
      <c r="Y213"/>
      <c r="Z213"/>
    </row>
    <row r="214" spans="1:26" s="1635" customFormat="1" ht="15.75" customHeight="1" outlineLevel="1">
      <c r="A214" s="1631" t="str">
        <f t="shared" si="16"/>
        <v>Astoria 2 (AE-II) Substation352Structures &amp; Improvements</v>
      </c>
      <c r="B214" s="1632" t="s">
        <v>1457</v>
      </c>
      <c r="C214" s="1633" t="s">
        <v>34</v>
      </c>
      <c r="D214" s="1634" t="s">
        <v>448</v>
      </c>
      <c r="E214" s="1633">
        <v>352</v>
      </c>
      <c r="F214" s="1633" t="s">
        <v>69</v>
      </c>
      <c r="G214" s="1304">
        <v>0</v>
      </c>
      <c r="H214" s="1304">
        <v>0</v>
      </c>
      <c r="I214" s="1304">
        <v>0</v>
      </c>
      <c r="J214" s="1304">
        <v>0</v>
      </c>
      <c r="K214" s="1304">
        <v>0</v>
      </c>
      <c r="L214" s="1304">
        <v>0</v>
      </c>
      <c r="M214" s="1304">
        <v>0</v>
      </c>
      <c r="N214" s="1304">
        <v>0</v>
      </c>
      <c r="O214"/>
      <c r="P214"/>
      <c r="Q214"/>
      <c r="R214"/>
      <c r="S214"/>
      <c r="T214"/>
      <c r="U214"/>
      <c r="V214"/>
      <c r="W214"/>
      <c r="X214"/>
      <c r="Y214"/>
      <c r="Z214"/>
    </row>
    <row r="215" spans="1:26" s="1635" customFormat="1" ht="15.75" customHeight="1" outlineLevel="1">
      <c r="A215" s="1631" t="str">
        <f t="shared" si="16"/>
        <v>Astoria 2 (AE-II) Substation353Station Equipment</v>
      </c>
      <c r="B215" s="1632" t="s">
        <v>1458</v>
      </c>
      <c r="C215" s="1633" t="s">
        <v>34</v>
      </c>
      <c r="D215" s="1634" t="s">
        <v>448</v>
      </c>
      <c r="E215" s="1633">
        <v>353</v>
      </c>
      <c r="F215" s="1633" t="s">
        <v>20</v>
      </c>
      <c r="G215" s="1304">
        <v>60481915</v>
      </c>
      <c r="H215" s="1304">
        <v>31676663</v>
      </c>
      <c r="I215" s="1304">
        <v>28805252</v>
      </c>
      <c r="J215" s="1304">
        <v>3011360</v>
      </c>
      <c r="K215" s="1304">
        <v>60481915</v>
      </c>
      <c r="L215" s="1304">
        <v>28665303</v>
      </c>
      <c r="M215" s="1304">
        <v>31816612</v>
      </c>
      <c r="N215" s="1304">
        <v>3011360</v>
      </c>
      <c r="O215"/>
      <c r="P215"/>
      <c r="Q215"/>
      <c r="R215"/>
      <c r="S215"/>
      <c r="T215"/>
      <c r="U215"/>
      <c r="V215"/>
      <c r="W215"/>
      <c r="X215"/>
      <c r="Y215"/>
      <c r="Z215"/>
    </row>
    <row r="216" spans="1:26" s="1635" customFormat="1" ht="15.75" customHeight="1" outlineLevel="1">
      <c r="A216" s="1631" t="str">
        <f t="shared" si="16"/>
        <v>Astoria 2 (AE-II) Substation354Towers &amp; Fixtures</v>
      </c>
      <c r="B216" s="1632" t="s">
        <v>1459</v>
      </c>
      <c r="C216" s="1633" t="s">
        <v>34</v>
      </c>
      <c r="D216" s="1634" t="s">
        <v>448</v>
      </c>
      <c r="E216" s="1633">
        <v>354</v>
      </c>
      <c r="F216" s="1633" t="s">
        <v>70</v>
      </c>
      <c r="G216" s="1304">
        <v>0</v>
      </c>
      <c r="H216" s="1304">
        <v>0</v>
      </c>
      <c r="I216" s="1304">
        <v>0</v>
      </c>
      <c r="J216" s="1304">
        <v>0</v>
      </c>
      <c r="K216" s="1304">
        <v>0</v>
      </c>
      <c r="L216" s="1304">
        <v>0</v>
      </c>
      <c r="M216" s="1304">
        <v>0</v>
      </c>
      <c r="N216" s="1304">
        <v>0</v>
      </c>
      <c r="O216"/>
      <c r="P216"/>
      <c r="Q216"/>
      <c r="R216"/>
      <c r="S216"/>
      <c r="T216"/>
      <c r="U216"/>
      <c r="V216"/>
      <c r="W216"/>
      <c r="X216"/>
      <c r="Y216"/>
      <c r="Z216"/>
    </row>
    <row r="217" spans="1:26" s="1635" customFormat="1" ht="15.75" customHeight="1" outlineLevel="1">
      <c r="A217" s="1631" t="str">
        <f t="shared" si="16"/>
        <v>Astoria 2 (AE-II) Substation355Poles &amp; Fixtures</v>
      </c>
      <c r="B217" s="1632" t="s">
        <v>1460</v>
      </c>
      <c r="C217" s="1633" t="s">
        <v>34</v>
      </c>
      <c r="D217" s="1634" t="s">
        <v>448</v>
      </c>
      <c r="E217" s="1633">
        <v>355</v>
      </c>
      <c r="F217" s="1633" t="s">
        <v>71</v>
      </c>
      <c r="G217" s="1304">
        <v>0</v>
      </c>
      <c r="H217" s="1304">
        <v>0</v>
      </c>
      <c r="I217" s="1304">
        <v>0</v>
      </c>
      <c r="J217" s="1304">
        <v>0</v>
      </c>
      <c r="K217" s="1304">
        <v>0</v>
      </c>
      <c r="L217" s="1304">
        <v>0</v>
      </c>
      <c r="M217" s="1304">
        <v>0</v>
      </c>
      <c r="N217" s="1304">
        <v>0</v>
      </c>
      <c r="O217"/>
      <c r="P217"/>
      <c r="Q217"/>
      <c r="R217"/>
      <c r="S217"/>
      <c r="T217"/>
      <c r="U217"/>
      <c r="V217"/>
      <c r="W217"/>
      <c r="X217"/>
      <c r="Y217"/>
      <c r="Z217"/>
    </row>
    <row r="218" spans="1:26" s="1635" customFormat="1" ht="15.75" customHeight="1" outlineLevel="1">
      <c r="A218" s="1631" t="str">
        <f t="shared" si="16"/>
        <v>Astoria 2 (AE-II) Substation356Overhead Conductors &amp; Devices</v>
      </c>
      <c r="B218" s="1632" t="s">
        <v>1461</v>
      </c>
      <c r="C218" s="1633" t="s">
        <v>34</v>
      </c>
      <c r="D218" s="1634" t="s">
        <v>448</v>
      </c>
      <c r="E218" s="1633">
        <v>356</v>
      </c>
      <c r="F218" s="1633" t="s">
        <v>72</v>
      </c>
      <c r="G218" s="1304">
        <v>0</v>
      </c>
      <c r="H218" s="1304">
        <v>0</v>
      </c>
      <c r="I218" s="1304">
        <v>0</v>
      </c>
      <c r="J218" s="1304">
        <v>0</v>
      </c>
      <c r="K218" s="1304">
        <v>0</v>
      </c>
      <c r="L218" s="1304">
        <v>0</v>
      </c>
      <c r="M218" s="1304">
        <v>0</v>
      </c>
      <c r="N218" s="1304">
        <v>0</v>
      </c>
      <c r="O218"/>
      <c r="P218"/>
      <c r="Q218"/>
      <c r="R218"/>
      <c r="S218"/>
      <c r="T218"/>
      <c r="U218"/>
      <c r="V218"/>
      <c r="W218"/>
      <c r="X218"/>
      <c r="Y218"/>
      <c r="Z218"/>
    </row>
    <row r="219" spans="1:26" s="1635" customFormat="1" ht="15.75" customHeight="1" outlineLevel="1">
      <c r="A219" s="1631" t="str">
        <f t="shared" si="16"/>
        <v>Astoria 2 (AE-II) Substation357Underground Conduit</v>
      </c>
      <c r="B219" s="1632" t="s">
        <v>1462</v>
      </c>
      <c r="C219" s="1633" t="s">
        <v>34</v>
      </c>
      <c r="D219" s="1634" t="s">
        <v>448</v>
      </c>
      <c r="E219" s="1633">
        <v>357</v>
      </c>
      <c r="F219" s="1633" t="s">
        <v>73</v>
      </c>
      <c r="G219" s="1304">
        <v>24644166</v>
      </c>
      <c r="H219" s="1304">
        <v>12938195</v>
      </c>
      <c r="I219" s="1304">
        <v>11705971</v>
      </c>
      <c r="J219" s="1304">
        <v>1232209</v>
      </c>
      <c r="K219" s="1304">
        <v>24644166</v>
      </c>
      <c r="L219" s="1304">
        <v>11705986</v>
      </c>
      <c r="M219" s="1304">
        <v>12938180</v>
      </c>
      <c r="N219" s="1304">
        <v>1232209</v>
      </c>
      <c r="O219"/>
      <c r="P219"/>
      <c r="Q219"/>
      <c r="R219"/>
      <c r="S219"/>
      <c r="T219"/>
      <c r="U219"/>
      <c r="V219"/>
      <c r="W219"/>
      <c r="X219"/>
      <c r="Y219"/>
      <c r="Z219"/>
    </row>
    <row r="220" spans="1:26" s="1635" customFormat="1" ht="15.75" customHeight="1" outlineLevel="1">
      <c r="A220" s="1631" t="str">
        <f t="shared" si="16"/>
        <v>Astoria 2 (AE-II) Substation358Underground Conductors &amp; Devices</v>
      </c>
      <c r="B220" s="1632" t="s">
        <v>1463</v>
      </c>
      <c r="C220" s="1633" t="s">
        <v>34</v>
      </c>
      <c r="D220" s="1634" t="s">
        <v>448</v>
      </c>
      <c r="E220" s="1633">
        <v>358</v>
      </c>
      <c r="F220" s="1633" t="s">
        <v>74</v>
      </c>
      <c r="G220" s="1304">
        <v>0</v>
      </c>
      <c r="H220" s="1304">
        <v>0</v>
      </c>
      <c r="I220" s="1304">
        <v>0</v>
      </c>
      <c r="J220" s="1304">
        <v>0</v>
      </c>
      <c r="K220" s="1304">
        <v>0</v>
      </c>
      <c r="L220" s="1304">
        <v>0</v>
      </c>
      <c r="M220" s="1304">
        <v>0</v>
      </c>
      <c r="N220" s="1304">
        <v>0</v>
      </c>
      <c r="O220"/>
      <c r="P220"/>
      <c r="Q220"/>
      <c r="R220"/>
      <c r="S220"/>
      <c r="T220"/>
      <c r="U220"/>
      <c r="V220"/>
      <c r="W220"/>
      <c r="X220"/>
      <c r="Y220"/>
      <c r="Z220"/>
    </row>
    <row r="221" spans="1:26" s="1635" customFormat="1" ht="15.75" customHeight="1" outlineLevel="1">
      <c r="A221" s="1631" t="str">
        <f t="shared" si="16"/>
        <v>Astoria 2 (AE-II) Substation359Roads &amp; Trails</v>
      </c>
      <c r="B221" s="1632" t="s">
        <v>1464</v>
      </c>
      <c r="C221" s="1633" t="s">
        <v>34</v>
      </c>
      <c r="D221" s="1634" t="s">
        <v>448</v>
      </c>
      <c r="E221" s="1633">
        <v>359</v>
      </c>
      <c r="F221" s="1633" t="s">
        <v>75</v>
      </c>
      <c r="G221" s="1304">
        <v>0</v>
      </c>
      <c r="H221" s="1304">
        <v>0</v>
      </c>
      <c r="I221" s="1304">
        <v>0</v>
      </c>
      <c r="J221" s="1304">
        <v>0</v>
      </c>
      <c r="K221" s="1304">
        <v>0</v>
      </c>
      <c r="L221" s="1304">
        <v>0</v>
      </c>
      <c r="M221" s="1304">
        <v>0</v>
      </c>
      <c r="N221" s="1304">
        <v>0</v>
      </c>
      <c r="O221"/>
      <c r="P221"/>
      <c r="Q221"/>
      <c r="R221"/>
      <c r="S221"/>
      <c r="T221"/>
      <c r="U221"/>
      <c r="V221"/>
      <c r="W221"/>
      <c r="X221"/>
      <c r="Y221"/>
      <c r="Z221"/>
    </row>
    <row r="222" spans="1:26" s="1635" customFormat="1" ht="15.75" customHeight="1" outlineLevel="1">
      <c r="A222" s="1631" t="str">
        <f t="shared" si="16"/>
        <v>BRENTWOOD  (Long Island)353Station Equip - Transmission</v>
      </c>
      <c r="B222" s="1632" t="s">
        <v>1465</v>
      </c>
      <c r="C222" s="1633" t="s">
        <v>34</v>
      </c>
      <c r="D222" s="1634" t="s">
        <v>159</v>
      </c>
      <c r="E222" s="1633">
        <v>353</v>
      </c>
      <c r="F222" s="1633" t="s">
        <v>1839</v>
      </c>
      <c r="G222" s="1304">
        <v>6883705.7699999996</v>
      </c>
      <c r="H222" s="1304">
        <v>5869197</v>
      </c>
      <c r="I222" s="1304">
        <v>1014508.7699999996</v>
      </c>
      <c r="J222" s="1304">
        <v>37305</v>
      </c>
      <c r="K222" s="1304">
        <v>6883705.7699999996</v>
      </c>
      <c r="L222" s="1304">
        <v>5831892</v>
      </c>
      <c r="M222" s="1304">
        <v>1051813.7699999996</v>
      </c>
      <c r="N222" s="1304">
        <v>37305</v>
      </c>
      <c r="O222"/>
      <c r="P222"/>
      <c r="Q222"/>
      <c r="R222"/>
      <c r="S222"/>
      <c r="T222"/>
      <c r="U222"/>
      <c r="V222"/>
      <c r="W222"/>
      <c r="X222"/>
      <c r="Y222"/>
      <c r="Z222"/>
    </row>
    <row r="223" spans="1:26" s="1635" customFormat="1" ht="15.75" customHeight="1" outlineLevel="1">
      <c r="A223" s="1631" t="str">
        <f t="shared" si="16"/>
        <v>Crescent353Station Equip - Transmission</v>
      </c>
      <c r="B223" s="1632" t="s">
        <v>1466</v>
      </c>
      <c r="C223" s="1633" t="s">
        <v>34</v>
      </c>
      <c r="D223" s="1634" t="s">
        <v>154</v>
      </c>
      <c r="E223" s="1633">
        <v>353</v>
      </c>
      <c r="F223" s="1633" t="s">
        <v>1839</v>
      </c>
      <c r="G223" s="1304">
        <v>2395536</v>
      </c>
      <c r="H223" s="1304">
        <v>1222601</v>
      </c>
      <c r="I223" s="1304">
        <v>1172935</v>
      </c>
      <c r="J223" s="1304">
        <v>39926</v>
      </c>
      <c r="K223" s="1304">
        <v>2395536</v>
      </c>
      <c r="L223" s="1304">
        <v>1182675</v>
      </c>
      <c r="M223" s="1304">
        <v>1212861</v>
      </c>
      <c r="N223" s="1304">
        <v>39926</v>
      </c>
      <c r="O223"/>
      <c r="P223"/>
      <c r="Q223"/>
      <c r="R223"/>
      <c r="S223"/>
      <c r="T223"/>
      <c r="U223"/>
      <c r="V223"/>
      <c r="W223"/>
      <c r="X223"/>
      <c r="Y223"/>
      <c r="Z223"/>
    </row>
    <row r="224" spans="1:26" s="1635" customFormat="1" ht="15" customHeight="1" outlineLevel="1">
      <c r="A224" s="1631" t="str">
        <f t="shared" si="16"/>
        <v>FLYNN  (Holtsville)353Station Equip - Transmission</v>
      </c>
      <c r="B224" s="1632" t="s">
        <v>1467</v>
      </c>
      <c r="C224" s="1633" t="s">
        <v>34</v>
      </c>
      <c r="D224" s="1661" t="s">
        <v>155</v>
      </c>
      <c r="E224" s="1633">
        <v>353</v>
      </c>
      <c r="F224" s="1633" t="s">
        <v>1839</v>
      </c>
      <c r="G224" s="1304">
        <v>11982219.839999998</v>
      </c>
      <c r="H224" s="1304">
        <v>5728230.7800000003</v>
      </c>
      <c r="I224" s="1304">
        <v>6253989.0599999977</v>
      </c>
      <c r="J224" s="1304">
        <v>318111</v>
      </c>
      <c r="K224" s="1304">
        <v>11982219.839999998</v>
      </c>
      <c r="L224" s="1304">
        <v>5410119.7800000003</v>
      </c>
      <c r="M224" s="1304">
        <v>6572100.0599999977</v>
      </c>
      <c r="N224" s="1304">
        <v>317733.78000000003</v>
      </c>
      <c r="O224"/>
      <c r="P224"/>
      <c r="Q224"/>
      <c r="R224"/>
      <c r="S224"/>
      <c r="T224"/>
      <c r="U224"/>
      <c r="V224"/>
      <c r="W224"/>
      <c r="X224"/>
      <c r="Y224"/>
      <c r="Z224"/>
    </row>
    <row r="225" spans="1:26" s="1635" customFormat="1" ht="15.75" customHeight="1" outlineLevel="1">
      <c r="A225" s="1631" t="str">
        <f t="shared" si="16"/>
        <v>GOWANUS  (Brooklyn)353Station Equip - Transmission</v>
      </c>
      <c r="B225" s="1632" t="s">
        <v>1468</v>
      </c>
      <c r="C225" s="1633" t="s">
        <v>34</v>
      </c>
      <c r="D225" s="1634" t="s">
        <v>156</v>
      </c>
      <c r="E225" s="1633">
        <v>353</v>
      </c>
      <c r="F225" s="1633" t="s">
        <v>1839</v>
      </c>
      <c r="G225" s="1304">
        <v>28715227.16</v>
      </c>
      <c r="H225" s="1304">
        <v>27580353.329999998</v>
      </c>
      <c r="I225" s="1304">
        <v>1134873.8300000019</v>
      </c>
      <c r="J225" s="1304">
        <v>0</v>
      </c>
      <c r="K225" s="1304">
        <v>28715227.16</v>
      </c>
      <c r="L225" s="1304">
        <v>27580353.329999998</v>
      </c>
      <c r="M225" s="1304">
        <v>1134873.8300000019</v>
      </c>
      <c r="N225" s="1304">
        <v>0</v>
      </c>
      <c r="O225"/>
      <c r="P225"/>
      <c r="Q225"/>
      <c r="R225"/>
      <c r="S225"/>
      <c r="T225"/>
      <c r="U225"/>
      <c r="V225"/>
      <c r="W225"/>
      <c r="X225"/>
      <c r="Y225"/>
      <c r="Z225"/>
    </row>
    <row r="226" spans="1:26" s="1635" customFormat="1" ht="15.75" customHeight="1" outlineLevel="1">
      <c r="A226" s="1631" t="str">
        <f t="shared" si="16"/>
        <v>HARLEM RIVER YARDS  (Bronx)353Station Equip - Transmission</v>
      </c>
      <c r="B226" s="1632" t="s">
        <v>2091</v>
      </c>
      <c r="C226" s="1633" t="s">
        <v>34</v>
      </c>
      <c r="D226" s="1634" t="s">
        <v>157</v>
      </c>
      <c r="E226" s="1633">
        <v>353</v>
      </c>
      <c r="F226" s="1633" t="s">
        <v>1839</v>
      </c>
      <c r="G226" s="1304">
        <v>25080072.09</v>
      </c>
      <c r="H226" s="1304">
        <v>21143390</v>
      </c>
      <c r="I226" s="1304">
        <v>3936682.09</v>
      </c>
      <c r="J226" s="1304">
        <v>487234</v>
      </c>
      <c r="K226" s="1304">
        <v>25080072.09</v>
      </c>
      <c r="L226" s="1304">
        <v>20656156</v>
      </c>
      <c r="M226" s="1304">
        <v>4423916.09</v>
      </c>
      <c r="N226" s="1304">
        <v>487234</v>
      </c>
      <c r="O226"/>
      <c r="P226"/>
      <c r="Q226"/>
      <c r="R226"/>
      <c r="S226"/>
      <c r="T226"/>
      <c r="U226"/>
      <c r="V226"/>
      <c r="W226"/>
      <c r="X226"/>
      <c r="Y226"/>
      <c r="Z226"/>
    </row>
    <row r="227" spans="1:26" s="1635" customFormat="1" ht="15.75" customHeight="1" outlineLevel="1">
      <c r="A227" s="1631" t="str">
        <f t="shared" si="16"/>
        <v>HELLGATE  (Bronx)353Station Equip - Transmission</v>
      </c>
      <c r="B227" s="1632" t="s">
        <v>2092</v>
      </c>
      <c r="C227" s="1633" t="s">
        <v>34</v>
      </c>
      <c r="D227" s="1634" t="s">
        <v>158</v>
      </c>
      <c r="E227" s="1633">
        <v>353</v>
      </c>
      <c r="F227" s="1633" t="s">
        <v>1839</v>
      </c>
      <c r="G227" s="1304">
        <v>25061552.949999999</v>
      </c>
      <c r="H227" s="1304">
        <v>19053195</v>
      </c>
      <c r="I227" s="1304">
        <v>6008357.9499999993</v>
      </c>
      <c r="J227" s="1304">
        <v>684730</v>
      </c>
      <c r="K227" s="1304">
        <v>25061552.949999999</v>
      </c>
      <c r="L227" s="1304">
        <v>18368465</v>
      </c>
      <c r="M227" s="1304">
        <v>6693087.9499999993</v>
      </c>
      <c r="N227" s="1304">
        <v>684730</v>
      </c>
      <c r="O227"/>
      <c r="P227"/>
      <c r="Q227"/>
      <c r="R227"/>
      <c r="S227"/>
      <c r="T227"/>
      <c r="U227"/>
      <c r="V227"/>
      <c r="W227"/>
      <c r="X227"/>
      <c r="Y227"/>
      <c r="Z227"/>
    </row>
    <row r="228" spans="1:26" s="1635" customFormat="1" ht="15.75" customHeight="1" outlineLevel="1">
      <c r="A228" s="1631" t="str">
        <f t="shared" si="16"/>
        <v>Jarvis353Station Equip - Transmission</v>
      </c>
      <c r="B228" s="1632" t="s">
        <v>1469</v>
      </c>
      <c r="C228" s="1633" t="s">
        <v>34</v>
      </c>
      <c r="D228" s="1634" t="s">
        <v>162</v>
      </c>
      <c r="E228" s="1633">
        <v>353</v>
      </c>
      <c r="F228" s="1633" t="s">
        <v>1839</v>
      </c>
      <c r="G228" s="1304">
        <v>4403687.68</v>
      </c>
      <c r="H228" s="1304">
        <v>2200799.6800000002</v>
      </c>
      <c r="I228" s="1304">
        <v>2202887.9999999995</v>
      </c>
      <c r="J228" s="1304">
        <v>74241</v>
      </c>
      <c r="K228" s="1304">
        <v>4403687.68</v>
      </c>
      <c r="L228" s="1304">
        <v>2126558.6800000002</v>
      </c>
      <c r="M228" s="1304">
        <v>2277128.9999999995</v>
      </c>
      <c r="N228" s="1304">
        <v>74240.679999999993</v>
      </c>
      <c r="O228"/>
      <c r="P228"/>
      <c r="Q228"/>
      <c r="R228"/>
      <c r="S228"/>
      <c r="T228"/>
      <c r="U228"/>
      <c r="V228"/>
      <c r="W228"/>
      <c r="X228"/>
      <c r="Y228"/>
      <c r="Z228"/>
    </row>
    <row r="229" spans="1:26" s="1635" customFormat="1" ht="15.75" customHeight="1" outlineLevel="1">
      <c r="A229" s="1631" t="str">
        <f t="shared" si="16"/>
        <v>KENT  (Brooklyn)353Station Equip - Transmission</v>
      </c>
      <c r="B229" s="1632" t="s">
        <v>1470</v>
      </c>
      <c r="C229" s="1633" t="s">
        <v>34</v>
      </c>
      <c r="D229" s="1634" t="s">
        <v>165</v>
      </c>
      <c r="E229" s="1633">
        <v>353</v>
      </c>
      <c r="F229" s="1633" t="s">
        <v>1839</v>
      </c>
      <c r="G229" s="1304">
        <v>10506622.24</v>
      </c>
      <c r="H229" s="1304">
        <v>9799114.2400000002</v>
      </c>
      <c r="I229" s="1304">
        <v>707508</v>
      </c>
      <c r="J229" s="1304">
        <v>4695</v>
      </c>
      <c r="K229" s="1304">
        <v>10506622.24</v>
      </c>
      <c r="L229" s="1304">
        <v>9794419.2400000002</v>
      </c>
      <c r="M229" s="1304">
        <v>712203</v>
      </c>
      <c r="N229" s="1304">
        <v>4010.24</v>
      </c>
      <c r="O229"/>
      <c r="P229"/>
      <c r="Q229"/>
      <c r="R229"/>
      <c r="S229"/>
      <c r="T229"/>
      <c r="U229"/>
      <c r="V229"/>
      <c r="W229"/>
      <c r="X229"/>
      <c r="Y229"/>
      <c r="Z229"/>
    </row>
    <row r="230" spans="1:26" s="1635" customFormat="1" ht="15.75" customHeight="1" outlineLevel="1">
      <c r="A230" s="1631" t="str">
        <f t="shared" si="16"/>
        <v>POLETTI  (Astoria)352Structures &amp; Improvements</v>
      </c>
      <c r="B230" s="1632" t="s">
        <v>2093</v>
      </c>
      <c r="C230" s="1633" t="s">
        <v>34</v>
      </c>
      <c r="D230" s="1634" t="s">
        <v>161</v>
      </c>
      <c r="E230" s="1633">
        <v>352</v>
      </c>
      <c r="F230" s="1633" t="s">
        <v>69</v>
      </c>
      <c r="G230" s="1304">
        <v>69748</v>
      </c>
      <c r="H230" s="1304">
        <v>59684.639999999999</v>
      </c>
      <c r="I230" s="1304">
        <v>10063.36</v>
      </c>
      <c r="J230" s="1304">
        <v>0</v>
      </c>
      <c r="K230" s="1304">
        <v>69748</v>
      </c>
      <c r="L230" s="1304">
        <v>59684.639999999999</v>
      </c>
      <c r="M230" s="1304">
        <v>10063.36</v>
      </c>
      <c r="N230" s="1304">
        <v>0</v>
      </c>
      <c r="O230"/>
      <c r="P230"/>
      <c r="Q230"/>
      <c r="R230"/>
      <c r="S230"/>
      <c r="T230"/>
      <c r="U230"/>
      <c r="V230"/>
      <c r="W230"/>
      <c r="X230"/>
      <c r="Y230"/>
      <c r="Z230"/>
    </row>
    <row r="231" spans="1:26" s="1635" customFormat="1" ht="15.75" customHeight="1" outlineLevel="1">
      <c r="A231" s="1631" t="str">
        <f t="shared" si="16"/>
        <v>POLETTI  (Astoria)353Station Equipment</v>
      </c>
      <c r="B231" s="1632" t="s">
        <v>1471</v>
      </c>
      <c r="C231" s="1633" t="s">
        <v>34</v>
      </c>
      <c r="D231" s="1634" t="s">
        <v>161</v>
      </c>
      <c r="E231" s="1633">
        <v>353</v>
      </c>
      <c r="F231" s="1633" t="s">
        <v>20</v>
      </c>
      <c r="G231" s="1304">
        <v>14716023</v>
      </c>
      <c r="H231" s="1304">
        <v>15378377.59</v>
      </c>
      <c r="I231" s="1304">
        <v>-662354.58999999985</v>
      </c>
      <c r="J231" s="1304">
        <v>0</v>
      </c>
      <c r="K231" s="1304">
        <v>14716023</v>
      </c>
      <c r="L231" s="1304">
        <v>15378377.59</v>
      </c>
      <c r="M231" s="1304">
        <v>-662354.58999999985</v>
      </c>
      <c r="N231" s="1304">
        <v>0</v>
      </c>
      <c r="O231"/>
      <c r="P231"/>
      <c r="Q231"/>
      <c r="R231"/>
      <c r="S231"/>
      <c r="T231"/>
      <c r="U231"/>
      <c r="V231"/>
      <c r="W231"/>
      <c r="X231"/>
      <c r="Y231"/>
      <c r="Z231"/>
    </row>
    <row r="232" spans="1:26" s="1635" customFormat="1" ht="15.75" customHeight="1" outlineLevel="1">
      <c r="A232" s="1631" t="str">
        <f t="shared" si="16"/>
        <v>POLETTI  (Astoria)357Underground Conduit</v>
      </c>
      <c r="B232" s="1632" t="s">
        <v>1472</v>
      </c>
      <c r="C232" s="1633" t="s">
        <v>34</v>
      </c>
      <c r="D232" s="1634" t="s">
        <v>161</v>
      </c>
      <c r="E232" s="1633">
        <v>357</v>
      </c>
      <c r="F232" s="1633" t="s">
        <v>73</v>
      </c>
      <c r="G232" s="1304">
        <v>16192845</v>
      </c>
      <c r="H232" s="1304">
        <v>16524976.029999999</v>
      </c>
      <c r="I232" s="1304">
        <v>-332131.02999999933</v>
      </c>
      <c r="J232" s="1304">
        <v>0</v>
      </c>
      <c r="K232" s="1304">
        <v>16192845</v>
      </c>
      <c r="L232" s="1304">
        <v>16524976.029999999</v>
      </c>
      <c r="M232" s="1304">
        <v>-332131.02999999933</v>
      </c>
      <c r="N232" s="1304">
        <v>0</v>
      </c>
      <c r="O232"/>
      <c r="P232"/>
      <c r="Q232"/>
      <c r="R232"/>
      <c r="S232"/>
      <c r="T232"/>
      <c r="U232"/>
      <c r="V232"/>
      <c r="W232"/>
      <c r="X232"/>
      <c r="Y232"/>
      <c r="Z232"/>
    </row>
    <row r="233" spans="1:26" s="1635" customFormat="1" ht="15.75" customHeight="1" outlineLevel="1">
      <c r="A233" s="1631" t="str">
        <f t="shared" si="16"/>
        <v>POLETTI  (Astoria)358Underground Conductors &amp; Devices</v>
      </c>
      <c r="B233" s="1632" t="s">
        <v>1473</v>
      </c>
      <c r="C233" s="1633" t="s">
        <v>34</v>
      </c>
      <c r="D233" s="1634" t="s">
        <v>161</v>
      </c>
      <c r="E233" s="1633">
        <v>358</v>
      </c>
      <c r="F233" s="1633" t="s">
        <v>74</v>
      </c>
      <c r="G233" s="1304">
        <v>14726135</v>
      </c>
      <c r="H233" s="1304">
        <v>14454224.74</v>
      </c>
      <c r="I233" s="1304">
        <v>271910.25999999978</v>
      </c>
      <c r="J233" s="1304">
        <v>30451</v>
      </c>
      <c r="K233" s="1304">
        <v>14726135</v>
      </c>
      <c r="L233" s="1304">
        <v>14423773.74</v>
      </c>
      <c r="M233" s="1304">
        <v>302361.25999999978</v>
      </c>
      <c r="N233" s="1304">
        <v>30451</v>
      </c>
      <c r="O233"/>
      <c r="P233"/>
      <c r="Q233"/>
      <c r="R233"/>
      <c r="S233"/>
      <c r="T233"/>
      <c r="U233"/>
      <c r="V233"/>
      <c r="W233"/>
      <c r="X233"/>
      <c r="Y233"/>
      <c r="Z233"/>
    </row>
    <row r="234" spans="1:26" s="1635" customFormat="1" ht="15.75" customHeight="1" outlineLevel="1">
      <c r="A234" s="1631" t="str">
        <f t="shared" si="16"/>
        <v>POUCH TERMINAL  (Richmond)353Station Equip - Transmission</v>
      </c>
      <c r="B234" s="1632" t="s">
        <v>1474</v>
      </c>
      <c r="C234" s="1633" t="s">
        <v>34</v>
      </c>
      <c r="D234" s="1634" t="s">
        <v>166</v>
      </c>
      <c r="E234" s="1633">
        <v>353</v>
      </c>
      <c r="F234" s="1633" t="s">
        <v>1839</v>
      </c>
      <c r="G234" s="1304">
        <v>11520027</v>
      </c>
      <c r="H234" s="1304">
        <v>10468678.050000001</v>
      </c>
      <c r="I234" s="1304">
        <v>1051348.9499999993</v>
      </c>
      <c r="J234" s="1304">
        <v>0</v>
      </c>
      <c r="K234" s="1304">
        <v>11520027</v>
      </c>
      <c r="L234" s="1304">
        <v>10468678.050000001</v>
      </c>
      <c r="M234" s="1304">
        <v>1051348.9499999993</v>
      </c>
      <c r="N234" s="1304">
        <v>0</v>
      </c>
      <c r="O234"/>
      <c r="P234"/>
      <c r="Q234"/>
      <c r="R234"/>
      <c r="S234"/>
      <c r="T234"/>
      <c r="U234"/>
      <c r="V234"/>
      <c r="W234"/>
      <c r="X234"/>
      <c r="Y234"/>
      <c r="Z234"/>
    </row>
    <row r="235" spans="1:26" s="1635" customFormat="1" ht="15.75" customHeight="1" outlineLevel="1">
      <c r="A235" s="1631" t="str">
        <f t="shared" si="16"/>
        <v>VERNON BOULEVARD  (Queens)353Station Equip - Transmission</v>
      </c>
      <c r="B235" s="1632" t="s">
        <v>1475</v>
      </c>
      <c r="C235" s="1633" t="s">
        <v>34</v>
      </c>
      <c r="D235" s="1634" t="s">
        <v>167</v>
      </c>
      <c r="E235" s="1633">
        <v>353</v>
      </c>
      <c r="F235" s="1633" t="s">
        <v>1839</v>
      </c>
      <c r="G235" s="1304">
        <v>16526683</v>
      </c>
      <c r="H235" s="1304">
        <v>6635442.8499999996</v>
      </c>
      <c r="I235" s="1304">
        <v>9891240.1500000004</v>
      </c>
      <c r="J235" s="1304">
        <v>0</v>
      </c>
      <c r="K235" s="1304">
        <v>16526683</v>
      </c>
      <c r="L235" s="1304">
        <v>6635442.8499999996</v>
      </c>
      <c r="M235" s="1304">
        <v>9891240.1500000004</v>
      </c>
      <c r="N235" s="1304">
        <v>0</v>
      </c>
      <c r="O235"/>
      <c r="P235"/>
      <c r="Q235"/>
      <c r="R235"/>
      <c r="S235"/>
      <c r="T235"/>
      <c r="U235"/>
      <c r="V235"/>
      <c r="W235"/>
      <c r="X235"/>
      <c r="Y235"/>
      <c r="Z235"/>
    </row>
    <row r="236" spans="1:26" s="1635" customFormat="1" ht="15.75" customHeight="1" outlineLevel="1">
      <c r="A236" s="1631" t="str">
        <f t="shared" si="16"/>
        <v>Vischer Ferry353Station Equip - Transmission</v>
      </c>
      <c r="B236" s="1632" t="s">
        <v>1476</v>
      </c>
      <c r="C236" s="1633" t="s">
        <v>34</v>
      </c>
      <c r="D236" s="1634" t="s">
        <v>164</v>
      </c>
      <c r="E236" s="1633">
        <v>353</v>
      </c>
      <c r="F236" s="1633" t="s">
        <v>1839</v>
      </c>
      <c r="G236" s="1304">
        <v>663158</v>
      </c>
      <c r="H236" s="1304">
        <v>338460</v>
      </c>
      <c r="I236" s="1304">
        <v>324698</v>
      </c>
      <c r="J236" s="1304">
        <v>11053</v>
      </c>
      <c r="K236" s="1304">
        <v>663158</v>
      </c>
      <c r="L236" s="1304">
        <v>327407</v>
      </c>
      <c r="M236" s="1304">
        <v>335751</v>
      </c>
      <c r="N236" s="1304">
        <v>11053</v>
      </c>
      <c r="O236"/>
      <c r="P236"/>
      <c r="Q236"/>
      <c r="R236"/>
      <c r="S236"/>
      <c r="T236"/>
      <c r="U236"/>
      <c r="V236"/>
      <c r="W236"/>
      <c r="X236"/>
      <c r="Y236"/>
      <c r="Z236"/>
    </row>
    <row r="237" spans="1:26" s="1635" customFormat="1" ht="15.75" customHeight="1" outlineLevel="1">
      <c r="A237" s="1631" t="str">
        <f t="shared" si="16"/>
        <v>Asset ImpairmentImpairment (Trans)</v>
      </c>
      <c r="B237" s="1632" t="s">
        <v>1477</v>
      </c>
      <c r="C237" s="1633" t="s">
        <v>34</v>
      </c>
      <c r="D237" s="1656" t="s">
        <v>1912</v>
      </c>
      <c r="E237" s="1657"/>
      <c r="F237" s="1658" t="s">
        <v>1913</v>
      </c>
      <c r="G237" s="1304">
        <v>-30000000</v>
      </c>
      <c r="H237" s="1304">
        <v>0</v>
      </c>
      <c r="I237" s="1304">
        <v>-30000000</v>
      </c>
      <c r="J237" s="1304">
        <v>0</v>
      </c>
      <c r="K237" s="1304">
        <v>-30000000</v>
      </c>
      <c r="L237" s="1304">
        <v>0</v>
      </c>
      <c r="M237" s="1304">
        <v>-30000000</v>
      </c>
      <c r="N237" s="1304">
        <v>0</v>
      </c>
      <c r="O237"/>
      <c r="P237"/>
      <c r="Q237"/>
      <c r="R237"/>
      <c r="S237"/>
      <c r="T237"/>
      <c r="U237"/>
      <c r="V237"/>
      <c r="W237"/>
      <c r="X237"/>
      <c r="Y237"/>
      <c r="Z237"/>
    </row>
    <row r="238" spans="1:26" s="1635" customFormat="1" ht="31.2" outlineLevel="1">
      <c r="A238" s="1631" t="str">
        <f>CONCATENATE(D238,E238,F238)</f>
        <v>Reclassification to deferred liabilityCost of Removal Deprec to Reg Assets (Trans)</v>
      </c>
      <c r="B238" s="1632" t="s">
        <v>1478</v>
      </c>
      <c r="C238" s="1633" t="s">
        <v>34</v>
      </c>
      <c r="D238" s="1656" t="s">
        <v>1914</v>
      </c>
      <c r="E238" s="1657"/>
      <c r="F238" s="1662" t="s">
        <v>1915</v>
      </c>
      <c r="G238" s="1304">
        <v>0</v>
      </c>
      <c r="H238" s="1304">
        <v>-143886520</v>
      </c>
      <c r="I238" s="1304">
        <v>143886520</v>
      </c>
      <c r="J238" s="1304">
        <v>0</v>
      </c>
      <c r="K238" s="1304">
        <v>0</v>
      </c>
      <c r="L238" s="1304">
        <v>-135513688.06</v>
      </c>
      <c r="M238" s="1304">
        <v>135513688.06</v>
      </c>
      <c r="N238" s="1304">
        <v>0</v>
      </c>
      <c r="O238"/>
      <c r="P238"/>
      <c r="Q238"/>
      <c r="R238"/>
      <c r="S238"/>
      <c r="T238"/>
      <c r="U238"/>
      <c r="V238"/>
      <c r="W238"/>
      <c r="X238"/>
      <c r="Y238"/>
      <c r="Z238"/>
    </row>
    <row r="239" spans="1:26" s="1635" customFormat="1" ht="15.75" customHeight="1" outlineLevel="1">
      <c r="A239" s="1631" t="str">
        <f t="shared" ref="A239:A240" si="17">CONCATENATE(D239,E239,F239)</f>
        <v/>
      </c>
      <c r="B239" s="1632" t="s">
        <v>541</v>
      </c>
      <c r="C239" s="1636"/>
      <c r="D239" s="1636"/>
      <c r="E239" s="1304"/>
      <c r="F239" s="1636"/>
      <c r="G239" s="1304"/>
      <c r="H239" s="1304"/>
      <c r="I239" s="1304"/>
      <c r="J239" s="1304"/>
      <c r="K239" s="1304"/>
      <c r="L239" s="1304"/>
      <c r="M239" s="1304"/>
      <c r="N239" s="1304"/>
      <c r="O239"/>
      <c r="P239"/>
      <c r="Q239"/>
      <c r="R239"/>
      <c r="S239"/>
      <c r="T239"/>
      <c r="U239"/>
      <c r="V239"/>
      <c r="W239"/>
      <c r="X239"/>
      <c r="Y239"/>
      <c r="Z239"/>
    </row>
    <row r="240" spans="1:26" s="1635" customFormat="1" ht="15.75" customHeight="1" outlineLevel="1" thickBot="1">
      <c r="A240" s="1631" t="str">
        <f t="shared" si="17"/>
        <v/>
      </c>
      <c r="B240" s="1632" t="s">
        <v>541</v>
      </c>
      <c r="C240" s="1636"/>
      <c r="D240" s="1636"/>
      <c r="E240" s="1304"/>
      <c r="F240" s="1636"/>
      <c r="G240" s="1304"/>
      <c r="H240" s="1304"/>
      <c r="I240" s="1304"/>
      <c r="J240" s="1304"/>
      <c r="K240" s="1304"/>
      <c r="L240" s="1304"/>
      <c r="M240" s="1304"/>
      <c r="N240" s="1304"/>
      <c r="O240"/>
      <c r="P240"/>
      <c r="Q240"/>
      <c r="R240"/>
      <c r="S240"/>
      <c r="T240"/>
      <c r="U240"/>
      <c r="V240"/>
      <c r="W240"/>
      <c r="X240"/>
      <c r="Y240"/>
      <c r="Z240"/>
    </row>
    <row r="241" spans="1:26" s="1640" customFormat="1" ht="16.5" customHeight="1" thickBot="1">
      <c r="A241" s="1631" t="str">
        <f t="shared" ref="A241:A276" si="18">CONCATENATE(D241,E241,F241)</f>
        <v>Transmission Total</v>
      </c>
      <c r="B241" s="1637">
        <v>11</v>
      </c>
      <c r="C241" s="1638"/>
      <c r="D241" s="1638"/>
      <c r="E241" s="1638"/>
      <c r="F241" s="1651" t="s">
        <v>613</v>
      </c>
      <c r="G241" s="773">
        <f t="shared" ref="G241:J241" si="19">SUBTOTAL(9,G169:G240)</f>
        <v>2913039763.0599995</v>
      </c>
      <c r="H241" s="773">
        <f t="shared" si="19"/>
        <v>1405100686.1100001</v>
      </c>
      <c r="I241" s="773">
        <f t="shared" si="19"/>
        <v>1507939076.95</v>
      </c>
      <c r="J241" s="773">
        <f t="shared" si="19"/>
        <v>50522989.669999994</v>
      </c>
      <c r="K241" s="773">
        <f t="shared" ref="K241:N241" si="20">SUBTOTAL(9,K169:K240)</f>
        <v>2549994088.5799994</v>
      </c>
      <c r="L241" s="773">
        <f t="shared" si="20"/>
        <v>1369159103.6099999</v>
      </c>
      <c r="M241" s="773">
        <f t="shared" si="20"/>
        <v>1180834984.97</v>
      </c>
      <c r="N241" s="773">
        <f t="shared" si="20"/>
        <v>48837712.690000005</v>
      </c>
      <c r="O241"/>
      <c r="P241"/>
      <c r="Q241"/>
      <c r="R241"/>
      <c r="S241"/>
      <c r="T241"/>
      <c r="U241"/>
      <c r="V241"/>
      <c r="W241"/>
      <c r="X241"/>
      <c r="Y241"/>
      <c r="Z241"/>
    </row>
    <row r="242" spans="1:26" s="1635" customFormat="1" ht="15.75" customHeight="1" outlineLevel="1">
      <c r="A242" s="1631" t="str">
        <f t="shared" si="18"/>
        <v/>
      </c>
      <c r="B242" s="1632"/>
      <c r="C242" s="1641"/>
      <c r="D242" s="1641"/>
      <c r="E242" s="1641"/>
      <c r="F242" s="1652"/>
      <c r="G242" s="778"/>
      <c r="H242" s="774"/>
      <c r="I242" s="774"/>
      <c r="J242" s="774"/>
      <c r="K242" s="778"/>
      <c r="L242" s="774"/>
      <c r="M242" s="774"/>
      <c r="N242" s="774"/>
      <c r="O242"/>
      <c r="P242"/>
      <c r="Q242"/>
      <c r="R242"/>
      <c r="S242"/>
      <c r="T242"/>
      <c r="U242"/>
      <c r="V242"/>
      <c r="W242"/>
      <c r="X242"/>
      <c r="Y242"/>
      <c r="Z242"/>
    </row>
    <row r="243" spans="1:26" s="1635" customFormat="1" ht="15.75" customHeight="1" outlineLevel="1">
      <c r="A243" s="1631" t="str">
        <f t="shared" si="18"/>
        <v/>
      </c>
      <c r="B243" s="1632"/>
      <c r="C243" s="1641"/>
      <c r="D243" s="1655"/>
      <c r="E243" s="1641"/>
      <c r="F243" s="1663"/>
      <c r="G243" s="774"/>
      <c r="H243" s="774"/>
      <c r="I243" s="774"/>
      <c r="J243" s="774"/>
      <c r="K243" s="774"/>
      <c r="L243" s="774"/>
      <c r="M243" s="774"/>
      <c r="N243" s="774"/>
      <c r="O243"/>
      <c r="P243"/>
      <c r="Q243"/>
      <c r="R243"/>
      <c r="S243"/>
      <c r="T243"/>
      <c r="U243"/>
      <c r="V243"/>
      <c r="W243"/>
      <c r="X243"/>
      <c r="Y243"/>
      <c r="Z243"/>
    </row>
    <row r="244" spans="1:26" s="1640" customFormat="1" ht="16.5" customHeight="1" outlineLevel="1" thickBot="1">
      <c r="A244" s="1631" t="str">
        <f t="shared" si="18"/>
        <v>General</v>
      </c>
      <c r="B244" s="1644">
        <v>12</v>
      </c>
      <c r="C244" s="1645"/>
      <c r="D244" s="1646"/>
      <c r="E244" s="1645"/>
      <c r="F244" s="1647" t="s">
        <v>107</v>
      </c>
      <c r="G244" s="775"/>
      <c r="H244" s="775"/>
      <c r="I244" s="775"/>
      <c r="J244" s="775"/>
      <c r="K244" s="775"/>
      <c r="L244" s="775"/>
      <c r="M244" s="775"/>
      <c r="N244" s="775"/>
      <c r="O244"/>
      <c r="P244"/>
      <c r="Q244"/>
      <c r="R244"/>
      <c r="S244"/>
      <c r="T244"/>
      <c r="U244"/>
      <c r="V244"/>
      <c r="W244"/>
      <c r="X244"/>
      <c r="Y244"/>
      <c r="Z244"/>
    </row>
    <row r="245" spans="1:26" s="1635" customFormat="1" ht="15.75" customHeight="1" outlineLevel="1">
      <c r="A245" s="1631" t="str">
        <f t="shared" si="18"/>
        <v>BLENHEIM - GILBOA390Structures &amp; Improvements</v>
      </c>
      <c r="B245" s="1632" t="s">
        <v>1479</v>
      </c>
      <c r="C245" s="1633" t="s">
        <v>107</v>
      </c>
      <c r="D245" s="1634" t="s">
        <v>1889</v>
      </c>
      <c r="E245" s="1633">
        <v>390</v>
      </c>
      <c r="F245" s="1633" t="s">
        <v>69</v>
      </c>
      <c r="G245" s="1304">
        <v>41060864.799999997</v>
      </c>
      <c r="H245" s="1304">
        <v>10196909.48</v>
      </c>
      <c r="I245" s="1304">
        <v>30863955.319999997</v>
      </c>
      <c r="J245" s="1304">
        <v>653442.56000000006</v>
      </c>
      <c r="K245" s="1304">
        <v>40601495.239999995</v>
      </c>
      <c r="L245" s="1304">
        <v>9543466.9199999999</v>
      </c>
      <c r="M245" s="1304">
        <v>31058028.319999993</v>
      </c>
      <c r="N245" s="1304">
        <v>632885.18999999994</v>
      </c>
      <c r="O245"/>
      <c r="P245"/>
      <c r="Q245"/>
      <c r="R245"/>
      <c r="S245"/>
      <c r="T245"/>
      <c r="U245"/>
      <c r="V245"/>
      <c r="W245"/>
      <c r="X245"/>
      <c r="Y245"/>
      <c r="Z245"/>
    </row>
    <row r="246" spans="1:26" s="1635" customFormat="1" ht="15.75" customHeight="1" outlineLevel="1">
      <c r="A246" s="1631" t="str">
        <f t="shared" si="18"/>
        <v>BLENHEIM - GILBOA391Office Furniture &amp; Equipment</v>
      </c>
      <c r="B246" s="1632" t="s">
        <v>1480</v>
      </c>
      <c r="C246" s="1633" t="s">
        <v>107</v>
      </c>
      <c r="D246" s="1634" t="s">
        <v>1889</v>
      </c>
      <c r="E246" s="1633">
        <v>391</v>
      </c>
      <c r="F246" s="1633" t="s">
        <v>76</v>
      </c>
      <c r="G246" s="1304">
        <v>29827.920000000158</v>
      </c>
      <c r="H246" s="1304">
        <v>-3140.3199999998324</v>
      </c>
      <c r="I246" s="1304">
        <v>32968.239999999991</v>
      </c>
      <c r="J246" s="1304">
        <v>2407</v>
      </c>
      <c r="K246" s="1304">
        <v>29827.920000000158</v>
      </c>
      <c r="L246" s="1304">
        <v>-5547.3199999998324</v>
      </c>
      <c r="M246" s="1304">
        <v>35375.239999999991</v>
      </c>
      <c r="N246" s="1304">
        <v>2407</v>
      </c>
      <c r="O246"/>
      <c r="P246"/>
      <c r="Q246"/>
      <c r="R246"/>
      <c r="S246"/>
      <c r="T246"/>
      <c r="U246"/>
      <c r="V246"/>
      <c r="W246"/>
      <c r="X246"/>
      <c r="Y246"/>
      <c r="Z246"/>
    </row>
    <row r="247" spans="1:26" s="1635" customFormat="1" ht="15.75" customHeight="1" outlineLevel="1">
      <c r="A247" s="1631" t="str">
        <f t="shared" si="18"/>
        <v>BLENHEIM - GILBOA391.2Computer Equipment 5 yr</v>
      </c>
      <c r="B247" s="1632" t="s">
        <v>1481</v>
      </c>
      <c r="C247" s="1633" t="s">
        <v>107</v>
      </c>
      <c r="D247" s="1634" t="s">
        <v>1889</v>
      </c>
      <c r="E247" s="1633">
        <v>391.2</v>
      </c>
      <c r="F247" s="1633" t="s">
        <v>1815</v>
      </c>
      <c r="G247" s="1304">
        <v>33378.300000000017</v>
      </c>
      <c r="H247" s="1304">
        <v>29338.299999999988</v>
      </c>
      <c r="I247" s="1304">
        <v>4040.0000000000291</v>
      </c>
      <c r="J247" s="1304">
        <v>10394</v>
      </c>
      <c r="K247" s="1304">
        <v>82984.300000000017</v>
      </c>
      <c r="L247" s="1304">
        <v>68550.299999999988</v>
      </c>
      <c r="M247" s="1304">
        <v>14434.000000000029</v>
      </c>
      <c r="N247" s="1304">
        <v>16724</v>
      </c>
      <c r="O247"/>
      <c r="P247"/>
      <c r="Q247"/>
      <c r="R247"/>
      <c r="S247"/>
      <c r="T247"/>
      <c r="U247"/>
      <c r="V247"/>
      <c r="W247"/>
      <c r="X247"/>
      <c r="Y247"/>
      <c r="Z247"/>
    </row>
    <row r="248" spans="1:26" s="1635" customFormat="1" ht="15.75" customHeight="1" outlineLevel="1">
      <c r="A248" s="1631" t="str">
        <f t="shared" si="18"/>
        <v>BLENHEIM - GILBOA392Transportation Equipment</v>
      </c>
      <c r="B248" s="1632" t="s">
        <v>2011</v>
      </c>
      <c r="C248" s="1633" t="s">
        <v>107</v>
      </c>
      <c r="D248" s="1634" t="s">
        <v>1889</v>
      </c>
      <c r="E248" s="1633">
        <v>392</v>
      </c>
      <c r="F248" s="1633" t="s">
        <v>77</v>
      </c>
      <c r="G248" s="1304">
        <v>6365523.8599999985</v>
      </c>
      <c r="H248" s="1304">
        <v>4445765.419999999</v>
      </c>
      <c r="I248" s="1304">
        <v>1919758.4399999995</v>
      </c>
      <c r="J248" s="1304">
        <v>526894.31000000006</v>
      </c>
      <c r="K248" s="1304">
        <v>6198504.6099999994</v>
      </c>
      <c r="L248" s="1304">
        <v>4006325.1699999995</v>
      </c>
      <c r="M248" s="1304">
        <v>2192179.44</v>
      </c>
      <c r="N248" s="1304">
        <v>519437.03</v>
      </c>
      <c r="O248"/>
      <c r="P248"/>
      <c r="Q248"/>
      <c r="R248"/>
      <c r="S248"/>
      <c r="T248"/>
      <c r="U248"/>
      <c r="V248"/>
      <c r="W248"/>
      <c r="X248"/>
      <c r="Y248"/>
      <c r="Z248"/>
    </row>
    <row r="249" spans="1:26" s="1635" customFormat="1" ht="15.75" customHeight="1" outlineLevel="1">
      <c r="A249" s="1631" t="str">
        <f t="shared" si="18"/>
        <v>BLENHEIM - GILBOA393Stores Equipment</v>
      </c>
      <c r="B249" s="1632" t="s">
        <v>1482</v>
      </c>
      <c r="C249" s="1633" t="s">
        <v>107</v>
      </c>
      <c r="D249" s="1634" t="s">
        <v>1889</v>
      </c>
      <c r="E249" s="1633">
        <v>393</v>
      </c>
      <c r="F249" s="1633" t="s">
        <v>78</v>
      </c>
      <c r="G249" s="1304">
        <v>511332.30000000005</v>
      </c>
      <c r="H249" s="1304">
        <v>376248.47</v>
      </c>
      <c r="I249" s="1304">
        <v>135083.83000000007</v>
      </c>
      <c r="J249" s="1304">
        <v>16348</v>
      </c>
      <c r="K249" s="1304">
        <v>511332.30000000005</v>
      </c>
      <c r="L249" s="1304">
        <v>359900.47</v>
      </c>
      <c r="M249" s="1304">
        <v>151431.83000000007</v>
      </c>
      <c r="N249" s="1304">
        <v>16350</v>
      </c>
      <c r="O249"/>
      <c r="P249"/>
      <c r="Q249"/>
      <c r="R249"/>
      <c r="S249"/>
      <c r="T249"/>
      <c r="U249"/>
      <c r="V249"/>
      <c r="W249"/>
      <c r="X249"/>
      <c r="Y249"/>
      <c r="Z249"/>
    </row>
    <row r="250" spans="1:26" s="1635" customFormat="1" ht="15.75" customHeight="1" outlineLevel="1">
      <c r="A250" s="1631" t="str">
        <f t="shared" si="18"/>
        <v>BLENHEIM - GILBOA394Tools, Shop &amp; Garage Equipment</v>
      </c>
      <c r="B250" s="1632" t="s">
        <v>1483</v>
      </c>
      <c r="C250" s="1633" t="s">
        <v>107</v>
      </c>
      <c r="D250" s="1634" t="s">
        <v>1889</v>
      </c>
      <c r="E250" s="1633">
        <v>394</v>
      </c>
      <c r="F250" s="1633" t="s">
        <v>79</v>
      </c>
      <c r="G250" s="1304">
        <v>1877648.4500000002</v>
      </c>
      <c r="H250" s="1304">
        <v>753237.2100000002</v>
      </c>
      <c r="I250" s="1304">
        <v>1124411.24</v>
      </c>
      <c r="J250" s="1304">
        <v>89290.69</v>
      </c>
      <c r="K250" s="1304">
        <v>1818774.7600000002</v>
      </c>
      <c r="L250" s="1304">
        <v>663946.52000000014</v>
      </c>
      <c r="M250" s="1304">
        <v>1154828.2400000002</v>
      </c>
      <c r="N250" s="1304">
        <v>85006.13</v>
      </c>
      <c r="O250"/>
      <c r="P250"/>
      <c r="Q250"/>
      <c r="R250"/>
      <c r="S250"/>
      <c r="T250"/>
      <c r="U250"/>
      <c r="V250"/>
      <c r="W250"/>
      <c r="X250"/>
      <c r="Y250"/>
      <c r="Z250"/>
    </row>
    <row r="251" spans="1:26" s="1635" customFormat="1" ht="15.75" customHeight="1" outlineLevel="1">
      <c r="A251" s="1631" t="str">
        <f t="shared" si="18"/>
        <v>BLENHEIM - GILBOA395Laboratory Equipment</v>
      </c>
      <c r="B251" s="1632" t="s">
        <v>1484</v>
      </c>
      <c r="C251" s="1633" t="s">
        <v>107</v>
      </c>
      <c r="D251" s="1634" t="s">
        <v>1889</v>
      </c>
      <c r="E251" s="1633">
        <v>395</v>
      </c>
      <c r="F251" s="1633" t="s">
        <v>80</v>
      </c>
      <c r="G251" s="1304">
        <v>689891.96000000008</v>
      </c>
      <c r="H251" s="1304">
        <v>274290.73999999993</v>
      </c>
      <c r="I251" s="1304">
        <v>415601.22000000015</v>
      </c>
      <c r="J251" s="1304">
        <v>35527</v>
      </c>
      <c r="K251" s="1304">
        <v>682301.96000000008</v>
      </c>
      <c r="L251" s="1304">
        <v>238763.73999999993</v>
      </c>
      <c r="M251" s="1304">
        <v>443538.22000000015</v>
      </c>
      <c r="N251" s="1304">
        <v>35329.360000000001</v>
      </c>
      <c r="O251"/>
      <c r="P251"/>
      <c r="Q251"/>
      <c r="R251"/>
      <c r="S251"/>
      <c r="T251"/>
      <c r="U251"/>
      <c r="V251"/>
      <c r="W251"/>
      <c r="X251"/>
      <c r="Y251"/>
      <c r="Z251"/>
    </row>
    <row r="252" spans="1:26" s="1635" customFormat="1" ht="15.75" customHeight="1" outlineLevel="1">
      <c r="A252" s="1631" t="str">
        <f t="shared" si="18"/>
        <v>BLENHEIM - GILBOA396Power Operated Equipment</v>
      </c>
      <c r="B252" s="1632" t="s">
        <v>1485</v>
      </c>
      <c r="C252" s="1633" t="s">
        <v>107</v>
      </c>
      <c r="D252" s="1634" t="s">
        <v>1889</v>
      </c>
      <c r="E252" s="1633">
        <v>396</v>
      </c>
      <c r="F252" s="1633" t="s">
        <v>81</v>
      </c>
      <c r="G252" s="1304">
        <v>2763842.6599999992</v>
      </c>
      <c r="H252" s="1304">
        <v>2791684.66</v>
      </c>
      <c r="I252" s="1304">
        <v>-27842.000000000931</v>
      </c>
      <c r="J252" s="1304">
        <v>69352</v>
      </c>
      <c r="K252" s="1304">
        <v>2763842.6599999992</v>
      </c>
      <c r="L252" s="1304">
        <v>2722332.66</v>
      </c>
      <c r="M252" s="1304">
        <v>41509.999999999069</v>
      </c>
      <c r="N252" s="1304">
        <v>243342</v>
      </c>
      <c r="O252"/>
      <c r="P252"/>
      <c r="Q252"/>
      <c r="R252"/>
      <c r="S252"/>
      <c r="T252"/>
      <c r="U252"/>
      <c r="V252"/>
      <c r="W252"/>
      <c r="X252"/>
      <c r="Y252"/>
      <c r="Z252"/>
    </row>
    <row r="253" spans="1:26" s="1635" customFormat="1" ht="15.75" customHeight="1" outlineLevel="1">
      <c r="A253" s="1631" t="str">
        <f t="shared" si="18"/>
        <v>BLENHEIM - GILBOA397Communication Equipment</v>
      </c>
      <c r="B253" s="1632" t="s">
        <v>1486</v>
      </c>
      <c r="C253" s="1633" t="s">
        <v>107</v>
      </c>
      <c r="D253" s="1634" t="s">
        <v>1889</v>
      </c>
      <c r="E253" s="1633">
        <v>397</v>
      </c>
      <c r="F253" s="1633" t="s">
        <v>82</v>
      </c>
      <c r="G253" s="1304">
        <v>803422.14999999991</v>
      </c>
      <c r="H253" s="1304">
        <v>212230.57999999984</v>
      </c>
      <c r="I253" s="1304">
        <v>591191.57000000007</v>
      </c>
      <c r="J253" s="1304">
        <v>53563</v>
      </c>
      <c r="K253" s="1304">
        <v>803422.14999999991</v>
      </c>
      <c r="L253" s="1304">
        <v>158667.57999999984</v>
      </c>
      <c r="M253" s="1304">
        <v>644754.57000000007</v>
      </c>
      <c r="N253" s="1304">
        <v>53563</v>
      </c>
      <c r="O253"/>
      <c r="P253"/>
      <c r="Q253"/>
      <c r="R253"/>
      <c r="S253"/>
      <c r="T253"/>
      <c r="U253"/>
      <c r="V253"/>
      <c r="W253"/>
      <c r="X253"/>
      <c r="Y253"/>
      <c r="Z253"/>
    </row>
    <row r="254" spans="1:26" s="1635" customFormat="1" ht="15.75" customHeight="1" outlineLevel="1">
      <c r="A254" s="1631" t="str">
        <f t="shared" si="18"/>
        <v>BLENHEIM - GILBOA398Miscellaneous Equipment</v>
      </c>
      <c r="B254" s="1632" t="s">
        <v>1487</v>
      </c>
      <c r="C254" s="1633" t="s">
        <v>107</v>
      </c>
      <c r="D254" s="1634" t="s">
        <v>1889</v>
      </c>
      <c r="E254" s="1633">
        <v>398</v>
      </c>
      <c r="F254" s="1633" t="s">
        <v>83</v>
      </c>
      <c r="G254" s="1304">
        <v>40281622.379999995</v>
      </c>
      <c r="H254" s="1304">
        <v>4050599.7800000003</v>
      </c>
      <c r="I254" s="1304">
        <v>36231022.599999994</v>
      </c>
      <c r="J254" s="1304">
        <v>957974.5</v>
      </c>
      <c r="K254" s="1304">
        <v>36927498.879999995</v>
      </c>
      <c r="L254" s="1304">
        <v>3092625.2800000003</v>
      </c>
      <c r="M254" s="1304">
        <v>33834873.599999994</v>
      </c>
      <c r="N254" s="1304">
        <v>878703.48</v>
      </c>
      <c r="O254"/>
      <c r="P254"/>
      <c r="Q254"/>
      <c r="R254"/>
      <c r="S254"/>
      <c r="T254"/>
      <c r="U254"/>
      <c r="V254"/>
      <c r="W254"/>
      <c r="X254"/>
      <c r="Y254"/>
      <c r="Z254"/>
    </row>
    <row r="255" spans="1:26" s="1635" customFormat="1" ht="15.75" customHeight="1" outlineLevel="1">
      <c r="A255" s="1631" t="str">
        <f t="shared" si="18"/>
        <v>HEADQUARTERS390Structures &amp; Improvements</v>
      </c>
      <c r="B255" s="1632" t="s">
        <v>1488</v>
      </c>
      <c r="C255" s="1633" t="s">
        <v>107</v>
      </c>
      <c r="D255" s="1634" t="s">
        <v>1896</v>
      </c>
      <c r="E255" s="1633">
        <v>390</v>
      </c>
      <c r="F255" s="1633" t="s">
        <v>69</v>
      </c>
      <c r="G255" s="1304">
        <v>95755960.519999996</v>
      </c>
      <c r="H255" s="1304">
        <v>47313445.519999996</v>
      </c>
      <c r="I255" s="1304">
        <v>48442515</v>
      </c>
      <c r="J255" s="1304">
        <v>1163423.0500000003</v>
      </c>
      <c r="K255" s="1304">
        <v>88504730.469999999</v>
      </c>
      <c r="L255" s="1304">
        <v>46150022.469999999</v>
      </c>
      <c r="M255" s="1304">
        <v>42354708</v>
      </c>
      <c r="N255" s="1304">
        <v>1059643.5900000001</v>
      </c>
      <c r="O255"/>
      <c r="P255"/>
      <c r="Q255"/>
      <c r="R255"/>
      <c r="S255"/>
      <c r="T255"/>
      <c r="U255"/>
      <c r="V255"/>
      <c r="W255"/>
      <c r="X255"/>
      <c r="Y255"/>
      <c r="Z255"/>
    </row>
    <row r="256" spans="1:26" s="1635" customFormat="1" ht="15.75" customHeight="1" outlineLevel="1">
      <c r="A256" s="1631" t="str">
        <f t="shared" si="18"/>
        <v>HEADQUARTERS391Office Furniture &amp; Equipment</v>
      </c>
      <c r="B256" s="1632" t="s">
        <v>2094</v>
      </c>
      <c r="C256" s="1633" t="s">
        <v>107</v>
      </c>
      <c r="D256" s="1634" t="s">
        <v>1896</v>
      </c>
      <c r="E256" s="1633">
        <v>391</v>
      </c>
      <c r="F256" s="1633" t="s">
        <v>76</v>
      </c>
      <c r="G256" s="1304">
        <v>11905880.559999961</v>
      </c>
      <c r="H256" s="1304">
        <v>9718823.1099999845</v>
      </c>
      <c r="I256" s="1304">
        <v>2187057.4499999769</v>
      </c>
      <c r="J256" s="1304">
        <v>662411</v>
      </c>
      <c r="K256" s="1304">
        <v>11882274.559999961</v>
      </c>
      <c r="L256" s="1304">
        <v>9056412.1099999845</v>
      </c>
      <c r="M256" s="1304">
        <v>2825862.4499999769</v>
      </c>
      <c r="N256" s="1304">
        <v>660926</v>
      </c>
      <c r="O256"/>
      <c r="P256"/>
      <c r="Q256"/>
      <c r="R256"/>
      <c r="S256"/>
      <c r="T256"/>
      <c r="U256"/>
      <c r="V256"/>
      <c r="W256"/>
      <c r="X256"/>
      <c r="Y256"/>
      <c r="Z256"/>
    </row>
    <row r="257" spans="1:26" s="1635" customFormat="1" ht="15.75" customHeight="1" outlineLevel="1">
      <c r="A257" s="1631" t="str">
        <f t="shared" si="18"/>
        <v>HEADQUARTERS391.2Computer Equipment 5 yr</v>
      </c>
      <c r="B257" s="1632" t="s">
        <v>1490</v>
      </c>
      <c r="C257" s="1633" t="s">
        <v>107</v>
      </c>
      <c r="D257" s="1634" t="s">
        <v>1896</v>
      </c>
      <c r="E257" s="1633">
        <v>391.2</v>
      </c>
      <c r="F257" s="1633" t="s">
        <v>1815</v>
      </c>
      <c r="G257" s="1304">
        <v>13743160.389999991</v>
      </c>
      <c r="H257" s="1304">
        <v>11187472.159999998</v>
      </c>
      <c r="I257" s="1304">
        <v>2555688.229999993</v>
      </c>
      <c r="J257" s="1304">
        <v>2476022.88</v>
      </c>
      <c r="K257" s="1304">
        <v>16967592.499999993</v>
      </c>
      <c r="L257" s="1304">
        <v>12580474.27</v>
      </c>
      <c r="M257" s="1304">
        <v>4387118.229999993</v>
      </c>
      <c r="N257" s="1304">
        <v>4052078.46</v>
      </c>
      <c r="O257"/>
      <c r="P257"/>
      <c r="Q257"/>
      <c r="R257"/>
      <c r="S257"/>
      <c r="T257"/>
      <c r="U257"/>
      <c r="V257"/>
      <c r="W257"/>
      <c r="X257"/>
      <c r="Y257"/>
      <c r="Z257"/>
    </row>
    <row r="258" spans="1:26" s="1635" customFormat="1" ht="15.75" customHeight="1" outlineLevel="1">
      <c r="A258" s="1631" t="str">
        <f t="shared" si="18"/>
        <v>HEADQUARTERS391.3Computer Equipment 10 yr</v>
      </c>
      <c r="B258" s="1632" t="s">
        <v>1489</v>
      </c>
      <c r="C258" s="1633" t="s">
        <v>107</v>
      </c>
      <c r="D258" s="1634" t="s">
        <v>1896</v>
      </c>
      <c r="E258" s="1633">
        <v>391.3</v>
      </c>
      <c r="F258" s="1633" t="s">
        <v>1816</v>
      </c>
      <c r="G258" s="1304">
        <v>265084337.56420001</v>
      </c>
      <c r="H258" s="1304">
        <v>63093020.090000004</v>
      </c>
      <c r="I258" s="1304">
        <v>201991317.62</v>
      </c>
      <c r="J258" s="1304">
        <v>24595852.920000002</v>
      </c>
      <c r="K258" s="1304">
        <v>206252382.6442</v>
      </c>
      <c r="L258" s="1304">
        <v>38497167.444200002</v>
      </c>
      <c r="M258" s="1304">
        <v>167755215.20000002</v>
      </c>
      <c r="N258" s="1304">
        <v>17033613.920799997</v>
      </c>
      <c r="O258"/>
      <c r="P258"/>
      <c r="Q258"/>
      <c r="R258"/>
      <c r="S258"/>
      <c r="T258"/>
      <c r="U258"/>
      <c r="V258"/>
      <c r="W258"/>
      <c r="X258"/>
      <c r="Y258"/>
      <c r="Z258"/>
    </row>
    <row r="259" spans="1:26" s="1635" customFormat="1" ht="15.75" customHeight="1" outlineLevel="1">
      <c r="A259" s="1631" t="str">
        <f t="shared" si="18"/>
        <v>HEADQUARTERS392Transportation Equipment</v>
      </c>
      <c r="B259" s="1632" t="s">
        <v>1491</v>
      </c>
      <c r="C259" s="1633" t="s">
        <v>107</v>
      </c>
      <c r="D259" s="1634" t="s">
        <v>1896</v>
      </c>
      <c r="E259" s="1633">
        <v>392</v>
      </c>
      <c r="F259" s="1633" t="s">
        <v>77</v>
      </c>
      <c r="G259" s="1304">
        <v>12509325.769999996</v>
      </c>
      <c r="H259" s="1304">
        <v>12622387.689999998</v>
      </c>
      <c r="I259" s="1304">
        <v>-113061.92000000179</v>
      </c>
      <c r="J259" s="1304">
        <v>116474.51000000001</v>
      </c>
      <c r="K259" s="1304">
        <v>12330227.239999996</v>
      </c>
      <c r="L259" s="1304">
        <v>12522807.659999998</v>
      </c>
      <c r="M259" s="1304">
        <v>-192580.42000000179</v>
      </c>
      <c r="N259" s="1304">
        <v>234609</v>
      </c>
      <c r="O259"/>
      <c r="P259"/>
      <c r="Q259"/>
      <c r="R259"/>
      <c r="S259"/>
      <c r="T259"/>
      <c r="U259"/>
      <c r="V259"/>
      <c r="W259"/>
      <c r="X259"/>
      <c r="Y259"/>
      <c r="Z259"/>
    </row>
    <row r="260" spans="1:26" s="1635" customFormat="1" ht="15.75" customHeight="1" outlineLevel="1">
      <c r="A260" s="1631" t="str">
        <f t="shared" si="18"/>
        <v>HEADQUARTERS394Tools, Shop &amp; Garage Equipment</v>
      </c>
      <c r="B260" s="1632" t="s">
        <v>1492</v>
      </c>
      <c r="C260" s="1633" t="s">
        <v>107</v>
      </c>
      <c r="D260" s="1634" t="s">
        <v>1896</v>
      </c>
      <c r="E260" s="1633">
        <v>394</v>
      </c>
      <c r="F260" s="1633" t="s">
        <v>79</v>
      </c>
      <c r="G260" s="1304">
        <v>1015285.2799999999</v>
      </c>
      <c r="H260" s="1304">
        <v>284708.92000000004</v>
      </c>
      <c r="I260" s="1304">
        <v>730576.35999999987</v>
      </c>
      <c r="J260" s="1304">
        <v>59046.36</v>
      </c>
      <c r="K260" s="1304">
        <v>1003739.9199999999</v>
      </c>
      <c r="L260" s="1304">
        <v>225662.56000000003</v>
      </c>
      <c r="M260" s="1304">
        <v>778077.35999999987</v>
      </c>
      <c r="N260" s="1304">
        <v>58277.03</v>
      </c>
      <c r="O260"/>
      <c r="P260"/>
      <c r="Q260"/>
      <c r="R260"/>
      <c r="S260"/>
      <c r="T260"/>
      <c r="U260"/>
      <c r="V260"/>
      <c r="W260"/>
      <c r="X260"/>
      <c r="Y260"/>
      <c r="Z260"/>
    </row>
    <row r="261" spans="1:26" s="1635" customFormat="1" ht="15.75" customHeight="1" outlineLevel="1">
      <c r="A261" s="1631" t="str">
        <f t="shared" si="18"/>
        <v>HEADQUARTERS395Laboratory Equipment</v>
      </c>
      <c r="B261" s="1632" t="s">
        <v>1493</v>
      </c>
      <c r="C261" s="1633" t="s">
        <v>107</v>
      </c>
      <c r="D261" s="1634" t="s">
        <v>1896</v>
      </c>
      <c r="E261" s="1633">
        <v>395</v>
      </c>
      <c r="F261" s="1633" t="s">
        <v>80</v>
      </c>
      <c r="G261" s="1304">
        <v>968802.38999999932</v>
      </c>
      <c r="H261" s="1304">
        <v>921293.39</v>
      </c>
      <c r="I261" s="1304">
        <v>47508.999999999302</v>
      </c>
      <c r="J261" s="1304">
        <v>4586.01</v>
      </c>
      <c r="K261" s="1304">
        <v>968802.38999999932</v>
      </c>
      <c r="L261" s="1304">
        <v>916707.38</v>
      </c>
      <c r="M261" s="1304">
        <v>52095.009999999311</v>
      </c>
      <c r="N261" s="1304">
        <v>4569.71</v>
      </c>
      <c r="O261"/>
      <c r="P261"/>
      <c r="Q261"/>
      <c r="R261"/>
      <c r="S261"/>
      <c r="T261"/>
      <c r="U261"/>
      <c r="V261"/>
      <c r="W261"/>
      <c r="X261"/>
      <c r="Y261"/>
      <c r="Z261"/>
    </row>
    <row r="262" spans="1:26" s="1635" customFormat="1" ht="15.75" customHeight="1" outlineLevel="1">
      <c r="A262" s="1631" t="str">
        <f t="shared" si="18"/>
        <v>HEADQUARTERS397Communication Equipment</v>
      </c>
      <c r="B262" s="1632" t="s">
        <v>1494</v>
      </c>
      <c r="C262" s="1633" t="s">
        <v>107</v>
      </c>
      <c r="D262" s="1634" t="s">
        <v>1896</v>
      </c>
      <c r="E262" s="1633">
        <v>397</v>
      </c>
      <c r="F262" s="1633" t="s">
        <v>82</v>
      </c>
      <c r="G262" s="1304">
        <v>14052628.459999999</v>
      </c>
      <c r="H262" s="1304">
        <v>2686087.459999999</v>
      </c>
      <c r="I262" s="1304">
        <v>11366541</v>
      </c>
      <c r="J262" s="1304">
        <v>797780.51</v>
      </c>
      <c r="K262" s="1304">
        <v>10374831.949999999</v>
      </c>
      <c r="L262" s="1304">
        <v>1888306.9499999988</v>
      </c>
      <c r="M262" s="1304">
        <v>8486525</v>
      </c>
      <c r="N262" s="1304">
        <v>691756</v>
      </c>
      <c r="O262"/>
      <c r="P262"/>
      <c r="Q262"/>
      <c r="R262"/>
      <c r="S262"/>
      <c r="T262"/>
      <c r="U262"/>
      <c r="V262"/>
      <c r="W262"/>
      <c r="X262"/>
      <c r="Y262"/>
      <c r="Z262"/>
    </row>
    <row r="263" spans="1:26" s="1635" customFormat="1" ht="15.75" customHeight="1" outlineLevel="1">
      <c r="A263" s="1631" t="str">
        <f t="shared" si="18"/>
        <v>HEADQUARTERS398Miscellaneous Equipment</v>
      </c>
      <c r="B263" s="1632" t="s">
        <v>1495</v>
      </c>
      <c r="C263" s="1633" t="s">
        <v>107</v>
      </c>
      <c r="D263" s="1634" t="s">
        <v>1896</v>
      </c>
      <c r="E263" s="1633">
        <v>398</v>
      </c>
      <c r="F263" s="1633" t="s">
        <v>83</v>
      </c>
      <c r="G263" s="1304">
        <v>364579.83999999985</v>
      </c>
      <c r="H263" s="1304">
        <v>111686.10000000268</v>
      </c>
      <c r="I263" s="1304">
        <v>252893.73999999717</v>
      </c>
      <c r="J263" s="1304">
        <v>37954</v>
      </c>
      <c r="K263" s="1304">
        <v>207601.83999999985</v>
      </c>
      <c r="L263" s="1304">
        <v>73732.100000002683</v>
      </c>
      <c r="M263" s="1304">
        <v>133869.73999999717</v>
      </c>
      <c r="N263" s="1304">
        <v>10276</v>
      </c>
      <c r="O263"/>
      <c r="P263"/>
      <c r="Q263"/>
      <c r="R263"/>
      <c r="S263"/>
      <c r="T263"/>
      <c r="U263"/>
      <c r="V263"/>
      <c r="W263"/>
      <c r="X263"/>
      <c r="Y263"/>
      <c r="Z263"/>
    </row>
    <row r="264" spans="1:26" s="1635" customFormat="1" ht="15.75" customHeight="1" outlineLevel="1">
      <c r="A264" s="1631" t="str">
        <f t="shared" si="18"/>
        <v>LONG ISLAND SOUND CABLE397Communication Equipment</v>
      </c>
      <c r="B264" s="1632" t="s">
        <v>1496</v>
      </c>
      <c r="C264" s="1633" t="s">
        <v>107</v>
      </c>
      <c r="D264" s="1634" t="s">
        <v>1892</v>
      </c>
      <c r="E264" s="1633">
        <v>397</v>
      </c>
      <c r="F264" s="1633" t="s">
        <v>82</v>
      </c>
      <c r="G264" s="1304">
        <v>4414029</v>
      </c>
      <c r="H264" s="1304">
        <v>4414029</v>
      </c>
      <c r="I264" s="1304">
        <v>0</v>
      </c>
      <c r="J264" s="1304">
        <v>0</v>
      </c>
      <c r="K264" s="1304">
        <v>4414029</v>
      </c>
      <c r="L264" s="1304">
        <v>4414029</v>
      </c>
      <c r="M264" s="1304">
        <v>0</v>
      </c>
      <c r="N264" s="1304">
        <v>0</v>
      </c>
      <c r="O264"/>
      <c r="P264"/>
      <c r="Q264"/>
      <c r="R264"/>
      <c r="S264"/>
      <c r="T264"/>
      <c r="U264"/>
      <c r="V264"/>
      <c r="W264"/>
      <c r="X264"/>
      <c r="Y264"/>
      <c r="Z264"/>
    </row>
    <row r="265" spans="1:26" s="1635" customFormat="1" ht="15.75" customHeight="1" outlineLevel="1">
      <c r="A265" s="1631" t="str">
        <f t="shared" si="18"/>
        <v>MARCY-SOUTH396Power Operated Equipment</v>
      </c>
      <c r="B265" s="1632" t="s">
        <v>1497</v>
      </c>
      <c r="C265" s="1633" t="s">
        <v>107</v>
      </c>
      <c r="D265" s="1634" t="s">
        <v>1893</v>
      </c>
      <c r="E265" s="1633">
        <v>396</v>
      </c>
      <c r="F265" s="1633" t="s">
        <v>81</v>
      </c>
      <c r="G265" s="1304">
        <v>763</v>
      </c>
      <c r="H265" s="1304">
        <v>-278237</v>
      </c>
      <c r="I265" s="1304">
        <v>279000</v>
      </c>
      <c r="J265" s="1304">
        <v>0</v>
      </c>
      <c r="K265" s="1304">
        <v>763</v>
      </c>
      <c r="L265" s="1304">
        <v>-278237</v>
      </c>
      <c r="M265" s="1304">
        <v>279000</v>
      </c>
      <c r="N265" s="1304">
        <v>0</v>
      </c>
      <c r="O265"/>
      <c r="P265"/>
      <c r="Q265"/>
      <c r="R265"/>
      <c r="S265"/>
      <c r="T265"/>
      <c r="U265"/>
      <c r="V265"/>
      <c r="W265"/>
      <c r="X265"/>
      <c r="Y265"/>
      <c r="Z265"/>
    </row>
    <row r="266" spans="1:26" s="1635" customFormat="1" ht="15.75" customHeight="1" outlineLevel="1">
      <c r="A266" s="1631" t="str">
        <f t="shared" si="18"/>
        <v>MARCY-SOUTH397Communication Equipment</v>
      </c>
      <c r="B266" s="1632" t="s">
        <v>1498</v>
      </c>
      <c r="C266" s="1633" t="s">
        <v>107</v>
      </c>
      <c r="D266" s="1634" t="s">
        <v>1893</v>
      </c>
      <c r="E266" s="1633">
        <v>397</v>
      </c>
      <c r="F266" s="1633" t="s">
        <v>82</v>
      </c>
      <c r="G266" s="1304">
        <v>0</v>
      </c>
      <c r="H266" s="1304">
        <v>0</v>
      </c>
      <c r="I266" s="1304">
        <v>0</v>
      </c>
      <c r="J266" s="1304">
        <v>0</v>
      </c>
      <c r="K266" s="1304">
        <v>0</v>
      </c>
      <c r="L266" s="1304">
        <v>0</v>
      </c>
      <c r="M266" s="1304">
        <v>0</v>
      </c>
      <c r="N266" s="1304">
        <v>0</v>
      </c>
      <c r="O266"/>
      <c r="P266"/>
      <c r="Q266"/>
      <c r="R266"/>
      <c r="S266"/>
      <c r="T266"/>
      <c r="U266"/>
      <c r="V266"/>
      <c r="W266"/>
      <c r="X266"/>
      <c r="Y266"/>
      <c r="Z266"/>
    </row>
    <row r="267" spans="1:26" s="1635" customFormat="1" ht="15.75" customHeight="1" outlineLevel="1">
      <c r="A267" s="1631" t="str">
        <f t="shared" si="18"/>
        <v>MASSENA - MARCY  (Clark)390Structures &amp; Improvements</v>
      </c>
      <c r="B267" s="1632" t="s">
        <v>2012</v>
      </c>
      <c r="C267" s="1633" t="s">
        <v>107</v>
      </c>
      <c r="D267" s="1634" t="s">
        <v>1894</v>
      </c>
      <c r="E267" s="1633">
        <v>390</v>
      </c>
      <c r="F267" s="1633" t="s">
        <v>69</v>
      </c>
      <c r="G267" s="1304">
        <v>46005026.139999993</v>
      </c>
      <c r="H267" s="1304">
        <v>2355356.14</v>
      </c>
      <c r="I267" s="1304">
        <v>43649669.999999993</v>
      </c>
      <c r="J267" s="1304">
        <v>736960.40000000014</v>
      </c>
      <c r="K267" s="1304">
        <v>44363729.739999995</v>
      </c>
      <c r="L267" s="1304">
        <v>1618395.74</v>
      </c>
      <c r="M267" s="1304">
        <v>42745333.999999993</v>
      </c>
      <c r="N267" s="1304">
        <v>358455.93</v>
      </c>
      <c r="O267"/>
      <c r="P267"/>
      <c r="Q267"/>
      <c r="R267"/>
      <c r="S267"/>
      <c r="T267"/>
      <c r="U267"/>
      <c r="V267"/>
      <c r="W267"/>
      <c r="X267"/>
      <c r="Y267"/>
      <c r="Z267"/>
    </row>
    <row r="268" spans="1:26" s="1635" customFormat="1" ht="15.75" customHeight="1" outlineLevel="1">
      <c r="A268" s="1631" t="str">
        <f t="shared" si="18"/>
        <v>MASSENA - MARCY  (Clark)391Office Furniture &amp; Equipment</v>
      </c>
      <c r="B268" s="1632" t="s">
        <v>1499</v>
      </c>
      <c r="C268" s="1633" t="s">
        <v>107</v>
      </c>
      <c r="D268" s="1634" t="s">
        <v>1894</v>
      </c>
      <c r="E268" s="1633">
        <v>391</v>
      </c>
      <c r="F268" s="1633" t="s">
        <v>76</v>
      </c>
      <c r="G268" s="1304">
        <v>-1671966.6900000009</v>
      </c>
      <c r="H268" s="1304">
        <v>911488.00000000023</v>
      </c>
      <c r="I268" s="1304">
        <v>-2583454.6900000013</v>
      </c>
      <c r="J268" s="1304">
        <v>6863.33</v>
      </c>
      <c r="K268" s="1304">
        <v>-1678224.0200000009</v>
      </c>
      <c r="L268" s="1304">
        <v>904624.67000000027</v>
      </c>
      <c r="M268" s="1304">
        <v>-2582848.6900000013</v>
      </c>
      <c r="N268" s="1304">
        <v>3871</v>
      </c>
      <c r="O268"/>
      <c r="P268"/>
      <c r="Q268"/>
      <c r="R268"/>
      <c r="S268"/>
      <c r="T268"/>
      <c r="U268"/>
      <c r="V268"/>
      <c r="W268"/>
      <c r="X268"/>
      <c r="Y268"/>
      <c r="Z268"/>
    </row>
    <row r="269" spans="1:26" s="1635" customFormat="1" ht="15.75" customHeight="1" outlineLevel="1">
      <c r="A269" s="1631" t="str">
        <f t="shared" si="18"/>
        <v>MASSENA - MARCY  (Clark)391.2Computer Equipment 5 yr</v>
      </c>
      <c r="B269" s="1632" t="s">
        <v>1500</v>
      </c>
      <c r="C269" s="1633" t="s">
        <v>107</v>
      </c>
      <c r="D269" s="1634" t="s">
        <v>1894</v>
      </c>
      <c r="E269" s="1633">
        <v>391.2</v>
      </c>
      <c r="F269" s="1633" t="s">
        <v>1815</v>
      </c>
      <c r="G269" s="1304">
        <v>-2155998.4700000002</v>
      </c>
      <c r="H269" s="1304">
        <v>116385.60000000005</v>
      </c>
      <c r="I269" s="1304">
        <v>-2272384.0700000003</v>
      </c>
      <c r="J269" s="1304">
        <v>32302</v>
      </c>
      <c r="K269" s="1304">
        <v>-2085603.1700000004</v>
      </c>
      <c r="L269" s="1304">
        <v>154478.90000000005</v>
      </c>
      <c r="M269" s="1304">
        <v>-2240082.0700000003</v>
      </c>
      <c r="N269" s="1304">
        <v>47959</v>
      </c>
      <c r="O269"/>
      <c r="P269"/>
      <c r="Q269"/>
      <c r="R269"/>
      <c r="S269"/>
      <c r="T269"/>
      <c r="U269"/>
      <c r="V269"/>
      <c r="W269"/>
      <c r="X269"/>
      <c r="Y269"/>
      <c r="Z269"/>
    </row>
    <row r="270" spans="1:26" s="1635" customFormat="1" ht="15.75" customHeight="1" outlineLevel="1">
      <c r="A270" s="1631" t="str">
        <f t="shared" si="18"/>
        <v>MASSENA - MARCY  (Clark)391.3Computer Equipment 10 yr</v>
      </c>
      <c r="B270" s="1632" t="s">
        <v>1501</v>
      </c>
      <c r="C270" s="1633" t="s">
        <v>107</v>
      </c>
      <c r="D270" s="1634" t="s">
        <v>1894</v>
      </c>
      <c r="E270" s="1633">
        <v>391.3</v>
      </c>
      <c r="F270" s="1633" t="s">
        <v>1816</v>
      </c>
      <c r="G270" s="1304">
        <v>8881587.7100000009</v>
      </c>
      <c r="H270" s="1304">
        <v>5235107.7200000007</v>
      </c>
      <c r="I270" s="1304">
        <v>3646479.99</v>
      </c>
      <c r="J270" s="1304">
        <v>1025790</v>
      </c>
      <c r="K270" s="1304">
        <v>8881587.7100000009</v>
      </c>
      <c r="L270" s="1304">
        <v>4209317.7200000007</v>
      </c>
      <c r="M270" s="1304">
        <v>4672269.99</v>
      </c>
      <c r="N270" s="1304">
        <v>939875.37</v>
      </c>
      <c r="O270"/>
      <c r="P270"/>
      <c r="Q270"/>
      <c r="R270"/>
      <c r="S270"/>
      <c r="T270"/>
      <c r="U270"/>
      <c r="V270"/>
      <c r="W270"/>
      <c r="X270"/>
      <c r="Y270"/>
      <c r="Z270"/>
    </row>
    <row r="271" spans="1:26" s="1635" customFormat="1" ht="15.75" customHeight="1" outlineLevel="1">
      <c r="A271" s="1631" t="str">
        <f t="shared" si="18"/>
        <v>MASSENA - MARCY  (Clark)392Transportation Equipment</v>
      </c>
      <c r="B271" s="1632" t="s">
        <v>1502</v>
      </c>
      <c r="C271" s="1633" t="s">
        <v>107</v>
      </c>
      <c r="D271" s="1634" t="s">
        <v>1894</v>
      </c>
      <c r="E271" s="1633">
        <v>392</v>
      </c>
      <c r="F271" s="1633" t="s">
        <v>77</v>
      </c>
      <c r="G271" s="1304">
        <v>7756261.0300000021</v>
      </c>
      <c r="H271" s="1304">
        <v>5547415.7600000007</v>
      </c>
      <c r="I271" s="1304">
        <v>2208845.2700000014</v>
      </c>
      <c r="J271" s="1304">
        <v>565896.49</v>
      </c>
      <c r="K271" s="1304">
        <v>7024564.5400000019</v>
      </c>
      <c r="L271" s="1304">
        <v>4987216.2700000005</v>
      </c>
      <c r="M271" s="1304">
        <v>2037348.2700000014</v>
      </c>
      <c r="N271" s="1304">
        <v>545174.48</v>
      </c>
      <c r="O271"/>
      <c r="P271"/>
      <c r="Q271"/>
      <c r="R271"/>
      <c r="S271"/>
      <c r="T271"/>
      <c r="U271"/>
      <c r="V271"/>
      <c r="W271"/>
      <c r="X271"/>
      <c r="Y271"/>
      <c r="Z271"/>
    </row>
    <row r="272" spans="1:26" s="1635" customFormat="1" ht="15.75" customHeight="1" outlineLevel="1">
      <c r="A272" s="1631" t="str">
        <f t="shared" si="18"/>
        <v>MASSENA - MARCY  (Clark)393Stores Equipment</v>
      </c>
      <c r="B272" s="1632" t="s">
        <v>1503</v>
      </c>
      <c r="C272" s="1633" t="s">
        <v>107</v>
      </c>
      <c r="D272" s="1634" t="s">
        <v>1894</v>
      </c>
      <c r="E272" s="1633">
        <v>393</v>
      </c>
      <c r="F272" s="1633" t="s">
        <v>78</v>
      </c>
      <c r="G272" s="1304">
        <v>299434.21999999997</v>
      </c>
      <c r="H272" s="1304">
        <v>207206.69</v>
      </c>
      <c r="I272" s="1304">
        <v>92227.52999999997</v>
      </c>
      <c r="J272" s="1304">
        <v>9904</v>
      </c>
      <c r="K272" s="1304">
        <v>299434.21999999997</v>
      </c>
      <c r="L272" s="1304">
        <v>197302.69</v>
      </c>
      <c r="M272" s="1304">
        <v>102131.52999999997</v>
      </c>
      <c r="N272" s="1304">
        <v>9904</v>
      </c>
      <c r="O272"/>
      <c r="P272"/>
      <c r="Q272"/>
      <c r="R272"/>
      <c r="S272"/>
      <c r="T272"/>
      <c r="U272"/>
      <c r="V272"/>
      <c r="W272"/>
      <c r="X272"/>
      <c r="Y272"/>
      <c r="Z272"/>
    </row>
    <row r="273" spans="1:26" s="1635" customFormat="1" ht="15.75" customHeight="1" outlineLevel="1">
      <c r="A273" s="1631" t="str">
        <f t="shared" si="18"/>
        <v>MASSENA - MARCY  (Clark)394Tools, Shop &amp; Garage Equipment</v>
      </c>
      <c r="B273" s="1632" t="s">
        <v>1504</v>
      </c>
      <c r="C273" s="1633" t="s">
        <v>107</v>
      </c>
      <c r="D273" s="1634" t="s">
        <v>1894</v>
      </c>
      <c r="E273" s="1633">
        <v>394</v>
      </c>
      <c r="F273" s="1633" t="s">
        <v>79</v>
      </c>
      <c r="G273" s="1304">
        <v>715878.64000000013</v>
      </c>
      <c r="H273" s="1304">
        <v>337343.64999999985</v>
      </c>
      <c r="I273" s="1304">
        <v>378534.99000000028</v>
      </c>
      <c r="J273" s="1304">
        <v>30893</v>
      </c>
      <c r="K273" s="1304">
        <v>705778.64000000013</v>
      </c>
      <c r="L273" s="1304">
        <v>306450.64999999985</v>
      </c>
      <c r="M273" s="1304">
        <v>399327.99000000028</v>
      </c>
      <c r="N273" s="1304">
        <v>30322.67</v>
      </c>
      <c r="O273"/>
      <c r="P273"/>
      <c r="Q273"/>
      <c r="R273"/>
      <c r="S273"/>
      <c r="T273"/>
      <c r="U273"/>
      <c r="V273"/>
      <c r="W273"/>
      <c r="X273"/>
      <c r="Y273"/>
      <c r="Z273"/>
    </row>
    <row r="274" spans="1:26" s="1635" customFormat="1" ht="15.75" customHeight="1" outlineLevel="1">
      <c r="A274" s="1631" t="str">
        <f t="shared" si="18"/>
        <v>MASSENA - MARCY  (Clark)395Laboratory Equipment</v>
      </c>
      <c r="B274" s="1632" t="s">
        <v>1505</v>
      </c>
      <c r="C274" s="1633" t="s">
        <v>107</v>
      </c>
      <c r="D274" s="1634" t="s">
        <v>1894</v>
      </c>
      <c r="E274" s="1633">
        <v>395</v>
      </c>
      <c r="F274" s="1633" t="s">
        <v>80</v>
      </c>
      <c r="G274" s="1304">
        <v>801439.35000000021</v>
      </c>
      <c r="H274" s="1304">
        <v>261708.50000000012</v>
      </c>
      <c r="I274" s="1304">
        <v>539730.85000000009</v>
      </c>
      <c r="J274" s="1304">
        <v>27417</v>
      </c>
      <c r="K274" s="1304">
        <v>801439.35000000021</v>
      </c>
      <c r="L274" s="1304">
        <v>234291.50000000012</v>
      </c>
      <c r="M274" s="1304">
        <v>567147.85000000009</v>
      </c>
      <c r="N274" s="1304">
        <v>25803.5</v>
      </c>
      <c r="O274"/>
      <c r="P274"/>
      <c r="Q274"/>
      <c r="R274"/>
      <c r="S274"/>
      <c r="T274"/>
      <c r="U274"/>
      <c r="V274"/>
      <c r="W274"/>
      <c r="X274"/>
      <c r="Y274"/>
      <c r="Z274"/>
    </row>
    <row r="275" spans="1:26" s="1635" customFormat="1" ht="15.75" customHeight="1" outlineLevel="1">
      <c r="A275" s="1631" t="str">
        <f t="shared" si="18"/>
        <v>MASSENA - MARCY  (Clark)396Power Operated Equipment</v>
      </c>
      <c r="B275" s="1632" t="s">
        <v>1506</v>
      </c>
      <c r="C275" s="1633" t="s">
        <v>107</v>
      </c>
      <c r="D275" s="1634" t="s">
        <v>1894</v>
      </c>
      <c r="E275" s="1633">
        <v>396</v>
      </c>
      <c r="F275" s="1633" t="s">
        <v>81</v>
      </c>
      <c r="G275" s="1304">
        <v>3872091.4299999997</v>
      </c>
      <c r="H275" s="1304">
        <v>2282713.0900000003</v>
      </c>
      <c r="I275" s="1304">
        <v>1589378.3399999994</v>
      </c>
      <c r="J275" s="1304">
        <v>178788.27</v>
      </c>
      <c r="K275" s="1304">
        <v>3551630.1599999992</v>
      </c>
      <c r="L275" s="1304">
        <v>2546524.8200000003</v>
      </c>
      <c r="M275" s="1304">
        <v>1005105.3399999989</v>
      </c>
      <c r="N275" s="1304">
        <v>157746.76</v>
      </c>
      <c r="O275"/>
      <c r="P275"/>
      <c r="Q275"/>
      <c r="R275"/>
      <c r="S275"/>
      <c r="T275"/>
      <c r="U275"/>
      <c r="V275"/>
      <c r="W275"/>
      <c r="X275"/>
      <c r="Y275"/>
      <c r="Z275"/>
    </row>
    <row r="276" spans="1:26" s="1635" customFormat="1" ht="15.75" customHeight="1" outlineLevel="1">
      <c r="A276" s="1631" t="str">
        <f t="shared" si="18"/>
        <v>MASSENA - MARCY  (Clark)397Communication Equipment</v>
      </c>
      <c r="B276" s="1632" t="s">
        <v>1507</v>
      </c>
      <c r="C276" s="1633" t="s">
        <v>107</v>
      </c>
      <c r="D276" s="1634" t="s">
        <v>1894</v>
      </c>
      <c r="E276" s="1633">
        <v>397</v>
      </c>
      <c r="F276" s="1633" t="s">
        <v>82</v>
      </c>
      <c r="G276" s="1304">
        <v>8331853.2400000002</v>
      </c>
      <c r="H276" s="1304">
        <v>585962.23999999999</v>
      </c>
      <c r="I276" s="1304">
        <v>7745891</v>
      </c>
      <c r="J276" s="1304">
        <v>514318.4</v>
      </c>
      <c r="K276" s="1304">
        <v>6826470.8399999999</v>
      </c>
      <c r="L276" s="1304">
        <v>71643.839999999967</v>
      </c>
      <c r="M276" s="1304">
        <v>6754827</v>
      </c>
      <c r="N276" s="1304">
        <v>41872.629999999997</v>
      </c>
      <c r="O276"/>
      <c r="P276"/>
      <c r="Q276"/>
      <c r="R276"/>
      <c r="S276"/>
      <c r="T276"/>
      <c r="U276"/>
      <c r="V276"/>
      <c r="W276"/>
      <c r="X276"/>
      <c r="Y276"/>
      <c r="Z276"/>
    </row>
    <row r="277" spans="1:26" s="1635" customFormat="1" ht="15.75" customHeight="1" outlineLevel="1">
      <c r="A277" s="1631" t="str">
        <f t="shared" ref="A277:A343" si="21">CONCATENATE(D277,E277,F277)</f>
        <v>MASSENA - MARCY  (Clark)398Miscellaneous Equipment</v>
      </c>
      <c r="B277" s="1632" t="s">
        <v>1508</v>
      </c>
      <c r="C277" s="1633" t="s">
        <v>107</v>
      </c>
      <c r="D277" s="1634" t="s">
        <v>1894</v>
      </c>
      <c r="E277" s="1633">
        <v>398</v>
      </c>
      <c r="F277" s="1633" t="s">
        <v>83</v>
      </c>
      <c r="G277" s="1304">
        <v>80334.880000000121</v>
      </c>
      <c r="H277" s="1304">
        <v>-60442.119999999879</v>
      </c>
      <c r="I277" s="1304">
        <v>140777</v>
      </c>
      <c r="J277" s="1304">
        <v>11306.5</v>
      </c>
      <c r="K277" s="1304">
        <v>69579.380000000121</v>
      </c>
      <c r="L277" s="1304">
        <v>-71748.619999999879</v>
      </c>
      <c r="M277" s="1304">
        <v>141328</v>
      </c>
      <c r="N277" s="1304">
        <v>3854</v>
      </c>
      <c r="O277"/>
      <c r="P277"/>
      <c r="Q277"/>
      <c r="R277"/>
      <c r="S277"/>
      <c r="T277"/>
      <c r="U277"/>
      <c r="V277"/>
      <c r="W277"/>
      <c r="X277"/>
      <c r="Y277"/>
      <c r="Z277"/>
    </row>
    <row r="278" spans="1:26" s="1635" customFormat="1" ht="15.75" customHeight="1" outlineLevel="1">
      <c r="A278" s="1631" t="str">
        <f t="shared" si="21"/>
        <v>NIAGARA390Structures &amp; Improvements</v>
      </c>
      <c r="B278" s="1632" t="s">
        <v>1509</v>
      </c>
      <c r="C278" s="1633" t="s">
        <v>107</v>
      </c>
      <c r="D278" s="1634" t="s">
        <v>30</v>
      </c>
      <c r="E278" s="1633">
        <v>390</v>
      </c>
      <c r="F278" s="1633" t="s">
        <v>69</v>
      </c>
      <c r="G278" s="1304">
        <v>51671520.759999998</v>
      </c>
      <c r="H278" s="1304">
        <v>23810187.710000001</v>
      </c>
      <c r="I278" s="1304">
        <v>27861333.049999997</v>
      </c>
      <c r="J278" s="1304">
        <v>769672.44000000006</v>
      </c>
      <c r="K278" s="1304">
        <v>50922985.32</v>
      </c>
      <c r="L278" s="1304">
        <v>23040515.27</v>
      </c>
      <c r="M278" s="1304">
        <v>27882470.050000001</v>
      </c>
      <c r="N278" s="1304">
        <v>747377.28</v>
      </c>
      <c r="O278"/>
      <c r="P278"/>
      <c r="Q278"/>
      <c r="R278"/>
      <c r="S278"/>
      <c r="T278"/>
      <c r="U278"/>
      <c r="V278"/>
      <c r="W278"/>
      <c r="X278"/>
      <c r="Y278"/>
      <c r="Z278"/>
    </row>
    <row r="279" spans="1:26" s="1635" customFormat="1" ht="15.75" customHeight="1" outlineLevel="1">
      <c r="A279" s="1631" t="str">
        <f t="shared" si="21"/>
        <v>NIAGARA391Office Furniture &amp; Equipment</v>
      </c>
      <c r="B279" s="1632" t="s">
        <v>1510</v>
      </c>
      <c r="C279" s="1633" t="s">
        <v>107</v>
      </c>
      <c r="D279" s="1634" t="s">
        <v>30</v>
      </c>
      <c r="E279" s="1633">
        <v>391</v>
      </c>
      <c r="F279" s="1633" t="s">
        <v>76</v>
      </c>
      <c r="G279" s="1304">
        <v>20961.399999999907</v>
      </c>
      <c r="H279" s="1304">
        <v>10464.029999999591</v>
      </c>
      <c r="I279" s="1304">
        <v>10497.370000000315</v>
      </c>
      <c r="J279" s="1304">
        <v>2003</v>
      </c>
      <c r="K279" s="1304">
        <v>20961.399999999907</v>
      </c>
      <c r="L279" s="1304">
        <v>8461.0299999995914</v>
      </c>
      <c r="M279" s="1304">
        <v>12500.370000000315</v>
      </c>
      <c r="N279" s="1304">
        <v>2003</v>
      </c>
      <c r="O279"/>
      <c r="P279"/>
      <c r="Q279"/>
      <c r="R279"/>
      <c r="S279"/>
      <c r="T279"/>
      <c r="U279"/>
      <c r="V279"/>
      <c r="W279"/>
      <c r="X279"/>
      <c r="Y279"/>
      <c r="Z279"/>
    </row>
    <row r="280" spans="1:26" s="1635" customFormat="1" ht="15.75" customHeight="1" outlineLevel="1">
      <c r="A280" s="1631" t="str">
        <f t="shared" si="21"/>
        <v>NIAGARA391.2Computer Equipment 5 yr</v>
      </c>
      <c r="B280" s="1632" t="s">
        <v>2095</v>
      </c>
      <c r="C280" s="1633" t="s">
        <v>107</v>
      </c>
      <c r="D280" s="1634" t="s">
        <v>30</v>
      </c>
      <c r="E280" s="1633">
        <v>391.2</v>
      </c>
      <c r="F280" s="1633" t="s">
        <v>1815</v>
      </c>
      <c r="G280" s="1304">
        <v>170702.59000000003</v>
      </c>
      <c r="H280" s="1304">
        <v>162152.79000000004</v>
      </c>
      <c r="I280" s="1304">
        <v>8549.7999999999884</v>
      </c>
      <c r="J280" s="1304">
        <v>25560</v>
      </c>
      <c r="K280" s="1304">
        <v>175152.59000000003</v>
      </c>
      <c r="L280" s="1304">
        <v>141042.79000000004</v>
      </c>
      <c r="M280" s="1304">
        <v>34109.799999999988</v>
      </c>
      <c r="N280" s="1304">
        <v>42273</v>
      </c>
      <c r="O280"/>
      <c r="P280"/>
      <c r="Q280"/>
      <c r="R280"/>
      <c r="S280"/>
      <c r="T280"/>
      <c r="U280"/>
      <c r="V280"/>
      <c r="W280"/>
      <c r="X280"/>
      <c r="Y280"/>
      <c r="Z280"/>
    </row>
    <row r="281" spans="1:26" s="1635" customFormat="1" ht="15.75" customHeight="1" outlineLevel="1">
      <c r="A281" s="1631" t="str">
        <f t="shared" si="21"/>
        <v>NIAGARA391.3Computer Equipment 10 yr</v>
      </c>
      <c r="B281" s="1632" t="s">
        <v>1511</v>
      </c>
      <c r="C281" s="1633" t="s">
        <v>107</v>
      </c>
      <c r="D281" s="1634" t="s">
        <v>30</v>
      </c>
      <c r="E281" s="1633">
        <v>391.3</v>
      </c>
      <c r="F281" s="1633" t="s">
        <v>1816</v>
      </c>
      <c r="G281" s="1304">
        <v>2024367.2300000002</v>
      </c>
      <c r="H281" s="1304">
        <v>589425.23</v>
      </c>
      <c r="I281" s="1304">
        <v>1434942.0000000002</v>
      </c>
      <c r="J281" s="1304">
        <v>202438</v>
      </c>
      <c r="K281" s="1304">
        <v>2024367.2300000002</v>
      </c>
      <c r="L281" s="1304">
        <v>386987.23</v>
      </c>
      <c r="M281" s="1304">
        <v>1637380.0000000002</v>
      </c>
      <c r="N281" s="1304">
        <v>202420.6</v>
      </c>
      <c r="O281"/>
      <c r="P281"/>
      <c r="Q281"/>
      <c r="R281"/>
      <c r="S281"/>
      <c r="T281"/>
      <c r="U281"/>
      <c r="V281"/>
      <c r="W281"/>
      <c r="X281"/>
      <c r="Y281"/>
      <c r="Z281"/>
    </row>
    <row r="282" spans="1:26" s="1635" customFormat="1" ht="15.75" customHeight="1" outlineLevel="1">
      <c r="A282" s="1631" t="str">
        <f t="shared" si="21"/>
        <v>NIAGARA392Transportation Equipment</v>
      </c>
      <c r="B282" s="1632" t="s">
        <v>1512</v>
      </c>
      <c r="C282" s="1633" t="s">
        <v>107</v>
      </c>
      <c r="D282" s="1634" t="s">
        <v>30</v>
      </c>
      <c r="E282" s="1633">
        <v>392</v>
      </c>
      <c r="F282" s="1633" t="s">
        <v>77</v>
      </c>
      <c r="G282" s="1304">
        <v>10426485.99</v>
      </c>
      <c r="H282" s="1304">
        <v>8307055.4399999995</v>
      </c>
      <c r="I282" s="1304">
        <v>2119430.5500000007</v>
      </c>
      <c r="J282" s="1304">
        <v>257614.89</v>
      </c>
      <c r="K282" s="1304">
        <v>9431576.7599999998</v>
      </c>
      <c r="L282" s="1304">
        <v>8161414.21</v>
      </c>
      <c r="M282" s="1304">
        <v>1270162.5499999998</v>
      </c>
      <c r="N282" s="1304">
        <v>384761.46</v>
      </c>
      <c r="O282"/>
      <c r="P282"/>
      <c r="Q282"/>
      <c r="R282"/>
      <c r="S282"/>
      <c r="T282"/>
      <c r="U282"/>
      <c r="V282"/>
      <c r="W282"/>
      <c r="X282"/>
      <c r="Y282"/>
      <c r="Z282"/>
    </row>
    <row r="283" spans="1:26" s="1635" customFormat="1" ht="15.75" customHeight="1" outlineLevel="1">
      <c r="A283" s="1631" t="str">
        <f t="shared" si="21"/>
        <v>NIAGARA393Stores Equipment</v>
      </c>
      <c r="B283" s="1632" t="s">
        <v>1513</v>
      </c>
      <c r="C283" s="1633" t="s">
        <v>107</v>
      </c>
      <c r="D283" s="1634" t="s">
        <v>30</v>
      </c>
      <c r="E283" s="1633">
        <v>393</v>
      </c>
      <c r="F283" s="1633" t="s">
        <v>78</v>
      </c>
      <c r="G283" s="1304">
        <v>0</v>
      </c>
      <c r="H283" s="1304">
        <v>0</v>
      </c>
      <c r="I283" s="1304">
        <v>0</v>
      </c>
      <c r="J283" s="1304">
        <v>0</v>
      </c>
      <c r="K283" s="1304">
        <v>0</v>
      </c>
      <c r="L283" s="1304">
        <v>0</v>
      </c>
      <c r="M283" s="1304">
        <v>0</v>
      </c>
      <c r="N283" s="1304">
        <v>0</v>
      </c>
      <c r="O283"/>
      <c r="P283"/>
      <c r="Q283"/>
      <c r="R283"/>
      <c r="S283"/>
      <c r="T283"/>
      <c r="U283"/>
      <c r="V283"/>
      <c r="W283"/>
      <c r="X283"/>
      <c r="Y283"/>
      <c r="Z283"/>
    </row>
    <row r="284" spans="1:26" s="1635" customFormat="1" ht="15.75" customHeight="1" outlineLevel="1">
      <c r="A284" s="1631" t="str">
        <f t="shared" si="21"/>
        <v>NIAGARA394Tools, Shop &amp; Garage Equipment</v>
      </c>
      <c r="B284" s="1632" t="s">
        <v>1514</v>
      </c>
      <c r="C284" s="1633" t="s">
        <v>107</v>
      </c>
      <c r="D284" s="1634" t="s">
        <v>30</v>
      </c>
      <c r="E284" s="1633">
        <v>394</v>
      </c>
      <c r="F284" s="1633" t="s">
        <v>79</v>
      </c>
      <c r="G284" s="1304">
        <v>4958847.6999999993</v>
      </c>
      <c r="H284" s="1304">
        <v>4200412.1100000013</v>
      </c>
      <c r="I284" s="1304">
        <v>758435.58999999799</v>
      </c>
      <c r="J284" s="1304">
        <v>46067</v>
      </c>
      <c r="K284" s="1304">
        <v>4958847.6999999993</v>
      </c>
      <c r="L284" s="1304">
        <v>4154345.1100000008</v>
      </c>
      <c r="M284" s="1304">
        <v>804502.58999999845</v>
      </c>
      <c r="N284" s="1304">
        <v>85559.49</v>
      </c>
      <c r="O284"/>
      <c r="P284"/>
      <c r="Q284"/>
      <c r="R284"/>
      <c r="S284"/>
      <c r="T284"/>
      <c r="U284"/>
      <c r="V284"/>
      <c r="W284"/>
      <c r="X284"/>
      <c r="Y284"/>
      <c r="Z284"/>
    </row>
    <row r="285" spans="1:26" s="1635" customFormat="1" ht="15.75" customHeight="1" outlineLevel="1">
      <c r="A285" s="1631" t="str">
        <f t="shared" si="21"/>
        <v>NIAGARA395Laboratory Equipment</v>
      </c>
      <c r="B285" s="1632" t="s">
        <v>1515</v>
      </c>
      <c r="C285" s="1633" t="s">
        <v>107</v>
      </c>
      <c r="D285" s="1634" t="s">
        <v>30</v>
      </c>
      <c r="E285" s="1633">
        <v>395</v>
      </c>
      <c r="F285" s="1633" t="s">
        <v>80</v>
      </c>
      <c r="G285" s="1304">
        <v>785509.01</v>
      </c>
      <c r="H285" s="1304">
        <v>362743.0500000001</v>
      </c>
      <c r="I285" s="1304">
        <v>422765.9599999999</v>
      </c>
      <c r="J285" s="1304">
        <v>27456.809999999998</v>
      </c>
      <c r="K285" s="1304">
        <v>730123.20000000007</v>
      </c>
      <c r="L285" s="1304">
        <v>335286.24000000011</v>
      </c>
      <c r="M285" s="1304">
        <v>394836.95999999996</v>
      </c>
      <c r="N285" s="1304">
        <v>26800.87</v>
      </c>
      <c r="O285"/>
      <c r="P285"/>
      <c r="Q285"/>
      <c r="R285"/>
      <c r="S285"/>
      <c r="T285"/>
      <c r="U285"/>
      <c r="V285"/>
      <c r="W285"/>
      <c r="X285"/>
      <c r="Y285"/>
      <c r="Z285"/>
    </row>
    <row r="286" spans="1:26" s="1635" customFormat="1" ht="15.75" customHeight="1" outlineLevel="1">
      <c r="A286" s="1631" t="str">
        <f t="shared" si="21"/>
        <v>NIAGARA396Power Operated Equipment</v>
      </c>
      <c r="B286" s="1632" t="s">
        <v>1516</v>
      </c>
      <c r="C286" s="1633" t="s">
        <v>107</v>
      </c>
      <c r="D286" s="1634" t="s">
        <v>30</v>
      </c>
      <c r="E286" s="1633">
        <v>396</v>
      </c>
      <c r="F286" s="1633" t="s">
        <v>81</v>
      </c>
      <c r="G286" s="1304">
        <v>7387083.9699999997</v>
      </c>
      <c r="H286" s="1304">
        <v>3837174.1900000004</v>
      </c>
      <c r="I286" s="1304">
        <v>3549909.7799999993</v>
      </c>
      <c r="J286" s="1304">
        <v>177164</v>
      </c>
      <c r="K286" s="1304">
        <v>4851668.97</v>
      </c>
      <c r="L286" s="1304">
        <v>3660010.1900000004</v>
      </c>
      <c r="M286" s="1304">
        <v>1191658.7799999993</v>
      </c>
      <c r="N286" s="1304">
        <v>296086.37</v>
      </c>
      <c r="O286"/>
      <c r="P286"/>
      <c r="Q286"/>
      <c r="R286"/>
      <c r="S286"/>
      <c r="T286"/>
      <c r="U286"/>
      <c r="V286"/>
      <c r="W286"/>
      <c r="X286"/>
      <c r="Y286"/>
      <c r="Z286"/>
    </row>
    <row r="287" spans="1:26" s="1635" customFormat="1" ht="15.75" customHeight="1" outlineLevel="1">
      <c r="A287" s="1631" t="str">
        <f t="shared" si="21"/>
        <v>NIAGARA397Communication Equipment</v>
      </c>
      <c r="B287" s="1632" t="s">
        <v>1517</v>
      </c>
      <c r="C287" s="1633" t="s">
        <v>107</v>
      </c>
      <c r="D287" s="1634" t="s">
        <v>30</v>
      </c>
      <c r="E287" s="1633">
        <v>397</v>
      </c>
      <c r="F287" s="1633" t="s">
        <v>82</v>
      </c>
      <c r="G287" s="1304">
        <v>4014786.5000000014</v>
      </c>
      <c r="H287" s="1304">
        <v>1578458.4999999991</v>
      </c>
      <c r="I287" s="1304">
        <v>2436328.0000000023</v>
      </c>
      <c r="J287" s="1304">
        <v>267654</v>
      </c>
      <c r="K287" s="1304">
        <v>4014786.5000000014</v>
      </c>
      <c r="L287" s="1304">
        <v>1310804.4999999991</v>
      </c>
      <c r="M287" s="1304">
        <v>2703982.0000000023</v>
      </c>
      <c r="N287" s="1304">
        <v>251604.35</v>
      </c>
      <c r="O287"/>
      <c r="P287"/>
      <c r="Q287"/>
      <c r="R287"/>
      <c r="S287"/>
      <c r="T287"/>
      <c r="U287"/>
      <c r="V287"/>
      <c r="W287"/>
      <c r="X287"/>
      <c r="Y287"/>
      <c r="Z287"/>
    </row>
    <row r="288" spans="1:26" s="1635" customFormat="1" ht="15.75" customHeight="1" outlineLevel="1">
      <c r="A288" s="1631" t="str">
        <f t="shared" si="21"/>
        <v>NIAGARA398Miscellaneous Equipment</v>
      </c>
      <c r="B288" s="1632" t="s">
        <v>1518</v>
      </c>
      <c r="C288" s="1633" t="s">
        <v>107</v>
      </c>
      <c r="D288" s="1634" t="s">
        <v>30</v>
      </c>
      <c r="E288" s="1633">
        <v>398</v>
      </c>
      <c r="F288" s="1633" t="s">
        <v>83</v>
      </c>
      <c r="G288" s="1304">
        <v>482246608.11000001</v>
      </c>
      <c r="H288" s="1304">
        <v>149151831.69</v>
      </c>
      <c r="I288" s="1304">
        <v>333094776.42000002</v>
      </c>
      <c r="J288" s="1304">
        <v>10340708.640000001</v>
      </c>
      <c r="K288" s="1304">
        <v>480596180.47000003</v>
      </c>
      <c r="L288" s="1304">
        <v>138811123.04999998</v>
      </c>
      <c r="M288" s="1304">
        <v>341785057.42000008</v>
      </c>
      <c r="N288" s="1304">
        <v>10317704.369999999</v>
      </c>
      <c r="O288"/>
      <c r="P288"/>
      <c r="Q288"/>
      <c r="R288"/>
      <c r="S288"/>
      <c r="T288"/>
      <c r="U288"/>
      <c r="V288"/>
      <c r="W288"/>
      <c r="X288"/>
      <c r="Y288"/>
      <c r="Z288"/>
    </row>
    <row r="289" spans="1:26" s="1635" customFormat="1" ht="15.6" customHeight="1" outlineLevel="1">
      <c r="A289" s="1631" t="str">
        <f t="shared" si="21"/>
        <v>NIAGARA399Other Tangible Property</v>
      </c>
      <c r="B289" s="1632" t="s">
        <v>1519</v>
      </c>
      <c r="C289" s="1633" t="s">
        <v>107</v>
      </c>
      <c r="D289" s="1634" t="s">
        <v>30</v>
      </c>
      <c r="E289" s="1633">
        <v>399</v>
      </c>
      <c r="F289" s="1633" t="s">
        <v>84</v>
      </c>
      <c r="G289" s="1304">
        <v>3201209</v>
      </c>
      <c r="H289" s="1304">
        <v>1992514</v>
      </c>
      <c r="I289" s="1304">
        <v>1208695</v>
      </c>
      <c r="J289" s="1304">
        <v>42683</v>
      </c>
      <c r="K289" s="1304">
        <v>3201209</v>
      </c>
      <c r="L289" s="1304">
        <v>1949831</v>
      </c>
      <c r="M289" s="1304">
        <v>1251378</v>
      </c>
      <c r="N289" s="1304">
        <v>42683</v>
      </c>
      <c r="O289"/>
      <c r="P289"/>
      <c r="Q289"/>
      <c r="R289"/>
      <c r="S289"/>
      <c r="T289"/>
      <c r="U289"/>
      <c r="V289"/>
      <c r="W289"/>
      <c r="X289"/>
      <c r="Y289"/>
      <c r="Z289"/>
    </row>
    <row r="290" spans="1:26" s="1635" customFormat="1" ht="15.75" customHeight="1" outlineLevel="1">
      <c r="A290" s="1631" t="str">
        <f t="shared" si="21"/>
        <v>St.  LAWRENCE / FDR390Structures &amp; Improvements</v>
      </c>
      <c r="B290" s="1632" t="s">
        <v>1520</v>
      </c>
      <c r="C290" s="1633" t="s">
        <v>107</v>
      </c>
      <c r="D290" s="1634" t="s">
        <v>1895</v>
      </c>
      <c r="E290" s="1633">
        <v>390</v>
      </c>
      <c r="F290" s="1633" t="s">
        <v>69</v>
      </c>
      <c r="G290" s="1304">
        <v>46880214.06000001</v>
      </c>
      <c r="H290" s="1304">
        <v>9532567.7300000004</v>
      </c>
      <c r="I290" s="1304">
        <v>37347646.330000013</v>
      </c>
      <c r="J290" s="1304">
        <v>685696.09</v>
      </c>
      <c r="K290" s="1304">
        <v>45966261.970000006</v>
      </c>
      <c r="L290" s="1304">
        <v>8846871.6400000006</v>
      </c>
      <c r="M290" s="1304">
        <v>37119390.330000006</v>
      </c>
      <c r="N290" s="1304">
        <v>662999.27</v>
      </c>
      <c r="O290"/>
      <c r="P290"/>
      <c r="Q290"/>
      <c r="R290"/>
      <c r="S290"/>
      <c r="T290"/>
      <c r="U290"/>
      <c r="V290"/>
      <c r="W290"/>
      <c r="X290"/>
      <c r="Y290"/>
      <c r="Z290"/>
    </row>
    <row r="291" spans="1:26" s="1635" customFormat="1" ht="15.75" customHeight="1" outlineLevel="1">
      <c r="A291" s="1631" t="str">
        <f t="shared" si="21"/>
        <v>St.  LAWRENCE / FDR391Office Furniture &amp; Equipment</v>
      </c>
      <c r="B291" s="1632" t="s">
        <v>1521</v>
      </c>
      <c r="C291" s="1633" t="s">
        <v>107</v>
      </c>
      <c r="D291" s="1634" t="s">
        <v>1895</v>
      </c>
      <c r="E291" s="1633">
        <v>391</v>
      </c>
      <c r="F291" s="1633" t="s">
        <v>76</v>
      </c>
      <c r="G291" s="1304">
        <v>89019.090000000913</v>
      </c>
      <c r="H291" s="1304">
        <v>5368.8199999994968</v>
      </c>
      <c r="I291" s="1304">
        <v>83650.270000001416</v>
      </c>
      <c r="J291" s="1304">
        <v>6684</v>
      </c>
      <c r="K291" s="1304">
        <v>89019.090000000913</v>
      </c>
      <c r="L291" s="1304">
        <v>-1315.1800000005032</v>
      </c>
      <c r="M291" s="1304">
        <v>90334.270000001416</v>
      </c>
      <c r="N291" s="1304">
        <v>6667.36</v>
      </c>
      <c r="O291"/>
      <c r="P291"/>
      <c r="Q291"/>
      <c r="R291"/>
      <c r="S291"/>
      <c r="T291"/>
      <c r="U291"/>
      <c r="V291"/>
      <c r="W291"/>
      <c r="X291"/>
      <c r="Y291"/>
      <c r="Z291"/>
    </row>
    <row r="292" spans="1:26" s="1635" customFormat="1" ht="15.75" customHeight="1" outlineLevel="1">
      <c r="A292" s="1631" t="str">
        <f t="shared" si="21"/>
        <v>St.  LAWRENCE / FDR391.2Computer Equipment 5 yr</v>
      </c>
      <c r="B292" s="1632" t="s">
        <v>1522</v>
      </c>
      <c r="C292" s="1633" t="s">
        <v>107</v>
      </c>
      <c r="D292" s="1634" t="s">
        <v>1895</v>
      </c>
      <c r="E292" s="1633">
        <v>391.2</v>
      </c>
      <c r="F292" s="1633" t="s">
        <v>1815</v>
      </c>
      <c r="G292" s="1304">
        <v>245431.84000000005</v>
      </c>
      <c r="H292" s="1304">
        <v>219434.36000000002</v>
      </c>
      <c r="I292" s="1304">
        <v>25997.48000000004</v>
      </c>
      <c r="J292" s="1304">
        <v>36394</v>
      </c>
      <c r="K292" s="1304">
        <v>262281.18000000005</v>
      </c>
      <c r="L292" s="1304">
        <v>199889.7</v>
      </c>
      <c r="M292" s="1304">
        <v>62391.48000000004</v>
      </c>
      <c r="N292" s="1304">
        <v>53536</v>
      </c>
      <c r="O292"/>
      <c r="P292"/>
      <c r="Q292"/>
      <c r="R292"/>
      <c r="S292"/>
      <c r="T292"/>
      <c r="U292"/>
      <c r="V292"/>
      <c r="W292"/>
      <c r="X292"/>
      <c r="Y292"/>
      <c r="Z292"/>
    </row>
    <row r="293" spans="1:26" s="1635" customFormat="1" ht="15.75" customHeight="1" outlineLevel="1">
      <c r="A293" s="1631" t="str">
        <f t="shared" si="21"/>
        <v>St.  LAWRENCE / FDR391.3Computer Equipment 10 yr</v>
      </c>
      <c r="B293" s="1632" t="s">
        <v>1523</v>
      </c>
      <c r="C293" s="1633" t="s">
        <v>107</v>
      </c>
      <c r="D293" s="1634" t="s">
        <v>1895</v>
      </c>
      <c r="E293" s="1633">
        <v>391.3</v>
      </c>
      <c r="F293" s="1633" t="s">
        <v>1816</v>
      </c>
      <c r="G293" s="1304">
        <v>8440882.3899999987</v>
      </c>
      <c r="H293" s="1304">
        <v>7328078.3900000006</v>
      </c>
      <c r="I293" s="1304">
        <v>1112803.9999999981</v>
      </c>
      <c r="J293" s="1304">
        <v>844090</v>
      </c>
      <c r="K293" s="1304">
        <v>8440882.3899999987</v>
      </c>
      <c r="L293" s="1304">
        <v>6483988.3900000006</v>
      </c>
      <c r="M293" s="1304">
        <v>1956893.9999999981</v>
      </c>
      <c r="N293" s="1304">
        <v>841695.12</v>
      </c>
      <c r="O293"/>
      <c r="P293"/>
      <c r="Q293"/>
      <c r="R293"/>
      <c r="S293"/>
      <c r="T293"/>
      <c r="U293"/>
      <c r="V293"/>
      <c r="W293"/>
      <c r="X293"/>
      <c r="Y293"/>
      <c r="Z293"/>
    </row>
    <row r="294" spans="1:26" s="1635" customFormat="1" ht="15.75" customHeight="1" outlineLevel="1">
      <c r="A294" s="1631" t="str">
        <f t="shared" si="21"/>
        <v>St.  LAWRENCE / FDR392Transportation Equipment</v>
      </c>
      <c r="B294" s="1632" t="s">
        <v>1524</v>
      </c>
      <c r="C294" s="1633" t="s">
        <v>107</v>
      </c>
      <c r="D294" s="1634" t="s">
        <v>1895</v>
      </c>
      <c r="E294" s="1633">
        <v>392</v>
      </c>
      <c r="F294" s="1633" t="s">
        <v>77</v>
      </c>
      <c r="G294" s="1304">
        <v>16521019.510000002</v>
      </c>
      <c r="H294" s="1304">
        <v>12836128.52</v>
      </c>
      <c r="I294" s="1304">
        <v>3684890.9900000021</v>
      </c>
      <c r="J294" s="1304">
        <v>698299.23000000021</v>
      </c>
      <c r="K294" s="1304">
        <v>15529661.280000001</v>
      </c>
      <c r="L294" s="1304">
        <v>12168979.289999999</v>
      </c>
      <c r="M294" s="1304">
        <v>3360681.9900000021</v>
      </c>
      <c r="N294" s="1304">
        <v>1146783.8899999999</v>
      </c>
      <c r="O294"/>
      <c r="P294"/>
      <c r="Q294"/>
      <c r="R294"/>
      <c r="S294"/>
      <c r="T294"/>
      <c r="U294"/>
      <c r="V294"/>
      <c r="W294"/>
      <c r="X294"/>
      <c r="Y294"/>
      <c r="Z294"/>
    </row>
    <row r="295" spans="1:26" s="1635" customFormat="1" ht="15.75" customHeight="1" outlineLevel="1">
      <c r="A295" s="1631" t="str">
        <f t="shared" si="21"/>
        <v>St.  LAWRENCE / FDR393Stores Equipment</v>
      </c>
      <c r="B295" s="1632" t="s">
        <v>1525</v>
      </c>
      <c r="C295" s="1633" t="s">
        <v>107</v>
      </c>
      <c r="D295" s="1634" t="s">
        <v>1895</v>
      </c>
      <c r="E295" s="1633">
        <v>393</v>
      </c>
      <c r="F295" s="1633" t="s">
        <v>78</v>
      </c>
      <c r="G295" s="1304">
        <v>260677.87</v>
      </c>
      <c r="H295" s="1304">
        <v>191399.37</v>
      </c>
      <c r="I295" s="1304">
        <v>69278.5</v>
      </c>
      <c r="J295" s="1304">
        <v>9245</v>
      </c>
      <c r="K295" s="1304">
        <v>260677.87</v>
      </c>
      <c r="L295" s="1304">
        <v>182154.37</v>
      </c>
      <c r="M295" s="1304">
        <v>78523.5</v>
      </c>
      <c r="N295" s="1304">
        <v>9248</v>
      </c>
      <c r="O295"/>
      <c r="P295"/>
      <c r="Q295"/>
      <c r="R295"/>
      <c r="S295"/>
      <c r="T295"/>
      <c r="U295"/>
      <c r="V295"/>
      <c r="W295"/>
      <c r="X295"/>
      <c r="Y295"/>
      <c r="Z295"/>
    </row>
    <row r="296" spans="1:26" s="1635" customFormat="1" ht="15.75" customHeight="1" outlineLevel="1">
      <c r="A296" s="1631" t="str">
        <f t="shared" si="21"/>
        <v>St.  LAWRENCE / FDR394Tools, Shop &amp; Garage Equipment</v>
      </c>
      <c r="B296" s="1632" t="s">
        <v>1526</v>
      </c>
      <c r="C296" s="1633" t="s">
        <v>107</v>
      </c>
      <c r="D296" s="1634" t="s">
        <v>1895</v>
      </c>
      <c r="E296" s="1633">
        <v>394</v>
      </c>
      <c r="F296" s="1633" t="s">
        <v>79</v>
      </c>
      <c r="G296" s="1304">
        <v>6964888.0900000008</v>
      </c>
      <c r="H296" s="1304">
        <v>5560117.25</v>
      </c>
      <c r="I296" s="1304">
        <v>1404770.8400000008</v>
      </c>
      <c r="J296" s="1304">
        <v>469353.31</v>
      </c>
      <c r="K296" s="1304">
        <v>6902668.2000000011</v>
      </c>
      <c r="L296" s="1304">
        <v>5100009.3600000003</v>
      </c>
      <c r="M296" s="1304">
        <v>1802658.8400000008</v>
      </c>
      <c r="N296" s="1304">
        <v>467615.22</v>
      </c>
      <c r="O296"/>
      <c r="P296"/>
      <c r="Q296"/>
      <c r="R296"/>
      <c r="S296"/>
      <c r="T296"/>
      <c r="U296"/>
      <c r="V296"/>
      <c r="W296"/>
      <c r="X296"/>
      <c r="Y296"/>
      <c r="Z296"/>
    </row>
    <row r="297" spans="1:26" s="1635" customFormat="1" ht="15.75" customHeight="1" outlineLevel="1">
      <c r="A297" s="1631" t="str">
        <f t="shared" si="21"/>
        <v>St.  LAWRENCE / FDR395Laboratory Equipment</v>
      </c>
      <c r="B297" s="1632" t="s">
        <v>1527</v>
      </c>
      <c r="C297" s="1633" t="s">
        <v>107</v>
      </c>
      <c r="D297" s="1634" t="s">
        <v>1895</v>
      </c>
      <c r="E297" s="1633">
        <v>395</v>
      </c>
      <c r="F297" s="1633" t="s">
        <v>80</v>
      </c>
      <c r="G297" s="1304">
        <v>2465694.5499999998</v>
      </c>
      <c r="H297" s="1304">
        <v>1619320.4000000001</v>
      </c>
      <c r="I297" s="1304">
        <v>846374.14999999967</v>
      </c>
      <c r="J297" s="1304">
        <v>154681</v>
      </c>
      <c r="K297" s="1304">
        <v>2451914.0499999998</v>
      </c>
      <c r="L297" s="1304">
        <v>1483531.9000000001</v>
      </c>
      <c r="M297" s="1304">
        <v>968382.14999999967</v>
      </c>
      <c r="N297" s="1304">
        <v>153697</v>
      </c>
      <c r="O297"/>
      <c r="P297"/>
      <c r="Q297"/>
      <c r="R297"/>
      <c r="S297"/>
      <c r="T297"/>
      <c r="U297"/>
      <c r="V297"/>
      <c r="W297"/>
      <c r="X297"/>
      <c r="Y297"/>
      <c r="Z297"/>
    </row>
    <row r="298" spans="1:26" s="1635" customFormat="1" ht="15.75" customHeight="1" outlineLevel="1">
      <c r="A298" s="1631" t="str">
        <f t="shared" si="21"/>
        <v>St.  LAWRENCE / FDR396Power Operated Equipment</v>
      </c>
      <c r="B298" s="1632" t="s">
        <v>1528</v>
      </c>
      <c r="C298" s="1633" t="s">
        <v>107</v>
      </c>
      <c r="D298" s="1634" t="s">
        <v>1895</v>
      </c>
      <c r="E298" s="1633">
        <v>396</v>
      </c>
      <c r="F298" s="1633" t="s">
        <v>81</v>
      </c>
      <c r="G298" s="1304">
        <v>8162638.0299999993</v>
      </c>
      <c r="H298" s="1304">
        <v>4691197.2000000011</v>
      </c>
      <c r="I298" s="1304">
        <v>3471440.8299999982</v>
      </c>
      <c r="J298" s="1304">
        <v>598462</v>
      </c>
      <c r="K298" s="1304">
        <v>7435869.0299999993</v>
      </c>
      <c r="L298" s="1304">
        <v>4099944.2000000007</v>
      </c>
      <c r="M298" s="1304">
        <v>3335924.8299999987</v>
      </c>
      <c r="N298" s="1304">
        <v>576719</v>
      </c>
      <c r="O298"/>
      <c r="P298"/>
      <c r="Q298"/>
      <c r="R298"/>
      <c r="S298"/>
      <c r="T298"/>
      <c r="U298"/>
      <c r="V298"/>
      <c r="W298"/>
      <c r="X298"/>
      <c r="Y298"/>
      <c r="Z298"/>
    </row>
    <row r="299" spans="1:26" s="1635" customFormat="1" ht="15.75" customHeight="1" outlineLevel="1">
      <c r="A299" s="1631" t="str">
        <f t="shared" si="21"/>
        <v>St.  LAWRENCE / FDR397Communication Equipment</v>
      </c>
      <c r="B299" s="1632" t="s">
        <v>1529</v>
      </c>
      <c r="C299" s="1633" t="s">
        <v>107</v>
      </c>
      <c r="D299" s="1634" t="s">
        <v>1895</v>
      </c>
      <c r="E299" s="1633">
        <v>397</v>
      </c>
      <c r="F299" s="1633" t="s">
        <v>82</v>
      </c>
      <c r="G299" s="1304">
        <v>6160391.6700000009</v>
      </c>
      <c r="H299" s="1304">
        <v>4926339.55</v>
      </c>
      <c r="I299" s="1304">
        <v>1234052.120000001</v>
      </c>
      <c r="J299" s="1304">
        <v>410698</v>
      </c>
      <c r="K299" s="1304">
        <v>6303039.5500000007</v>
      </c>
      <c r="L299" s="1304">
        <v>4658289.43</v>
      </c>
      <c r="M299" s="1304">
        <v>1644750.120000001</v>
      </c>
      <c r="N299" s="1304">
        <v>411044.51</v>
      </c>
      <c r="O299"/>
      <c r="P299"/>
      <c r="Q299"/>
      <c r="R299"/>
      <c r="S299"/>
      <c r="T299"/>
      <c r="U299"/>
      <c r="V299"/>
      <c r="W299"/>
      <c r="X299"/>
      <c r="Y299"/>
      <c r="Z299"/>
    </row>
    <row r="300" spans="1:26" s="1635" customFormat="1" ht="15.75" customHeight="1" outlineLevel="1">
      <c r="A300" s="1631" t="str">
        <f t="shared" si="21"/>
        <v>St.  LAWRENCE / FDR398Miscellaneous Equipment</v>
      </c>
      <c r="B300" s="1632" t="s">
        <v>1530</v>
      </c>
      <c r="C300" s="1633" t="s">
        <v>107</v>
      </c>
      <c r="D300" s="1634" t="s">
        <v>1895</v>
      </c>
      <c r="E300" s="1633">
        <v>398</v>
      </c>
      <c r="F300" s="1633" t="s">
        <v>83</v>
      </c>
      <c r="G300" s="1304">
        <v>224981390.49000001</v>
      </c>
      <c r="H300" s="1304">
        <v>98299063.109999999</v>
      </c>
      <c r="I300" s="1304">
        <v>126682327.38000001</v>
      </c>
      <c r="J300" s="1304">
        <v>5922519.8299999991</v>
      </c>
      <c r="K300" s="1304">
        <v>217121166.66</v>
      </c>
      <c r="L300" s="1304">
        <v>92376543.280000001</v>
      </c>
      <c r="M300" s="1304">
        <v>124744623.38</v>
      </c>
      <c r="N300" s="1304">
        <v>6180279.8099999996</v>
      </c>
      <c r="O300"/>
      <c r="P300"/>
      <c r="Q300"/>
      <c r="R300"/>
      <c r="S300"/>
      <c r="T300"/>
      <c r="U300"/>
      <c r="V300"/>
      <c r="W300"/>
      <c r="X300"/>
      <c r="Y300"/>
      <c r="Z300"/>
    </row>
    <row r="301" spans="1:26" s="1635" customFormat="1" ht="15.75" customHeight="1" outlineLevel="1">
      <c r="A301" s="1631" t="str">
        <f t="shared" si="21"/>
        <v>St.  LAWRENCE / FDR399Other Tangible Property</v>
      </c>
      <c r="B301" s="1632" t="s">
        <v>1531</v>
      </c>
      <c r="C301" s="1633" t="s">
        <v>107</v>
      </c>
      <c r="D301" s="1634" t="s">
        <v>1895</v>
      </c>
      <c r="E301" s="1633">
        <v>399</v>
      </c>
      <c r="F301" s="1633" t="s">
        <v>84</v>
      </c>
      <c r="G301" s="1304">
        <v>1126419</v>
      </c>
      <c r="H301" s="1304">
        <v>645479</v>
      </c>
      <c r="I301" s="1304">
        <v>480940</v>
      </c>
      <c r="J301" s="1304">
        <v>75095</v>
      </c>
      <c r="K301" s="1304">
        <v>1126419</v>
      </c>
      <c r="L301" s="1304">
        <v>570384</v>
      </c>
      <c r="M301" s="1304">
        <v>556035</v>
      </c>
      <c r="N301" s="1304">
        <v>75095</v>
      </c>
      <c r="O301"/>
      <c r="P301"/>
      <c r="Q301"/>
      <c r="R301"/>
      <c r="S301"/>
      <c r="T301"/>
      <c r="U301"/>
      <c r="V301"/>
      <c r="W301"/>
      <c r="X301"/>
      <c r="Y301"/>
      <c r="Z301"/>
    </row>
    <row r="302" spans="1:26" s="1635" customFormat="1" ht="15.6" customHeight="1" outlineLevel="1">
      <c r="A302" s="1631" t="str">
        <f t="shared" si="21"/>
        <v>500mW C - C at Astoria391Office Furniture &amp; Equipment</v>
      </c>
      <c r="B302" s="1632" t="s">
        <v>2096</v>
      </c>
      <c r="C302" s="1633" t="s">
        <v>107</v>
      </c>
      <c r="D302" s="1634" t="s">
        <v>153</v>
      </c>
      <c r="E302" s="1633">
        <v>391</v>
      </c>
      <c r="F302" s="1633" t="s">
        <v>76</v>
      </c>
      <c r="G302" s="1304">
        <v>179725.36</v>
      </c>
      <c r="H302" s="1304">
        <v>145835.35999999999</v>
      </c>
      <c r="I302" s="1304">
        <v>33890</v>
      </c>
      <c r="J302" s="1304">
        <v>15486.61</v>
      </c>
      <c r="K302" s="1304">
        <v>155629.74999999997</v>
      </c>
      <c r="L302" s="1304">
        <v>130348.75</v>
      </c>
      <c r="M302" s="1304">
        <v>25280.999999999971</v>
      </c>
      <c r="N302" s="1304">
        <v>19274</v>
      </c>
      <c r="O302"/>
      <c r="P302"/>
      <c r="Q302"/>
      <c r="R302"/>
      <c r="S302"/>
      <c r="T302"/>
      <c r="U302"/>
      <c r="V302"/>
      <c r="W302"/>
      <c r="X302"/>
      <c r="Y302"/>
      <c r="Z302"/>
    </row>
    <row r="303" spans="1:26" s="1635" customFormat="1" ht="15.75" customHeight="1" outlineLevel="1">
      <c r="A303" s="1631" t="str">
        <f t="shared" si="21"/>
        <v>500mW C - C at Astoria391.2Office Furniture &amp; Equipment - 5 years</v>
      </c>
      <c r="B303" s="1632" t="s">
        <v>2097</v>
      </c>
      <c r="C303" s="1633" t="s">
        <v>107</v>
      </c>
      <c r="D303" s="1634" t="s">
        <v>153</v>
      </c>
      <c r="E303" s="1633">
        <v>391.2</v>
      </c>
      <c r="F303" s="1633" t="s">
        <v>2005</v>
      </c>
      <c r="G303" s="1304">
        <v>33516.410000000003</v>
      </c>
      <c r="H303" s="1304">
        <v>29616.9</v>
      </c>
      <c r="I303" s="1304">
        <v>3899.510000000002</v>
      </c>
      <c r="J303" s="1304">
        <v>6705</v>
      </c>
      <c r="K303" s="1304">
        <v>33516.410000000003</v>
      </c>
      <c r="L303" s="1304">
        <v>22911.9</v>
      </c>
      <c r="M303" s="1304">
        <v>10604.510000000002</v>
      </c>
      <c r="N303" s="1304">
        <v>6705</v>
      </c>
      <c r="O303"/>
      <c r="P303"/>
      <c r="Q303"/>
      <c r="R303"/>
      <c r="S303"/>
      <c r="T303"/>
      <c r="U303"/>
      <c r="V303"/>
      <c r="W303"/>
      <c r="X303"/>
      <c r="Y303"/>
      <c r="Z303"/>
    </row>
    <row r="304" spans="1:26" s="1635" customFormat="1" ht="15.75" customHeight="1" outlineLevel="1">
      <c r="A304" s="1631" t="str">
        <f t="shared" si="21"/>
        <v>500mW C - C at Astoria391.3Office Furniture &amp; Equipment - 10 years</v>
      </c>
      <c r="B304" s="1632" t="s">
        <v>1532</v>
      </c>
      <c r="C304" s="1633" t="s">
        <v>107</v>
      </c>
      <c r="D304" s="1634" t="s">
        <v>153</v>
      </c>
      <c r="E304" s="1633">
        <v>391.3</v>
      </c>
      <c r="F304" s="1633" t="s">
        <v>2006</v>
      </c>
      <c r="G304" s="1304">
        <v>654887.76</v>
      </c>
      <c r="H304" s="1304">
        <v>163722.76</v>
      </c>
      <c r="I304" s="1304">
        <v>491165</v>
      </c>
      <c r="J304" s="1304">
        <v>65489</v>
      </c>
      <c r="K304" s="1304">
        <v>654887.76</v>
      </c>
      <c r="L304" s="1304">
        <v>98233.76</v>
      </c>
      <c r="M304" s="1304">
        <v>556654</v>
      </c>
      <c r="N304" s="1304">
        <v>65489</v>
      </c>
      <c r="O304"/>
      <c r="P304"/>
      <c r="Q304"/>
      <c r="R304"/>
      <c r="S304"/>
      <c r="T304"/>
      <c r="U304"/>
      <c r="V304"/>
      <c r="W304"/>
      <c r="X304"/>
      <c r="Y304"/>
      <c r="Z304"/>
    </row>
    <row r="305" spans="1:16381" s="1635" customFormat="1" ht="15.75" customHeight="1" outlineLevel="1">
      <c r="A305" s="1631" t="str">
        <f t="shared" si="21"/>
        <v>500mW C - C at Astoria392Transprt.Equip-500MW</v>
      </c>
      <c r="B305" s="1632" t="s">
        <v>1533</v>
      </c>
      <c r="C305" s="1633" t="s">
        <v>107</v>
      </c>
      <c r="D305" s="1634" t="s">
        <v>153</v>
      </c>
      <c r="E305" s="1633">
        <v>392</v>
      </c>
      <c r="F305" s="1633" t="s">
        <v>1916</v>
      </c>
      <c r="G305" s="1304">
        <v>1348083.6400000001</v>
      </c>
      <c r="H305" s="1304">
        <v>550951.14</v>
      </c>
      <c r="I305" s="1304">
        <v>797132.50000000012</v>
      </c>
      <c r="J305" s="1304">
        <v>85777.099999999991</v>
      </c>
      <c r="K305" s="1304">
        <v>685870.04</v>
      </c>
      <c r="L305" s="1304">
        <v>465174.04000000004</v>
      </c>
      <c r="M305" s="1304">
        <v>220696</v>
      </c>
      <c r="N305" s="1304">
        <v>39400.120000000003</v>
      </c>
      <c r="O305"/>
      <c r="P305"/>
      <c r="Q305"/>
      <c r="R305"/>
      <c r="S305"/>
      <c r="T305"/>
      <c r="U305"/>
      <c r="V305"/>
      <c r="W305"/>
      <c r="X305"/>
      <c r="Y305"/>
      <c r="Z305"/>
    </row>
    <row r="306" spans="1:16381" s="1635" customFormat="1" ht="15.75" customHeight="1" outlineLevel="1">
      <c r="A306" s="1631" t="str">
        <f t="shared" si="21"/>
        <v>500mW C - C at Astoria394Tools, Shop &amp; Garage Equipment</v>
      </c>
      <c r="B306" s="1632" t="s">
        <v>2098</v>
      </c>
      <c r="C306" s="1633" t="s">
        <v>107</v>
      </c>
      <c r="D306" s="1634" t="s">
        <v>153</v>
      </c>
      <c r="E306" s="1633">
        <v>394</v>
      </c>
      <c r="F306" s="1633" t="s">
        <v>79</v>
      </c>
      <c r="G306" s="1304">
        <v>68609.17</v>
      </c>
      <c r="H306" s="1304">
        <v>68609.17</v>
      </c>
      <c r="I306" s="1304">
        <v>0</v>
      </c>
      <c r="J306" s="1304">
        <v>0</v>
      </c>
      <c r="K306" s="1304">
        <v>68609.17</v>
      </c>
      <c r="L306" s="1304">
        <v>68609.17</v>
      </c>
      <c r="M306" s="1304">
        <v>0</v>
      </c>
      <c r="N306" s="1304">
        <v>3762</v>
      </c>
      <c r="O306"/>
      <c r="P306"/>
      <c r="Q306"/>
      <c r="R306"/>
      <c r="S306"/>
      <c r="T306"/>
      <c r="U306"/>
      <c r="V306"/>
      <c r="W306"/>
      <c r="X306"/>
      <c r="Y306"/>
      <c r="Z306"/>
    </row>
    <row r="307" spans="1:16381" s="1635" customFormat="1" ht="15.75" customHeight="1" outlineLevel="1">
      <c r="A307" s="1631" t="str">
        <f t="shared" si="21"/>
        <v>500mW C - C at Astoria395Laboratory Equipment</v>
      </c>
      <c r="B307" s="1632" t="s">
        <v>1534</v>
      </c>
      <c r="C307" s="1633" t="s">
        <v>107</v>
      </c>
      <c r="D307" s="1634" t="s">
        <v>153</v>
      </c>
      <c r="E307" s="1633">
        <v>395</v>
      </c>
      <c r="F307" s="1633" t="s">
        <v>80</v>
      </c>
      <c r="G307" s="1304">
        <v>2143542.84</v>
      </c>
      <c r="H307" s="1304">
        <v>1162972.8399999999</v>
      </c>
      <c r="I307" s="1304">
        <v>980570</v>
      </c>
      <c r="J307" s="1304">
        <v>207997</v>
      </c>
      <c r="K307" s="1304">
        <v>2143542.84</v>
      </c>
      <c r="L307" s="1304">
        <v>954975.84</v>
      </c>
      <c r="M307" s="1304">
        <v>1188567</v>
      </c>
      <c r="N307" s="1304">
        <v>207997</v>
      </c>
      <c r="O307"/>
      <c r="P307"/>
      <c r="Q307"/>
      <c r="R307"/>
      <c r="S307"/>
      <c r="T307"/>
      <c r="U307"/>
      <c r="V307"/>
      <c r="W307"/>
      <c r="X307"/>
      <c r="Y307"/>
      <c r="Z307"/>
    </row>
    <row r="308" spans="1:16381" s="1635" customFormat="1" ht="15.75" customHeight="1" outlineLevel="1">
      <c r="A308" s="1631" t="str">
        <f t="shared" si="21"/>
        <v>500mW C - C at Astoria396Power Oper Eqp-500MW</v>
      </c>
      <c r="B308" s="1632" t="s">
        <v>1535</v>
      </c>
      <c r="C308" s="1633" t="s">
        <v>107</v>
      </c>
      <c r="D308" s="1634" t="s">
        <v>153</v>
      </c>
      <c r="E308" s="1633">
        <v>396</v>
      </c>
      <c r="F308" s="1633" t="s">
        <v>1917</v>
      </c>
      <c r="G308" s="1304">
        <v>678685.7</v>
      </c>
      <c r="H308" s="1304">
        <v>576019.68999999994</v>
      </c>
      <c r="I308" s="1304">
        <v>102666.01000000001</v>
      </c>
      <c r="J308" s="1304">
        <v>54434</v>
      </c>
      <c r="K308" s="1304">
        <v>678685.7</v>
      </c>
      <c r="L308" s="1304">
        <v>521585.68999999994</v>
      </c>
      <c r="M308" s="1304">
        <v>157100.01</v>
      </c>
      <c r="N308" s="1304">
        <v>60182</v>
      </c>
      <c r="O308"/>
      <c r="P308"/>
      <c r="Q308"/>
      <c r="R308"/>
      <c r="S308"/>
      <c r="T308"/>
      <c r="U308"/>
      <c r="V308"/>
      <c r="W308"/>
      <c r="X308"/>
      <c r="Y308"/>
      <c r="Z308"/>
    </row>
    <row r="309" spans="1:16381" s="1635" customFormat="1" ht="15.75" customHeight="1" outlineLevel="1">
      <c r="A309" s="1631" t="str">
        <f t="shared" si="21"/>
        <v>500mW C - C at Astoria398Miscellaneous Equipment</v>
      </c>
      <c r="B309" s="1632" t="s">
        <v>1536</v>
      </c>
      <c r="C309" s="1633" t="s">
        <v>107</v>
      </c>
      <c r="D309" s="1634" t="s">
        <v>153</v>
      </c>
      <c r="E309" s="1633">
        <v>398</v>
      </c>
      <c r="F309" s="1633" t="s">
        <v>83</v>
      </c>
      <c r="G309" s="1304">
        <v>1764738.46</v>
      </c>
      <c r="H309" s="1304">
        <v>695743.95</v>
      </c>
      <c r="I309" s="1304">
        <v>1068994.51</v>
      </c>
      <c r="J309" s="1304">
        <v>43623.72</v>
      </c>
      <c r="K309" s="1304">
        <v>722134.74</v>
      </c>
      <c r="L309" s="1304">
        <v>652120.23</v>
      </c>
      <c r="M309" s="1304">
        <v>70014.510000000009</v>
      </c>
      <c r="N309" s="1304">
        <v>6251</v>
      </c>
      <c r="O309"/>
      <c r="P309"/>
      <c r="Q309"/>
      <c r="R309"/>
      <c r="S309"/>
      <c r="T309"/>
      <c r="U309"/>
      <c r="V309"/>
      <c r="W309"/>
      <c r="X309"/>
      <c r="Y309"/>
      <c r="Z309"/>
    </row>
    <row r="310" spans="1:16381" s="1635" customFormat="1" ht="15.75" customHeight="1" outlineLevel="1">
      <c r="A310" s="1631" t="str">
        <f t="shared" si="21"/>
        <v>BRENTWOOD  (Long Island)398Miscellaneous Equipment</v>
      </c>
      <c r="B310" s="1632" t="s">
        <v>1537</v>
      </c>
      <c r="C310" s="1633" t="s">
        <v>107</v>
      </c>
      <c r="D310" s="1634" t="s">
        <v>159</v>
      </c>
      <c r="E310" s="1633">
        <v>398</v>
      </c>
      <c r="F310" s="1633" t="s">
        <v>83</v>
      </c>
      <c r="G310" s="1304">
        <v>181336.84</v>
      </c>
      <c r="H310" s="1304">
        <v>181337.84</v>
      </c>
      <c r="I310" s="1304">
        <v>-1</v>
      </c>
      <c r="J310" s="1304">
        <v>0</v>
      </c>
      <c r="K310" s="1304">
        <v>181336.84</v>
      </c>
      <c r="L310" s="1304">
        <v>181337.84</v>
      </c>
      <c r="M310" s="1304">
        <v>-1</v>
      </c>
      <c r="N310" s="1304">
        <v>0</v>
      </c>
      <c r="O310"/>
      <c r="P310"/>
      <c r="Q310"/>
      <c r="R310"/>
      <c r="S310"/>
      <c r="T310"/>
      <c r="U310"/>
      <c r="V310"/>
      <c r="W310"/>
      <c r="X310"/>
      <c r="Y310"/>
      <c r="Z310"/>
    </row>
    <row r="311" spans="1:16381" s="1635" customFormat="1" ht="15.75" customHeight="1" outlineLevel="1">
      <c r="A311" s="1631" t="str">
        <f t="shared" si="21"/>
        <v>Evolve &amp; Re-Imagine121Non-utility property</v>
      </c>
      <c r="B311" s="1972" t="s">
        <v>1538</v>
      </c>
      <c r="C311" s="1633" t="s">
        <v>107</v>
      </c>
      <c r="D311" s="1634" t="s">
        <v>2055</v>
      </c>
      <c r="E311" s="1633">
        <v>121</v>
      </c>
      <c r="F311" s="1633" t="s">
        <v>2056</v>
      </c>
      <c r="G311" s="1304">
        <v>14658133.5</v>
      </c>
      <c r="H311" s="1304">
        <v>671036.54</v>
      </c>
      <c r="I311" s="1304">
        <v>13987096.960000001</v>
      </c>
      <c r="J311" s="1304">
        <v>671036.54</v>
      </c>
      <c r="K311" s="1304"/>
      <c r="L311" s="1304"/>
      <c r="M311" s="1304"/>
      <c r="N311" s="1304"/>
      <c r="O311"/>
      <c r="P311"/>
      <c r="Q311"/>
      <c r="R311"/>
      <c r="S311"/>
      <c r="T311"/>
      <c r="U311"/>
      <c r="V311"/>
      <c r="W311"/>
      <c r="X311"/>
      <c r="Y311"/>
      <c r="Z311"/>
    </row>
    <row r="312" spans="1:16381" s="1635" customFormat="1" ht="15.75" customHeight="1" outlineLevel="1">
      <c r="A312" s="1631" t="str">
        <f t="shared" si="21"/>
        <v>FLYNN  (Holtsville)391Office Furniture &amp; Equipment</v>
      </c>
      <c r="B312" s="1972" t="s">
        <v>1539</v>
      </c>
      <c r="C312" s="1633" t="s">
        <v>107</v>
      </c>
      <c r="D312" s="1634" t="s">
        <v>155</v>
      </c>
      <c r="E312" s="1633">
        <v>391</v>
      </c>
      <c r="F312" s="1633" t="s">
        <v>76</v>
      </c>
      <c r="G312" s="1304">
        <v>307066.90999999997</v>
      </c>
      <c r="H312" s="1304">
        <v>216216.90999999997</v>
      </c>
      <c r="I312" s="1304">
        <v>90850</v>
      </c>
      <c r="J312" s="1304">
        <v>12980</v>
      </c>
      <c r="K312" s="1304">
        <v>307066.90999999997</v>
      </c>
      <c r="L312" s="1304">
        <v>203236.90999999997</v>
      </c>
      <c r="M312" s="1304">
        <v>103830</v>
      </c>
      <c r="N312" s="1304">
        <v>13439</v>
      </c>
      <c r="O312"/>
      <c r="P312"/>
      <c r="Q312"/>
      <c r="R312"/>
      <c r="S312"/>
      <c r="T312"/>
      <c r="U312"/>
      <c r="V312"/>
      <c r="W312"/>
      <c r="X312"/>
      <c r="Y312"/>
      <c r="Z312"/>
    </row>
    <row r="313" spans="1:16381" s="1635" customFormat="1" ht="15.75" customHeight="1" outlineLevel="1">
      <c r="A313" s="1631" t="str">
        <f>CONCATENATE(D313,E313,F313)</f>
        <v>FLYNN  (Holtsville)391.3Computer Equipment 10 yr</v>
      </c>
      <c r="B313" s="1973" t="s">
        <v>1540</v>
      </c>
      <c r="C313" s="1958" t="s">
        <v>107</v>
      </c>
      <c r="D313" s="1959" t="s">
        <v>155</v>
      </c>
      <c r="E313" s="1958">
        <v>391.3</v>
      </c>
      <c r="F313" s="1958" t="s">
        <v>1816</v>
      </c>
      <c r="G313" s="1304">
        <v>596333.92000000004</v>
      </c>
      <c r="H313" s="1174">
        <v>34786.92</v>
      </c>
      <c r="I313" s="1174">
        <v>561547</v>
      </c>
      <c r="J313" s="1174">
        <v>34786.92</v>
      </c>
      <c r="K313" s="1957">
        <v>0</v>
      </c>
      <c r="L313" s="1957">
        <v>0</v>
      </c>
      <c r="M313" s="1957">
        <v>0</v>
      </c>
      <c r="N313" s="1957">
        <v>0</v>
      </c>
      <c r="O313"/>
      <c r="P313"/>
      <c r="Q313"/>
      <c r="R313"/>
      <c r="S313"/>
      <c r="T313"/>
      <c r="U313"/>
      <c r="V313"/>
      <c r="W313"/>
      <c r="X313"/>
      <c r="Y313"/>
      <c r="Z313"/>
      <c r="AA313" s="1956"/>
      <c r="AB313" s="1956"/>
      <c r="AC313" s="1956"/>
      <c r="AD313" s="1956"/>
      <c r="AE313" s="1956"/>
      <c r="AF313" s="1956"/>
      <c r="AG313" s="1956"/>
      <c r="AH313" s="1956"/>
      <c r="AI313" s="1956"/>
      <c r="AJ313" s="1956"/>
      <c r="AK313" s="1956"/>
      <c r="AL313" s="1956"/>
      <c r="AM313" s="1956"/>
      <c r="AN313" s="1956"/>
      <c r="AO313" s="1956"/>
      <c r="AP313" s="1956"/>
      <c r="AQ313" s="1956"/>
      <c r="AR313" s="1956"/>
      <c r="AS313" s="1956"/>
      <c r="AT313" s="1956"/>
      <c r="AU313" s="1956"/>
      <c r="AV313" s="1956"/>
      <c r="AW313" s="1956"/>
      <c r="AX313" s="1956"/>
      <c r="AY313" s="1956"/>
      <c r="AZ313" s="1956"/>
      <c r="BA313" s="1956"/>
      <c r="BB313" s="1956"/>
      <c r="BC313" s="1956"/>
      <c r="BD313" s="1956"/>
      <c r="BE313" s="1956"/>
      <c r="BF313" s="1956"/>
      <c r="BG313" s="1956"/>
      <c r="BH313" s="1956"/>
      <c r="BI313" s="1956"/>
      <c r="BJ313" s="1956"/>
      <c r="BK313" s="1956"/>
      <c r="BL313" s="1956"/>
      <c r="BM313" s="1956"/>
      <c r="BN313" s="1956"/>
      <c r="BO313" s="1956"/>
      <c r="BP313" s="1956"/>
      <c r="BQ313" s="1956"/>
      <c r="BR313" s="1956"/>
      <c r="BS313" s="1956"/>
      <c r="BT313" s="1956"/>
      <c r="BU313" s="1956"/>
      <c r="BV313" s="1956"/>
      <c r="BW313" s="1956"/>
      <c r="BX313" s="1956"/>
      <c r="BY313" s="1956"/>
      <c r="BZ313" s="1956"/>
      <c r="CA313" s="1956"/>
      <c r="CB313" s="1956"/>
      <c r="CC313" s="1956"/>
      <c r="CD313" s="1956"/>
      <c r="CE313" s="1956"/>
      <c r="CF313" s="1956"/>
      <c r="CG313" s="1956"/>
      <c r="CH313" s="1956"/>
      <c r="CI313" s="1956"/>
      <c r="CJ313" s="1956"/>
      <c r="CK313" s="1956"/>
      <c r="CL313" s="1956"/>
      <c r="CM313" s="1956"/>
      <c r="CN313" s="1956"/>
      <c r="CO313" s="1956"/>
      <c r="CP313" s="1956"/>
      <c r="CQ313" s="1956"/>
      <c r="CR313" s="1956"/>
      <c r="CS313" s="1956"/>
      <c r="CT313" s="1956"/>
      <c r="CU313" s="1956"/>
      <c r="CV313" s="1956"/>
      <c r="CW313" s="1956"/>
      <c r="CX313" s="1956"/>
      <c r="CY313" s="1956"/>
      <c r="CZ313" s="1956"/>
      <c r="DA313" s="1956"/>
      <c r="DB313" s="1956"/>
      <c r="DC313" s="1956"/>
      <c r="DD313" s="1956"/>
      <c r="DE313" s="1956"/>
      <c r="DF313" s="1956"/>
      <c r="DG313" s="1956"/>
      <c r="DH313" s="1956"/>
      <c r="DI313" s="1956"/>
      <c r="DJ313" s="1956"/>
      <c r="DK313" s="1956"/>
      <c r="DL313" s="1956"/>
      <c r="DM313" s="1956"/>
      <c r="DN313" s="1956"/>
      <c r="DO313" s="1956"/>
      <c r="DP313" s="1956"/>
      <c r="DQ313" s="1956"/>
      <c r="DR313" s="1956"/>
      <c r="DS313" s="1956"/>
      <c r="DT313" s="1956"/>
      <c r="DU313" s="1956"/>
      <c r="DV313" s="1956"/>
      <c r="DW313" s="1956"/>
      <c r="DX313" s="1956"/>
      <c r="DY313" s="1956"/>
      <c r="DZ313" s="1956"/>
      <c r="EA313" s="1956"/>
      <c r="EB313" s="1956"/>
      <c r="EC313" s="1956"/>
      <c r="ED313" s="1956"/>
      <c r="EE313" s="1956"/>
      <c r="EF313" s="1956"/>
      <c r="EG313" s="1956"/>
      <c r="EH313" s="1956"/>
      <c r="EI313" s="1956"/>
      <c r="EJ313" s="1956"/>
      <c r="EK313" s="1956"/>
      <c r="EL313" s="1956"/>
      <c r="EM313" s="1956"/>
      <c r="EN313" s="1956"/>
      <c r="EO313" s="1956"/>
      <c r="EP313" s="1956"/>
      <c r="EQ313" s="1956"/>
      <c r="ER313" s="1956"/>
      <c r="ES313" s="1956"/>
      <c r="ET313" s="1956"/>
      <c r="EU313" s="1956"/>
      <c r="EV313" s="1956"/>
      <c r="EW313" s="1956"/>
      <c r="EX313" s="1956"/>
      <c r="EY313" s="1956"/>
      <c r="EZ313" s="1956"/>
      <c r="FA313" s="1956"/>
      <c r="FB313" s="1956"/>
      <c r="FC313" s="1956"/>
      <c r="FD313" s="1956"/>
      <c r="FE313" s="1956"/>
      <c r="FF313" s="1956"/>
      <c r="FG313" s="1956"/>
      <c r="FH313" s="1956"/>
      <c r="FI313" s="1956"/>
      <c r="FJ313" s="1956"/>
      <c r="FK313" s="1956"/>
      <c r="FL313" s="1956"/>
      <c r="FM313" s="1956"/>
      <c r="FN313" s="1956"/>
      <c r="FO313" s="1956"/>
      <c r="FP313" s="1956"/>
      <c r="FQ313" s="1956"/>
      <c r="FR313" s="1956"/>
      <c r="FS313" s="1956"/>
      <c r="FT313" s="1956"/>
      <c r="FU313" s="1956"/>
      <c r="FV313" s="1956"/>
      <c r="FW313" s="1956"/>
      <c r="FX313" s="1956"/>
      <c r="FY313" s="1956"/>
      <c r="FZ313" s="1956"/>
      <c r="GA313" s="1956"/>
      <c r="GB313" s="1956"/>
      <c r="GC313" s="1956"/>
      <c r="GD313" s="1956"/>
      <c r="GE313" s="1956"/>
      <c r="GF313" s="1956"/>
      <c r="GG313" s="1956"/>
      <c r="GH313" s="1956"/>
      <c r="GI313" s="1956"/>
      <c r="GJ313" s="1956"/>
      <c r="GK313" s="1956"/>
      <c r="GL313" s="1956"/>
      <c r="GM313" s="1956"/>
      <c r="GN313" s="1956"/>
      <c r="GO313" s="1956"/>
      <c r="GP313" s="1956"/>
      <c r="GQ313" s="1956"/>
      <c r="GR313" s="1956"/>
      <c r="GS313" s="1956"/>
      <c r="GT313" s="1956"/>
      <c r="GU313" s="1956"/>
      <c r="GV313" s="1956"/>
      <c r="GW313" s="1956"/>
      <c r="GX313" s="1956"/>
      <c r="GY313" s="1956"/>
      <c r="GZ313" s="1956"/>
      <c r="HA313" s="1956"/>
      <c r="HB313" s="1956"/>
      <c r="HC313" s="1956"/>
      <c r="HD313" s="1956"/>
      <c r="HE313" s="1956"/>
      <c r="HF313" s="1956"/>
      <c r="HG313" s="1956"/>
      <c r="HH313" s="1956"/>
      <c r="HI313" s="1956"/>
      <c r="HJ313" s="1956"/>
      <c r="HK313" s="1956"/>
      <c r="HL313" s="1956"/>
      <c r="HM313" s="1956"/>
      <c r="HN313" s="1956"/>
      <c r="HO313" s="1956"/>
      <c r="HP313" s="1956"/>
      <c r="HQ313" s="1956"/>
      <c r="HR313" s="1956"/>
      <c r="HS313" s="1956"/>
      <c r="HT313" s="1956"/>
      <c r="HU313" s="1956"/>
      <c r="HV313" s="1956"/>
      <c r="HW313" s="1956"/>
      <c r="HX313" s="1956"/>
      <c r="HY313" s="1956"/>
      <c r="HZ313" s="1956"/>
      <c r="IA313" s="1956"/>
      <c r="IB313" s="1956"/>
      <c r="IC313" s="1956"/>
      <c r="ID313" s="1956"/>
      <c r="IE313" s="1956"/>
      <c r="IF313" s="1956"/>
      <c r="IG313" s="1956"/>
      <c r="IH313" s="1956"/>
      <c r="II313" s="1956"/>
      <c r="IJ313" s="1956"/>
      <c r="IK313" s="1956"/>
      <c r="IL313" s="1956"/>
      <c r="IM313" s="1956"/>
      <c r="IN313" s="1956"/>
      <c r="IO313" s="1956"/>
      <c r="IP313" s="1956"/>
      <c r="IQ313" s="1956"/>
      <c r="IR313" s="1956"/>
      <c r="IS313" s="1956"/>
      <c r="IT313" s="1956"/>
      <c r="IU313" s="1956"/>
      <c r="IV313" s="1956"/>
      <c r="IW313" s="1956"/>
      <c r="IX313" s="1956"/>
      <c r="IY313" s="1956"/>
      <c r="IZ313" s="1956"/>
      <c r="JA313" s="1956"/>
      <c r="JB313" s="1956"/>
      <c r="JC313" s="1956"/>
      <c r="JD313" s="1956"/>
      <c r="JE313" s="1956"/>
      <c r="JF313" s="1956"/>
      <c r="JG313" s="1956"/>
      <c r="JH313" s="1956"/>
      <c r="JI313" s="1956"/>
      <c r="JJ313" s="1956"/>
      <c r="JK313" s="1956"/>
      <c r="JL313" s="1956"/>
      <c r="JM313" s="1956"/>
      <c r="JN313" s="1956"/>
      <c r="JO313" s="1956"/>
      <c r="JP313" s="1956"/>
      <c r="JQ313" s="1956"/>
      <c r="JR313" s="1956"/>
      <c r="JS313" s="1956"/>
      <c r="JT313" s="1956"/>
      <c r="JU313" s="1956"/>
      <c r="JV313" s="1956"/>
      <c r="JW313" s="1956"/>
      <c r="JX313" s="1956"/>
      <c r="JY313" s="1956"/>
      <c r="JZ313" s="1956"/>
      <c r="KA313" s="1956"/>
      <c r="KB313" s="1956"/>
      <c r="KC313" s="1956"/>
      <c r="KD313" s="1956"/>
      <c r="KE313" s="1956"/>
      <c r="KF313" s="1956"/>
      <c r="KG313" s="1956"/>
      <c r="KH313" s="1956"/>
      <c r="KI313" s="1956"/>
      <c r="KJ313" s="1956"/>
      <c r="KK313" s="1956"/>
      <c r="KL313" s="1956"/>
      <c r="KM313" s="1956"/>
      <c r="KN313" s="1956"/>
      <c r="KO313" s="1956"/>
      <c r="KP313" s="1956"/>
      <c r="KQ313" s="1956"/>
      <c r="KR313" s="1956"/>
      <c r="KS313" s="1956"/>
      <c r="KT313" s="1956"/>
      <c r="KU313" s="1956"/>
      <c r="KV313" s="1956"/>
      <c r="KW313" s="1956"/>
      <c r="KX313" s="1956"/>
      <c r="KY313" s="1956"/>
      <c r="KZ313" s="1956"/>
      <c r="LA313" s="1956"/>
      <c r="LB313" s="1956"/>
      <c r="LC313" s="1956"/>
      <c r="LD313" s="1956"/>
      <c r="LE313" s="1956"/>
      <c r="LF313" s="1956"/>
      <c r="LG313" s="1956"/>
      <c r="LH313" s="1956"/>
      <c r="LI313" s="1956"/>
      <c r="LJ313" s="1956"/>
      <c r="LK313" s="1956"/>
      <c r="LL313" s="1956"/>
      <c r="LM313" s="1956"/>
      <c r="LN313" s="1956"/>
      <c r="LO313" s="1956"/>
      <c r="LP313" s="1956"/>
      <c r="LQ313" s="1956"/>
      <c r="LR313" s="1956"/>
      <c r="LS313" s="1956"/>
      <c r="LT313" s="1956"/>
      <c r="LU313" s="1956"/>
      <c r="LV313" s="1956"/>
      <c r="LW313" s="1956"/>
      <c r="LX313" s="1956"/>
      <c r="LY313" s="1956"/>
      <c r="LZ313" s="1956"/>
      <c r="MA313" s="1956"/>
      <c r="MB313" s="1956"/>
      <c r="MC313" s="1956"/>
      <c r="MD313" s="1956"/>
      <c r="ME313" s="1956"/>
      <c r="MF313" s="1956"/>
      <c r="MG313" s="1956"/>
      <c r="MH313" s="1956"/>
      <c r="MI313" s="1956"/>
      <c r="MJ313" s="1956"/>
      <c r="MK313" s="1956"/>
      <c r="ML313" s="1956"/>
      <c r="MM313" s="1956"/>
      <c r="MN313" s="1956"/>
      <c r="MO313" s="1956"/>
      <c r="MP313" s="1956"/>
      <c r="MQ313" s="1956"/>
      <c r="MR313" s="1956"/>
      <c r="MS313" s="1956"/>
      <c r="MT313" s="1956"/>
      <c r="MU313" s="1956"/>
      <c r="MV313" s="1956"/>
      <c r="MW313" s="1956"/>
      <c r="MX313" s="1956"/>
      <c r="MY313" s="1956"/>
      <c r="MZ313" s="1956"/>
      <c r="NA313" s="1956"/>
      <c r="NB313" s="1956"/>
      <c r="NC313" s="1956"/>
      <c r="ND313" s="1956"/>
      <c r="NE313" s="1956"/>
      <c r="NF313" s="1956"/>
      <c r="NG313" s="1956"/>
      <c r="NH313" s="1956"/>
      <c r="NI313" s="1956"/>
      <c r="NJ313" s="1956"/>
      <c r="NK313" s="1956"/>
      <c r="NL313" s="1956"/>
      <c r="NM313" s="1956"/>
      <c r="NN313" s="1956"/>
      <c r="NO313" s="1956"/>
      <c r="NP313" s="1956"/>
      <c r="NQ313" s="1956"/>
      <c r="NR313" s="1956"/>
      <c r="NS313" s="1956"/>
      <c r="NT313" s="1956"/>
      <c r="NU313" s="1956"/>
      <c r="NV313" s="1956"/>
      <c r="NW313" s="1956"/>
      <c r="NX313" s="1956"/>
      <c r="NY313" s="1956"/>
      <c r="NZ313" s="1956"/>
      <c r="OA313" s="1956"/>
      <c r="OB313" s="1956"/>
      <c r="OC313" s="1956"/>
      <c r="OD313" s="1956"/>
      <c r="OE313" s="1956"/>
      <c r="OF313" s="1956"/>
      <c r="OG313" s="1956"/>
      <c r="OH313" s="1956"/>
      <c r="OI313" s="1956"/>
      <c r="OJ313" s="1956"/>
      <c r="OK313" s="1956"/>
      <c r="OL313" s="1956"/>
      <c r="OM313" s="1956"/>
      <c r="ON313" s="1956"/>
      <c r="OO313" s="1956"/>
      <c r="OP313" s="1956"/>
      <c r="OQ313" s="1956"/>
      <c r="OR313" s="1956"/>
      <c r="OS313" s="1956"/>
      <c r="OT313" s="1956"/>
      <c r="OU313" s="1956"/>
      <c r="OV313" s="1956"/>
      <c r="OW313" s="1956"/>
      <c r="OX313" s="1956"/>
      <c r="OY313" s="1956"/>
      <c r="OZ313" s="1956"/>
      <c r="PA313" s="1956"/>
      <c r="PB313" s="1956"/>
      <c r="PC313" s="1956"/>
      <c r="PD313" s="1956"/>
      <c r="PE313" s="1956"/>
      <c r="PF313" s="1956"/>
      <c r="PG313" s="1956"/>
      <c r="PH313" s="1956"/>
      <c r="PI313" s="1956"/>
      <c r="PJ313" s="1956"/>
      <c r="PK313" s="1956"/>
      <c r="PL313" s="1956"/>
      <c r="PM313" s="1956"/>
      <c r="PN313" s="1956"/>
      <c r="PO313" s="1956"/>
      <c r="PP313" s="1956"/>
      <c r="PQ313" s="1956"/>
      <c r="PR313" s="1956"/>
      <c r="PS313" s="1956"/>
      <c r="PT313" s="1956"/>
      <c r="PU313" s="1956"/>
      <c r="PV313" s="1956"/>
      <c r="PW313" s="1956"/>
      <c r="PX313" s="1956"/>
      <c r="PY313" s="1956"/>
      <c r="PZ313" s="1956"/>
      <c r="QA313" s="1956"/>
      <c r="QB313" s="1956"/>
      <c r="QC313" s="1956"/>
      <c r="QD313" s="1956"/>
      <c r="QE313" s="1956"/>
      <c r="QF313" s="1956"/>
      <c r="QG313" s="1956"/>
      <c r="QH313" s="1956"/>
      <c r="QI313" s="1956"/>
      <c r="QJ313" s="1956"/>
      <c r="QK313" s="1956"/>
      <c r="QL313" s="1956"/>
      <c r="QM313" s="1956"/>
      <c r="QN313" s="1956"/>
      <c r="QO313" s="1956"/>
      <c r="QP313" s="1956"/>
      <c r="QQ313" s="1956"/>
      <c r="QR313" s="1956"/>
      <c r="QS313" s="1956"/>
      <c r="QT313" s="1956"/>
      <c r="QU313" s="1956"/>
      <c r="QV313" s="1956"/>
      <c r="QW313" s="1956"/>
      <c r="QX313" s="1956"/>
      <c r="QY313" s="1956"/>
      <c r="QZ313" s="1956"/>
      <c r="RA313" s="1956"/>
      <c r="RB313" s="1956"/>
      <c r="RC313" s="1956"/>
      <c r="RD313" s="1956"/>
      <c r="RE313" s="1956"/>
      <c r="RF313" s="1956"/>
      <c r="RG313" s="1956"/>
      <c r="RH313" s="1956"/>
      <c r="RI313" s="1956"/>
      <c r="RJ313" s="1956"/>
      <c r="RK313" s="1956"/>
      <c r="RL313" s="1956"/>
      <c r="RM313" s="1956"/>
      <c r="RN313" s="1956"/>
      <c r="RO313" s="1956"/>
      <c r="RP313" s="1956"/>
      <c r="RQ313" s="1956"/>
      <c r="RR313" s="1956"/>
      <c r="RS313" s="1956"/>
      <c r="RT313" s="1956"/>
      <c r="RU313" s="1956"/>
      <c r="RV313" s="1956"/>
      <c r="RW313" s="1956"/>
      <c r="RX313" s="1956"/>
      <c r="RY313" s="1956"/>
      <c r="RZ313" s="1956"/>
      <c r="SA313" s="1956"/>
      <c r="SB313" s="1956"/>
      <c r="SC313" s="1956"/>
      <c r="SD313" s="1956"/>
      <c r="SE313" s="1956"/>
      <c r="SF313" s="1956"/>
      <c r="SG313" s="1956"/>
      <c r="SH313" s="1956"/>
      <c r="SI313" s="1956"/>
      <c r="SJ313" s="1956"/>
      <c r="SK313" s="1956"/>
      <c r="SL313" s="1956"/>
      <c r="SM313" s="1956"/>
      <c r="SN313" s="1956"/>
      <c r="SO313" s="1956"/>
      <c r="SP313" s="1956"/>
      <c r="SQ313" s="1956"/>
      <c r="SR313" s="1956"/>
      <c r="SS313" s="1956"/>
      <c r="ST313" s="1956"/>
      <c r="SU313" s="1956"/>
      <c r="SV313" s="1956"/>
      <c r="SW313" s="1956"/>
      <c r="SX313" s="1956"/>
      <c r="SY313" s="1956"/>
      <c r="SZ313" s="1956"/>
      <c r="TA313" s="1956"/>
      <c r="TB313" s="1956"/>
      <c r="TC313" s="1956"/>
      <c r="TD313" s="1956"/>
      <c r="TE313" s="1956"/>
      <c r="TF313" s="1956"/>
      <c r="TG313" s="1956"/>
      <c r="TH313" s="1956"/>
      <c r="TI313" s="1956"/>
      <c r="TJ313" s="1956"/>
      <c r="TK313" s="1956"/>
      <c r="TL313" s="1956"/>
      <c r="TM313" s="1956"/>
      <c r="TN313" s="1956"/>
      <c r="TO313" s="1956"/>
      <c r="TP313" s="1956"/>
      <c r="TQ313" s="1956"/>
      <c r="TR313" s="1956"/>
      <c r="TS313" s="1956"/>
      <c r="TT313" s="1956"/>
      <c r="TU313" s="1956"/>
      <c r="TV313" s="1956"/>
      <c r="TW313" s="1956"/>
      <c r="TX313" s="1956"/>
      <c r="TY313" s="1956"/>
      <c r="TZ313" s="1956"/>
      <c r="UA313" s="1956"/>
      <c r="UB313" s="1956"/>
      <c r="UC313" s="1956"/>
      <c r="UD313" s="1956"/>
      <c r="UE313" s="1956"/>
      <c r="UF313" s="1956"/>
      <c r="UG313" s="1956"/>
      <c r="UH313" s="1956"/>
      <c r="UI313" s="1956"/>
      <c r="UJ313" s="1956"/>
      <c r="UK313" s="1956"/>
      <c r="UL313" s="1956"/>
      <c r="UM313" s="1956"/>
      <c r="UN313" s="1956"/>
      <c r="UO313" s="1956"/>
      <c r="UP313" s="1956"/>
      <c r="UQ313" s="1956"/>
      <c r="UR313" s="1956"/>
      <c r="US313" s="1956"/>
      <c r="UT313" s="1956"/>
      <c r="UU313" s="1956"/>
      <c r="UV313" s="1956"/>
      <c r="UW313" s="1956"/>
      <c r="UX313" s="1956"/>
      <c r="UY313" s="1956"/>
      <c r="UZ313" s="1956"/>
      <c r="VA313" s="1956"/>
      <c r="VB313" s="1956"/>
      <c r="VC313" s="1956"/>
      <c r="VD313" s="1956"/>
      <c r="VE313" s="1956"/>
      <c r="VF313" s="1956"/>
      <c r="VG313" s="1956"/>
      <c r="VH313" s="1956"/>
      <c r="VI313" s="1956"/>
      <c r="VJ313" s="1956"/>
      <c r="VK313" s="1956"/>
      <c r="VL313" s="1956"/>
      <c r="VM313" s="1956"/>
      <c r="VN313" s="1956"/>
      <c r="VO313" s="1956"/>
      <c r="VP313" s="1956"/>
      <c r="VQ313" s="1956"/>
      <c r="VR313" s="1956"/>
      <c r="VS313" s="1956"/>
      <c r="VT313" s="1956"/>
      <c r="VU313" s="1956"/>
      <c r="VV313" s="1956"/>
      <c r="VW313" s="1956"/>
      <c r="VX313" s="1956"/>
      <c r="VY313" s="1956"/>
      <c r="VZ313" s="1956"/>
      <c r="WA313" s="1956"/>
      <c r="WB313" s="1956"/>
      <c r="WC313" s="1956"/>
      <c r="WD313" s="1956"/>
      <c r="WE313" s="1956"/>
      <c r="WF313" s="1956"/>
      <c r="WG313" s="1956"/>
      <c r="WH313" s="1956"/>
      <c r="WI313" s="1956"/>
      <c r="WJ313" s="1956"/>
      <c r="WK313" s="1956"/>
      <c r="WL313" s="1956"/>
      <c r="WM313" s="1956"/>
      <c r="WN313" s="1956"/>
      <c r="WO313" s="1956"/>
      <c r="WP313" s="1956"/>
      <c r="WQ313" s="1956"/>
      <c r="WR313" s="1956"/>
      <c r="WS313" s="1956"/>
      <c r="WT313" s="1956"/>
      <c r="WU313" s="1956"/>
      <c r="WV313" s="1956"/>
      <c r="WW313" s="1956"/>
      <c r="WX313" s="1956"/>
      <c r="WY313" s="1956"/>
      <c r="WZ313" s="1956"/>
      <c r="XA313" s="1956"/>
      <c r="XB313" s="1956"/>
      <c r="XC313" s="1956"/>
      <c r="XD313" s="1956"/>
      <c r="XE313" s="1956"/>
      <c r="XF313" s="1956"/>
      <c r="XG313" s="1956"/>
      <c r="XH313" s="1956"/>
      <c r="XI313" s="1956"/>
      <c r="XJ313" s="1956"/>
      <c r="XK313" s="1956"/>
      <c r="XL313" s="1956"/>
      <c r="XM313" s="1956"/>
      <c r="XN313" s="1956"/>
      <c r="XO313" s="1956"/>
      <c r="XP313" s="1956"/>
      <c r="XQ313" s="1956"/>
      <c r="XR313" s="1956"/>
      <c r="XS313" s="1956"/>
      <c r="XT313" s="1956"/>
      <c r="XU313" s="1956"/>
      <c r="XV313" s="1956"/>
      <c r="XW313" s="1956"/>
      <c r="XX313" s="1956"/>
      <c r="XY313" s="1956"/>
      <c r="XZ313" s="1956"/>
      <c r="YA313" s="1956"/>
      <c r="YB313" s="1956"/>
      <c r="YC313" s="1956"/>
      <c r="YD313" s="1956"/>
      <c r="YE313" s="1956"/>
      <c r="YF313" s="1956"/>
      <c r="YG313" s="1956"/>
      <c r="YH313" s="1956"/>
      <c r="YI313" s="1956"/>
      <c r="YJ313" s="1956"/>
      <c r="YK313" s="1956"/>
      <c r="YL313" s="1956"/>
      <c r="YM313" s="1956"/>
      <c r="YN313" s="1956"/>
      <c r="YO313" s="1956"/>
      <c r="YP313" s="1956"/>
      <c r="YQ313" s="1956"/>
      <c r="YR313" s="1956"/>
      <c r="YS313" s="1956"/>
      <c r="YT313" s="1956"/>
      <c r="YU313" s="1956"/>
      <c r="YV313" s="1956"/>
      <c r="YW313" s="1956"/>
      <c r="YX313" s="1956"/>
      <c r="YY313" s="1956"/>
      <c r="YZ313" s="1956"/>
      <c r="ZA313" s="1956"/>
      <c r="ZB313" s="1956"/>
      <c r="ZC313" s="1956"/>
      <c r="ZD313" s="1956"/>
      <c r="ZE313" s="1956"/>
      <c r="ZF313" s="1956"/>
      <c r="ZG313" s="1956"/>
      <c r="ZH313" s="1956"/>
      <c r="ZI313" s="1956"/>
      <c r="ZJ313" s="1956"/>
      <c r="ZK313" s="1956"/>
      <c r="ZL313" s="1956"/>
      <c r="ZM313" s="1956"/>
      <c r="ZN313" s="1956"/>
      <c r="ZO313" s="1956"/>
      <c r="ZP313" s="1956"/>
      <c r="ZQ313" s="1956"/>
      <c r="ZR313" s="1956"/>
      <c r="ZS313" s="1956"/>
      <c r="ZT313" s="1956"/>
      <c r="ZU313" s="1956"/>
      <c r="ZV313" s="1956"/>
      <c r="ZW313" s="1956"/>
      <c r="ZX313" s="1956"/>
      <c r="ZY313" s="1956"/>
      <c r="ZZ313" s="1956"/>
      <c r="AAA313" s="1956"/>
      <c r="AAB313" s="1956"/>
      <c r="AAC313" s="1956"/>
      <c r="AAD313" s="1956"/>
      <c r="AAE313" s="1956"/>
      <c r="AAF313" s="1956"/>
      <c r="AAG313" s="1956"/>
      <c r="AAH313" s="1956"/>
      <c r="AAI313" s="1956"/>
      <c r="AAJ313" s="1956"/>
      <c r="AAK313" s="1956"/>
      <c r="AAL313" s="1956"/>
      <c r="AAM313" s="1956"/>
      <c r="AAN313" s="1956"/>
      <c r="AAO313" s="1956"/>
      <c r="AAP313" s="1956"/>
      <c r="AAQ313" s="1956"/>
      <c r="AAR313" s="1956"/>
      <c r="AAS313" s="1956"/>
      <c r="AAT313" s="1956"/>
      <c r="AAU313" s="1956"/>
      <c r="AAV313" s="1956"/>
      <c r="AAW313" s="1956"/>
      <c r="AAX313" s="1956"/>
      <c r="AAY313" s="1956"/>
      <c r="AAZ313" s="1956"/>
      <c r="ABA313" s="1956"/>
      <c r="ABB313" s="1956"/>
      <c r="ABC313" s="1956"/>
      <c r="ABD313" s="1956"/>
      <c r="ABE313" s="1956"/>
      <c r="ABF313" s="1956"/>
      <c r="ABG313" s="1956"/>
      <c r="ABH313" s="1956"/>
      <c r="ABI313" s="1956"/>
      <c r="ABJ313" s="1956"/>
      <c r="ABK313" s="1956"/>
      <c r="ABL313" s="1956"/>
      <c r="ABM313" s="1956"/>
      <c r="ABN313" s="1956"/>
      <c r="ABO313" s="1956"/>
      <c r="ABP313" s="1956"/>
      <c r="ABQ313" s="1956"/>
      <c r="ABR313" s="1956"/>
      <c r="ABS313" s="1956"/>
      <c r="ABT313" s="1956"/>
      <c r="ABU313" s="1956"/>
      <c r="ABV313" s="1956"/>
      <c r="ABW313" s="1956"/>
      <c r="ABX313" s="1956"/>
      <c r="ABY313" s="1956"/>
      <c r="ABZ313" s="1956"/>
      <c r="ACA313" s="1956"/>
      <c r="ACB313" s="1956"/>
      <c r="ACC313" s="1956"/>
      <c r="ACD313" s="1956"/>
      <c r="ACE313" s="1956"/>
      <c r="ACF313" s="1956"/>
      <c r="ACG313" s="1956"/>
      <c r="ACH313" s="1956"/>
      <c r="ACI313" s="1956"/>
      <c r="ACJ313" s="1956"/>
      <c r="ACK313" s="1956"/>
      <c r="ACL313" s="1956"/>
      <c r="ACM313" s="1956"/>
      <c r="ACN313" s="1956"/>
      <c r="ACO313" s="1956"/>
      <c r="ACP313" s="1956"/>
      <c r="ACQ313" s="1956"/>
      <c r="ACR313" s="1956"/>
      <c r="ACS313" s="1956"/>
      <c r="ACT313" s="1956"/>
      <c r="ACU313" s="1956"/>
      <c r="ACV313" s="1956"/>
      <c r="ACW313" s="1956"/>
      <c r="ACX313" s="1956"/>
      <c r="ACY313" s="1956"/>
      <c r="ACZ313" s="1956"/>
      <c r="ADA313" s="1956"/>
      <c r="ADB313" s="1956"/>
      <c r="ADC313" s="1956"/>
      <c r="ADD313" s="1956"/>
      <c r="ADE313" s="1956"/>
      <c r="ADF313" s="1956"/>
      <c r="ADG313" s="1956"/>
      <c r="ADH313" s="1956"/>
      <c r="ADI313" s="1956"/>
      <c r="ADJ313" s="1956"/>
      <c r="ADK313" s="1956"/>
      <c r="ADL313" s="1956"/>
      <c r="ADM313" s="1956"/>
      <c r="ADN313" s="1956"/>
      <c r="ADO313" s="1956"/>
      <c r="ADP313" s="1956"/>
      <c r="ADQ313" s="1956"/>
      <c r="ADR313" s="1956"/>
      <c r="ADS313" s="1956"/>
      <c r="ADT313" s="1956"/>
      <c r="ADU313" s="1956"/>
      <c r="ADV313" s="1956"/>
      <c r="ADW313" s="1956"/>
      <c r="ADX313" s="1956"/>
      <c r="ADY313" s="1956"/>
      <c r="ADZ313" s="1956"/>
      <c r="AEA313" s="1956"/>
      <c r="AEB313" s="1956"/>
      <c r="AEC313" s="1956"/>
      <c r="AED313" s="1956"/>
      <c r="AEE313" s="1956"/>
      <c r="AEF313" s="1956"/>
      <c r="AEG313" s="1956"/>
      <c r="AEH313" s="1956"/>
      <c r="AEI313" s="1956"/>
      <c r="AEJ313" s="1956"/>
      <c r="AEK313" s="1956"/>
      <c r="AEL313" s="1956"/>
      <c r="AEM313" s="1956"/>
      <c r="AEN313" s="1956"/>
      <c r="AEO313" s="1956"/>
      <c r="AEP313" s="1956"/>
      <c r="AEQ313" s="1956"/>
      <c r="AER313" s="1956"/>
      <c r="AES313" s="1956"/>
      <c r="AET313" s="1956"/>
      <c r="AEU313" s="1956"/>
      <c r="AEV313" s="1956"/>
      <c r="AEW313" s="1956"/>
      <c r="AEX313" s="1956"/>
      <c r="AEY313" s="1956"/>
      <c r="AEZ313" s="1956"/>
      <c r="AFA313" s="1956"/>
      <c r="AFB313" s="1956"/>
      <c r="AFC313" s="1956"/>
      <c r="AFD313" s="1956"/>
      <c r="AFE313" s="1956"/>
      <c r="AFF313" s="1956"/>
      <c r="AFG313" s="1956"/>
      <c r="AFH313" s="1956"/>
      <c r="AFI313" s="1956"/>
      <c r="AFJ313" s="1956"/>
      <c r="AFK313" s="1956"/>
      <c r="AFL313" s="1956"/>
      <c r="AFM313" s="1956"/>
      <c r="AFN313" s="1956"/>
      <c r="AFO313" s="1956"/>
      <c r="AFP313" s="1956"/>
      <c r="AFQ313" s="1956"/>
      <c r="AFR313" s="1956"/>
      <c r="AFS313" s="1956"/>
      <c r="AFT313" s="1956"/>
      <c r="AFU313" s="1956"/>
      <c r="AFV313" s="1956"/>
      <c r="AFW313" s="1956"/>
      <c r="AFX313" s="1956"/>
      <c r="AFY313" s="1956"/>
      <c r="AFZ313" s="1956"/>
      <c r="AGA313" s="1956"/>
      <c r="AGB313" s="1956"/>
      <c r="AGC313" s="1956"/>
      <c r="AGD313" s="1956"/>
      <c r="AGE313" s="1956"/>
      <c r="AGF313" s="1956"/>
      <c r="AGG313" s="1956"/>
      <c r="AGH313" s="1956"/>
      <c r="AGI313" s="1956"/>
      <c r="AGJ313" s="1956"/>
      <c r="AGK313" s="1956"/>
      <c r="AGL313" s="1956"/>
      <c r="AGM313" s="1956"/>
      <c r="AGN313" s="1956"/>
      <c r="AGO313" s="1956"/>
      <c r="AGP313" s="1956"/>
      <c r="AGQ313" s="1956"/>
      <c r="AGR313" s="1956"/>
      <c r="AGS313" s="1956"/>
      <c r="AGT313" s="1956"/>
      <c r="AGU313" s="1956"/>
      <c r="AGV313" s="1956"/>
      <c r="AGW313" s="1956"/>
      <c r="AGX313" s="1956"/>
      <c r="AGY313" s="1956"/>
      <c r="AGZ313" s="1956"/>
      <c r="AHA313" s="1956"/>
      <c r="AHB313" s="1956"/>
      <c r="AHC313" s="1956"/>
      <c r="AHD313" s="1956"/>
      <c r="AHE313" s="1956"/>
      <c r="AHF313" s="1956"/>
      <c r="AHG313" s="1956"/>
      <c r="AHH313" s="1956"/>
      <c r="AHI313" s="1956"/>
      <c r="AHJ313" s="1956"/>
      <c r="AHK313" s="1956"/>
      <c r="AHL313" s="1956"/>
      <c r="AHM313" s="1956"/>
      <c r="AHN313" s="1956"/>
      <c r="AHO313" s="1956"/>
      <c r="AHP313" s="1956"/>
      <c r="AHQ313" s="1956"/>
      <c r="AHR313" s="1956"/>
      <c r="AHS313" s="1956"/>
      <c r="AHT313" s="1956"/>
      <c r="AHU313" s="1956"/>
      <c r="AHV313" s="1956"/>
      <c r="AHW313" s="1956"/>
      <c r="AHX313" s="1956"/>
      <c r="AHY313" s="1956"/>
      <c r="AHZ313" s="1956"/>
      <c r="AIA313" s="1956"/>
      <c r="AIB313" s="1956"/>
      <c r="AIC313" s="1956"/>
      <c r="AID313" s="1956"/>
      <c r="AIE313" s="1956"/>
      <c r="AIF313" s="1956"/>
      <c r="AIG313" s="1956"/>
      <c r="AIH313" s="1956"/>
      <c r="AII313" s="1956"/>
      <c r="AIJ313" s="1956"/>
      <c r="AIK313" s="1956"/>
      <c r="AIL313" s="1956"/>
      <c r="AIM313" s="1956"/>
      <c r="AIN313" s="1956"/>
      <c r="AIO313" s="1956"/>
      <c r="AIP313" s="1956"/>
      <c r="AIQ313" s="1956"/>
      <c r="AIR313" s="1956"/>
      <c r="AIS313" s="1956"/>
      <c r="AIT313" s="1956"/>
      <c r="AIU313" s="1956"/>
      <c r="AIV313" s="1956"/>
      <c r="AIW313" s="1956"/>
      <c r="AIX313" s="1956"/>
      <c r="AIY313" s="1956"/>
      <c r="AIZ313" s="1956"/>
      <c r="AJA313" s="1956"/>
      <c r="AJB313" s="1956"/>
      <c r="AJC313" s="1956"/>
      <c r="AJD313" s="1956"/>
      <c r="AJE313" s="1956"/>
      <c r="AJF313" s="1956"/>
      <c r="AJG313" s="1956"/>
      <c r="AJH313" s="1956"/>
      <c r="AJI313" s="1956"/>
      <c r="AJJ313" s="1956"/>
      <c r="AJK313" s="1956"/>
      <c r="AJL313" s="1956"/>
      <c r="AJM313" s="1956"/>
      <c r="AJN313" s="1956"/>
      <c r="AJO313" s="1956"/>
      <c r="AJP313" s="1956"/>
      <c r="AJQ313" s="1956"/>
      <c r="AJR313" s="1956"/>
      <c r="AJS313" s="1956"/>
      <c r="AJT313" s="1956"/>
      <c r="AJU313" s="1956"/>
      <c r="AJV313" s="1956"/>
      <c r="AJW313" s="1956"/>
      <c r="AJX313" s="1956"/>
      <c r="AJY313" s="1956"/>
      <c r="AJZ313" s="1956"/>
      <c r="AKA313" s="1956"/>
      <c r="AKB313" s="1956"/>
      <c r="AKC313" s="1956"/>
      <c r="AKD313" s="1956"/>
      <c r="AKE313" s="1956"/>
      <c r="AKF313" s="1956"/>
      <c r="AKG313" s="1956"/>
      <c r="AKH313" s="1956"/>
      <c r="AKI313" s="1956"/>
      <c r="AKJ313" s="1956"/>
      <c r="AKK313" s="1956"/>
      <c r="AKL313" s="1956"/>
      <c r="AKM313" s="1956"/>
      <c r="AKN313" s="1956"/>
      <c r="AKO313" s="1956"/>
      <c r="AKP313" s="1956"/>
      <c r="AKQ313" s="1956"/>
      <c r="AKR313" s="1956"/>
      <c r="AKS313" s="1956"/>
      <c r="AKT313" s="1956"/>
      <c r="AKU313" s="1956"/>
      <c r="AKV313" s="1956"/>
      <c r="AKW313" s="1956"/>
      <c r="AKX313" s="1956"/>
      <c r="AKY313" s="1956"/>
      <c r="AKZ313" s="1956"/>
      <c r="ALA313" s="1956"/>
      <c r="ALB313" s="1956"/>
      <c r="ALC313" s="1956"/>
      <c r="ALD313" s="1956"/>
      <c r="ALE313" s="1956"/>
      <c r="ALF313" s="1956"/>
      <c r="ALG313" s="1956"/>
      <c r="ALH313" s="1956"/>
      <c r="ALI313" s="1956"/>
      <c r="ALJ313" s="1956"/>
      <c r="ALK313" s="1956"/>
      <c r="ALL313" s="1956"/>
      <c r="ALM313" s="1956"/>
      <c r="ALN313" s="1956"/>
      <c r="ALO313" s="1956"/>
      <c r="ALP313" s="1956"/>
      <c r="ALQ313" s="1956"/>
      <c r="ALR313" s="1956"/>
      <c r="ALS313" s="1956"/>
      <c r="ALT313" s="1956"/>
      <c r="ALU313" s="1956"/>
      <c r="ALV313" s="1956"/>
      <c r="ALW313" s="1956"/>
      <c r="ALX313" s="1956"/>
      <c r="ALY313" s="1956"/>
      <c r="ALZ313" s="1956"/>
      <c r="AMA313" s="1956"/>
      <c r="AMB313" s="1956"/>
      <c r="AMC313" s="1956"/>
      <c r="AMD313" s="1956"/>
      <c r="AME313" s="1956"/>
      <c r="AMF313" s="1956"/>
      <c r="AMG313" s="1956"/>
      <c r="AMH313" s="1956"/>
      <c r="AMI313" s="1956"/>
      <c r="AMJ313" s="1956"/>
      <c r="AMK313" s="1956"/>
      <c r="AML313" s="1956"/>
      <c r="AMM313" s="1956"/>
      <c r="AMN313" s="1956"/>
      <c r="AMO313" s="1956"/>
      <c r="AMP313" s="1956"/>
      <c r="AMQ313" s="1956"/>
      <c r="AMR313" s="1956"/>
      <c r="AMS313" s="1956"/>
      <c r="AMT313" s="1956"/>
      <c r="AMU313" s="1956"/>
      <c r="AMV313" s="1956"/>
      <c r="AMW313" s="1956"/>
      <c r="AMX313" s="1956"/>
      <c r="AMY313" s="1956"/>
      <c r="AMZ313" s="1956"/>
      <c r="ANA313" s="1956"/>
      <c r="ANB313" s="1956"/>
      <c r="ANC313" s="1956"/>
      <c r="AND313" s="1956"/>
      <c r="ANE313" s="1956"/>
      <c r="ANF313" s="1956"/>
      <c r="ANG313" s="1956"/>
      <c r="ANH313" s="1956"/>
      <c r="ANI313" s="1956"/>
      <c r="ANJ313" s="1956"/>
      <c r="ANK313" s="1956"/>
      <c r="ANL313" s="1956"/>
      <c r="ANM313" s="1956"/>
      <c r="ANN313" s="1956"/>
      <c r="ANO313" s="1956"/>
      <c r="ANP313" s="1956"/>
      <c r="ANQ313" s="1956"/>
      <c r="ANR313" s="1956"/>
      <c r="ANS313" s="1956"/>
      <c r="ANT313" s="1956"/>
      <c r="ANU313" s="1956"/>
      <c r="ANV313" s="1956"/>
      <c r="ANW313" s="1956"/>
      <c r="ANX313" s="1956"/>
      <c r="ANY313" s="1956"/>
      <c r="ANZ313" s="1956"/>
      <c r="AOA313" s="1956"/>
      <c r="AOB313" s="1956"/>
      <c r="AOC313" s="1956"/>
      <c r="AOD313" s="1956"/>
      <c r="AOE313" s="1956"/>
      <c r="AOF313" s="1956"/>
      <c r="AOG313" s="1956"/>
      <c r="AOH313" s="1956"/>
      <c r="AOI313" s="1956"/>
      <c r="AOJ313" s="1956"/>
      <c r="AOK313" s="1956"/>
      <c r="AOL313" s="1956"/>
      <c r="AOM313" s="1956"/>
      <c r="AON313" s="1956"/>
      <c r="AOO313" s="1956"/>
      <c r="AOP313" s="1956"/>
      <c r="AOQ313" s="1956"/>
      <c r="AOR313" s="1956"/>
      <c r="AOS313" s="1956"/>
      <c r="AOT313" s="1956"/>
      <c r="AOU313" s="1956"/>
      <c r="AOV313" s="1956"/>
      <c r="AOW313" s="1956"/>
      <c r="AOX313" s="1956"/>
      <c r="AOY313" s="1956"/>
      <c r="AOZ313" s="1956"/>
      <c r="APA313" s="1956"/>
      <c r="APB313" s="1956"/>
      <c r="APC313" s="1956"/>
      <c r="APD313" s="1956"/>
      <c r="APE313" s="1956"/>
      <c r="APF313" s="1956"/>
      <c r="APG313" s="1956"/>
      <c r="APH313" s="1956"/>
      <c r="API313" s="1956"/>
      <c r="APJ313" s="1956"/>
      <c r="APK313" s="1956"/>
      <c r="APL313" s="1956"/>
      <c r="APM313" s="1956"/>
      <c r="APN313" s="1956"/>
      <c r="APO313" s="1956"/>
      <c r="APP313" s="1956"/>
      <c r="APQ313" s="1956"/>
      <c r="APR313" s="1956"/>
      <c r="APS313" s="1956"/>
      <c r="APT313" s="1956"/>
      <c r="APU313" s="1956"/>
      <c r="APV313" s="1956"/>
      <c r="APW313" s="1956"/>
      <c r="APX313" s="1956"/>
      <c r="APY313" s="1956"/>
      <c r="APZ313" s="1956"/>
      <c r="AQA313" s="1956"/>
      <c r="AQB313" s="1956"/>
      <c r="AQC313" s="1956"/>
      <c r="AQD313" s="1956"/>
      <c r="AQE313" s="1956"/>
      <c r="AQF313" s="1956"/>
      <c r="AQG313" s="1956"/>
      <c r="AQH313" s="1956"/>
      <c r="AQI313" s="1956"/>
      <c r="AQJ313" s="1956"/>
      <c r="AQK313" s="1956"/>
      <c r="AQL313" s="1956"/>
      <c r="AQM313" s="1956"/>
      <c r="AQN313" s="1956"/>
      <c r="AQO313" s="1956"/>
      <c r="AQP313" s="1956"/>
      <c r="AQQ313" s="1956"/>
      <c r="AQR313" s="1956"/>
      <c r="AQS313" s="1956"/>
      <c r="AQT313" s="1956"/>
      <c r="AQU313" s="1956"/>
      <c r="AQV313" s="1956"/>
      <c r="AQW313" s="1956"/>
      <c r="AQX313" s="1956"/>
      <c r="AQY313" s="1956"/>
      <c r="AQZ313" s="1956"/>
      <c r="ARA313" s="1956"/>
      <c r="ARB313" s="1956"/>
      <c r="ARC313" s="1956"/>
      <c r="ARD313" s="1956"/>
      <c r="ARE313" s="1956"/>
      <c r="ARF313" s="1956"/>
      <c r="ARG313" s="1956"/>
      <c r="ARH313" s="1956"/>
      <c r="ARI313" s="1956"/>
      <c r="ARJ313" s="1956"/>
      <c r="ARK313" s="1956"/>
      <c r="ARL313" s="1956"/>
      <c r="ARM313" s="1956"/>
      <c r="ARN313" s="1956"/>
      <c r="ARO313" s="1956"/>
      <c r="ARP313" s="1956"/>
      <c r="ARQ313" s="1956"/>
      <c r="ARR313" s="1956"/>
      <c r="ARS313" s="1956"/>
      <c r="ART313" s="1956"/>
      <c r="ARU313" s="1956"/>
      <c r="ARV313" s="1956"/>
      <c r="ARW313" s="1956"/>
      <c r="ARX313" s="1956"/>
      <c r="ARY313" s="1956"/>
      <c r="ARZ313" s="1956"/>
      <c r="ASA313" s="1956"/>
      <c r="ASB313" s="1956"/>
      <c r="ASC313" s="1956"/>
      <c r="ASD313" s="1956"/>
      <c r="ASE313" s="1956"/>
      <c r="ASF313" s="1956"/>
      <c r="ASG313" s="1956"/>
      <c r="ASH313" s="1956"/>
      <c r="ASI313" s="1956"/>
      <c r="ASJ313" s="1956"/>
      <c r="ASK313" s="1956"/>
      <c r="ASL313" s="1956"/>
      <c r="ASM313" s="1956"/>
      <c r="ASN313" s="1956"/>
      <c r="ASO313" s="1956"/>
      <c r="ASP313" s="1956"/>
      <c r="ASQ313" s="1956"/>
      <c r="ASR313" s="1956"/>
      <c r="ASS313" s="1956"/>
      <c r="AST313" s="1956"/>
      <c r="ASU313" s="1956"/>
      <c r="ASV313" s="1956"/>
      <c r="ASW313" s="1956"/>
      <c r="ASX313" s="1956"/>
      <c r="ASY313" s="1956"/>
      <c r="ASZ313" s="1956"/>
      <c r="ATA313" s="1956"/>
      <c r="ATB313" s="1956"/>
      <c r="ATC313" s="1956"/>
      <c r="ATD313" s="1956"/>
      <c r="ATE313" s="1956"/>
      <c r="ATF313" s="1956"/>
      <c r="ATG313" s="1956"/>
      <c r="ATH313" s="1956"/>
      <c r="ATI313" s="1956"/>
      <c r="ATJ313" s="1956"/>
      <c r="ATK313" s="1956"/>
      <c r="ATL313" s="1956"/>
      <c r="ATM313" s="1956"/>
      <c r="ATN313" s="1956"/>
      <c r="ATO313" s="1956"/>
      <c r="ATP313" s="1956"/>
      <c r="ATQ313" s="1956"/>
      <c r="ATR313" s="1956"/>
      <c r="ATS313" s="1956"/>
      <c r="ATT313" s="1956"/>
      <c r="ATU313" s="1956"/>
      <c r="ATV313" s="1956"/>
      <c r="ATW313" s="1956"/>
      <c r="ATX313" s="1956"/>
      <c r="ATY313" s="1956"/>
      <c r="ATZ313" s="1956"/>
      <c r="AUA313" s="1956"/>
      <c r="AUB313" s="1956"/>
      <c r="AUC313" s="1956"/>
      <c r="AUD313" s="1956"/>
      <c r="AUE313" s="1956"/>
      <c r="AUF313" s="1956"/>
      <c r="AUG313" s="1956"/>
      <c r="AUH313" s="1956"/>
      <c r="AUI313" s="1956"/>
      <c r="AUJ313" s="1956"/>
      <c r="AUK313" s="1956"/>
      <c r="AUL313" s="1956"/>
      <c r="AUM313" s="1956"/>
      <c r="AUN313" s="1956"/>
      <c r="AUO313" s="1956"/>
      <c r="AUP313" s="1956"/>
      <c r="AUQ313" s="1956"/>
      <c r="AUR313" s="1956"/>
      <c r="AUS313" s="1956"/>
      <c r="AUT313" s="1956"/>
      <c r="AUU313" s="1956"/>
      <c r="AUV313" s="1956"/>
      <c r="AUW313" s="1956"/>
      <c r="AUX313" s="1956"/>
      <c r="AUY313" s="1956"/>
      <c r="AUZ313" s="1956"/>
      <c r="AVA313" s="1956"/>
      <c r="AVB313" s="1956"/>
      <c r="AVC313" s="1956"/>
      <c r="AVD313" s="1956"/>
      <c r="AVE313" s="1956"/>
      <c r="AVF313" s="1956"/>
      <c r="AVG313" s="1956"/>
      <c r="AVH313" s="1956"/>
      <c r="AVI313" s="1956"/>
      <c r="AVJ313" s="1956"/>
      <c r="AVK313" s="1956"/>
      <c r="AVL313" s="1956"/>
      <c r="AVM313" s="1956"/>
      <c r="AVN313" s="1956"/>
      <c r="AVO313" s="1956"/>
      <c r="AVP313" s="1956"/>
      <c r="AVQ313" s="1956"/>
      <c r="AVR313" s="1956"/>
      <c r="AVS313" s="1956"/>
      <c r="AVT313" s="1956"/>
      <c r="AVU313" s="1956"/>
      <c r="AVV313" s="1956"/>
      <c r="AVW313" s="1956"/>
      <c r="AVX313" s="1956"/>
      <c r="AVY313" s="1956"/>
      <c r="AVZ313" s="1956"/>
      <c r="AWA313" s="1956"/>
      <c r="AWB313" s="1956"/>
      <c r="AWC313" s="1956"/>
      <c r="AWD313" s="1956"/>
      <c r="AWE313" s="1956"/>
      <c r="AWF313" s="1956"/>
      <c r="AWG313" s="1956"/>
      <c r="AWH313" s="1956"/>
      <c r="AWI313" s="1956"/>
      <c r="AWJ313" s="1956"/>
      <c r="AWK313" s="1956"/>
      <c r="AWL313" s="1956"/>
      <c r="AWM313" s="1956"/>
      <c r="AWN313" s="1956"/>
      <c r="AWO313" s="1956"/>
      <c r="AWP313" s="1956"/>
      <c r="AWQ313" s="1956"/>
      <c r="AWR313" s="1956"/>
      <c r="AWS313" s="1956"/>
      <c r="AWT313" s="1956"/>
      <c r="AWU313" s="1956"/>
      <c r="AWV313" s="1956"/>
      <c r="AWW313" s="1956"/>
      <c r="AWX313" s="1956"/>
      <c r="AWY313" s="1956"/>
      <c r="AWZ313" s="1956"/>
      <c r="AXA313" s="1956"/>
      <c r="AXB313" s="1956"/>
      <c r="AXC313" s="1956"/>
      <c r="AXD313" s="1956"/>
      <c r="AXE313" s="1956"/>
      <c r="AXF313" s="1956"/>
      <c r="AXG313" s="1956"/>
      <c r="AXH313" s="1956"/>
      <c r="AXI313" s="1956"/>
      <c r="AXJ313" s="1956"/>
      <c r="AXK313" s="1956"/>
      <c r="AXL313" s="1956"/>
      <c r="AXM313" s="1956"/>
      <c r="AXN313" s="1956"/>
      <c r="AXO313" s="1956"/>
      <c r="AXP313" s="1956"/>
      <c r="AXQ313" s="1956"/>
      <c r="AXR313" s="1956"/>
      <c r="AXS313" s="1956"/>
      <c r="AXT313" s="1956"/>
      <c r="AXU313" s="1956"/>
      <c r="AXV313" s="1956"/>
      <c r="AXW313" s="1956"/>
      <c r="AXX313" s="1956"/>
      <c r="AXY313" s="1956"/>
      <c r="AXZ313" s="1956"/>
      <c r="AYA313" s="1956"/>
      <c r="AYB313" s="1956"/>
      <c r="AYC313" s="1956"/>
      <c r="AYD313" s="1956"/>
      <c r="AYE313" s="1956"/>
      <c r="AYF313" s="1956"/>
      <c r="AYG313" s="1956"/>
      <c r="AYH313" s="1956"/>
      <c r="AYI313" s="1956"/>
      <c r="AYJ313" s="1956"/>
      <c r="AYK313" s="1956"/>
      <c r="AYL313" s="1956"/>
      <c r="AYM313" s="1956"/>
      <c r="AYN313" s="1956"/>
      <c r="AYO313" s="1956"/>
      <c r="AYP313" s="1956"/>
      <c r="AYQ313" s="1956"/>
      <c r="AYR313" s="1956"/>
      <c r="AYS313" s="1956"/>
      <c r="AYT313" s="1956"/>
      <c r="AYU313" s="1956"/>
      <c r="AYV313" s="1956"/>
      <c r="AYW313" s="1956"/>
      <c r="AYX313" s="1956"/>
      <c r="AYY313" s="1956"/>
      <c r="AYZ313" s="1956"/>
      <c r="AZA313" s="1956"/>
      <c r="AZB313" s="1956"/>
      <c r="AZC313" s="1956"/>
      <c r="AZD313" s="1956"/>
      <c r="AZE313" s="1956"/>
      <c r="AZF313" s="1956"/>
      <c r="AZG313" s="1956"/>
      <c r="AZH313" s="1956"/>
      <c r="AZI313" s="1956"/>
      <c r="AZJ313" s="1956"/>
      <c r="AZK313" s="1956"/>
      <c r="AZL313" s="1956"/>
      <c r="AZM313" s="1956"/>
      <c r="AZN313" s="1956"/>
      <c r="AZO313" s="1956"/>
      <c r="AZP313" s="1956"/>
      <c r="AZQ313" s="1956"/>
      <c r="AZR313" s="1956"/>
      <c r="AZS313" s="1956"/>
      <c r="AZT313" s="1956"/>
      <c r="AZU313" s="1956"/>
      <c r="AZV313" s="1956"/>
      <c r="AZW313" s="1956"/>
      <c r="AZX313" s="1956"/>
      <c r="AZY313" s="1956"/>
      <c r="AZZ313" s="1956"/>
      <c r="BAA313" s="1956"/>
      <c r="BAB313" s="1956"/>
      <c r="BAC313" s="1956"/>
      <c r="BAD313" s="1956"/>
      <c r="BAE313" s="1956"/>
      <c r="BAF313" s="1956"/>
      <c r="BAG313" s="1956"/>
      <c r="BAH313" s="1956"/>
      <c r="BAI313" s="1956"/>
      <c r="BAJ313" s="1956"/>
      <c r="BAK313" s="1956"/>
      <c r="BAL313" s="1956"/>
      <c r="BAM313" s="1956"/>
      <c r="BAN313" s="1956"/>
      <c r="BAO313" s="1956"/>
      <c r="BAP313" s="1956"/>
      <c r="BAQ313" s="1956"/>
      <c r="BAR313" s="1956"/>
      <c r="BAS313" s="1956"/>
      <c r="BAT313" s="1956"/>
      <c r="BAU313" s="1956"/>
      <c r="BAV313" s="1956"/>
      <c r="BAW313" s="1956"/>
      <c r="BAX313" s="1956"/>
      <c r="BAY313" s="1956"/>
      <c r="BAZ313" s="1956"/>
      <c r="BBA313" s="1956"/>
      <c r="BBB313" s="1956"/>
      <c r="BBC313" s="1956"/>
      <c r="BBD313" s="1956"/>
      <c r="BBE313" s="1956"/>
      <c r="BBF313" s="1956"/>
      <c r="BBG313" s="1956"/>
      <c r="BBH313" s="1956"/>
      <c r="BBI313" s="1956"/>
      <c r="BBJ313" s="1956"/>
      <c r="BBK313" s="1956"/>
      <c r="BBL313" s="1956"/>
      <c r="BBM313" s="1956"/>
      <c r="BBN313" s="1956"/>
      <c r="BBO313" s="1956"/>
      <c r="BBP313" s="1956"/>
      <c r="BBQ313" s="1956"/>
      <c r="BBR313" s="1956"/>
      <c r="BBS313" s="1956"/>
      <c r="BBT313" s="1956"/>
      <c r="BBU313" s="1956"/>
      <c r="BBV313" s="1956"/>
      <c r="BBW313" s="1956"/>
      <c r="BBX313" s="1956"/>
      <c r="BBY313" s="1956"/>
      <c r="BBZ313" s="1956"/>
      <c r="BCA313" s="1956"/>
      <c r="BCB313" s="1956"/>
      <c r="BCC313" s="1956"/>
      <c r="BCD313" s="1956"/>
      <c r="BCE313" s="1956"/>
      <c r="BCF313" s="1956"/>
      <c r="BCG313" s="1956"/>
      <c r="BCH313" s="1956"/>
      <c r="BCI313" s="1956"/>
      <c r="BCJ313" s="1956"/>
      <c r="BCK313" s="1956"/>
      <c r="BCL313" s="1956"/>
      <c r="BCM313" s="1956"/>
      <c r="BCN313" s="1956"/>
      <c r="BCO313" s="1956"/>
      <c r="BCP313" s="1956"/>
      <c r="BCQ313" s="1956"/>
      <c r="BCR313" s="1956"/>
      <c r="BCS313" s="1956"/>
      <c r="BCT313" s="1956"/>
      <c r="BCU313" s="1956"/>
      <c r="BCV313" s="1956"/>
      <c r="BCW313" s="1956"/>
      <c r="BCX313" s="1956"/>
      <c r="BCY313" s="1956"/>
      <c r="BCZ313" s="1956"/>
      <c r="BDA313" s="1956"/>
      <c r="BDB313" s="1956"/>
      <c r="BDC313" s="1956"/>
      <c r="BDD313" s="1956"/>
      <c r="BDE313" s="1956"/>
      <c r="BDF313" s="1956"/>
      <c r="BDG313" s="1956"/>
      <c r="BDH313" s="1956"/>
      <c r="BDI313" s="1956"/>
      <c r="BDJ313" s="1956"/>
      <c r="BDK313" s="1956"/>
      <c r="BDL313" s="1956"/>
      <c r="BDM313" s="1956"/>
      <c r="BDN313" s="1956"/>
      <c r="BDO313" s="1956"/>
      <c r="BDP313" s="1956"/>
      <c r="BDQ313" s="1956"/>
      <c r="BDR313" s="1956"/>
      <c r="BDS313" s="1956"/>
      <c r="BDT313" s="1956"/>
      <c r="BDU313" s="1956"/>
      <c r="BDV313" s="1956"/>
      <c r="BDW313" s="1956"/>
      <c r="BDX313" s="1956"/>
      <c r="BDY313" s="1956"/>
      <c r="BDZ313" s="1956"/>
      <c r="BEA313" s="1956"/>
      <c r="BEB313" s="1956"/>
      <c r="BEC313" s="1956"/>
      <c r="BED313" s="1956"/>
      <c r="BEE313" s="1956"/>
      <c r="BEF313" s="1956"/>
      <c r="BEG313" s="1956"/>
      <c r="BEH313" s="1956"/>
      <c r="BEI313" s="1956"/>
      <c r="BEJ313" s="1956"/>
      <c r="BEK313" s="1956"/>
      <c r="BEL313" s="1956"/>
      <c r="BEM313" s="1956"/>
      <c r="BEN313" s="1956"/>
      <c r="BEO313" s="1956"/>
      <c r="BEP313" s="1956"/>
      <c r="BEQ313" s="1956"/>
      <c r="BER313" s="1956"/>
      <c r="BES313" s="1956"/>
      <c r="BET313" s="1956"/>
      <c r="BEU313" s="1956"/>
      <c r="BEV313" s="1956"/>
      <c r="BEW313" s="1956"/>
      <c r="BEX313" s="1956"/>
      <c r="BEY313" s="1956"/>
      <c r="BEZ313" s="1956"/>
      <c r="BFA313" s="1956"/>
      <c r="BFB313" s="1956"/>
      <c r="BFC313" s="1956"/>
      <c r="BFD313" s="1956"/>
      <c r="BFE313" s="1956"/>
      <c r="BFF313" s="1956"/>
      <c r="BFG313" s="1956"/>
      <c r="BFH313" s="1956"/>
      <c r="BFI313" s="1956"/>
      <c r="BFJ313" s="1956"/>
      <c r="BFK313" s="1956"/>
      <c r="BFL313" s="1956"/>
      <c r="BFM313" s="1956"/>
      <c r="BFN313" s="1956"/>
      <c r="BFO313" s="1956"/>
      <c r="BFP313" s="1956"/>
      <c r="BFQ313" s="1956"/>
      <c r="BFR313" s="1956"/>
      <c r="BFS313" s="1956"/>
      <c r="BFT313" s="1956"/>
      <c r="BFU313" s="1956"/>
      <c r="BFV313" s="1956"/>
      <c r="BFW313" s="1956"/>
      <c r="BFX313" s="1956"/>
      <c r="BFY313" s="1956"/>
      <c r="BFZ313" s="1956"/>
      <c r="BGA313" s="1956"/>
      <c r="BGB313" s="1956"/>
      <c r="BGC313" s="1956"/>
      <c r="BGD313" s="1956"/>
      <c r="BGE313" s="1956"/>
      <c r="BGF313" s="1956"/>
      <c r="BGG313" s="1956"/>
      <c r="BGH313" s="1956"/>
      <c r="BGI313" s="1956"/>
      <c r="BGJ313" s="1956"/>
      <c r="BGK313" s="1956"/>
      <c r="BGL313" s="1956"/>
      <c r="BGM313" s="1956"/>
      <c r="BGN313" s="1956"/>
      <c r="BGO313" s="1956"/>
      <c r="BGP313" s="1956"/>
      <c r="BGQ313" s="1956"/>
      <c r="BGR313" s="1956"/>
      <c r="BGS313" s="1956"/>
      <c r="BGT313" s="1956"/>
      <c r="BGU313" s="1956"/>
      <c r="BGV313" s="1956"/>
      <c r="BGW313" s="1956"/>
      <c r="BGX313" s="1956"/>
      <c r="BGY313" s="1956"/>
      <c r="BGZ313" s="1956"/>
      <c r="BHA313" s="1956"/>
      <c r="BHB313" s="1956"/>
      <c r="BHC313" s="1956"/>
      <c r="BHD313" s="1956"/>
      <c r="BHE313" s="1956"/>
      <c r="BHF313" s="1956"/>
      <c r="BHG313" s="1956"/>
      <c r="BHH313" s="1956"/>
      <c r="BHI313" s="1956"/>
      <c r="BHJ313" s="1956"/>
      <c r="BHK313" s="1956"/>
      <c r="BHL313" s="1956"/>
      <c r="BHM313" s="1956"/>
      <c r="BHN313" s="1956"/>
      <c r="BHO313" s="1956"/>
      <c r="BHP313" s="1956"/>
      <c r="BHQ313" s="1956"/>
      <c r="BHR313" s="1956"/>
      <c r="BHS313" s="1956"/>
      <c r="BHT313" s="1956"/>
      <c r="BHU313" s="1956"/>
      <c r="BHV313" s="1956"/>
      <c r="BHW313" s="1956"/>
      <c r="BHX313" s="1956"/>
      <c r="BHY313" s="1956"/>
      <c r="BHZ313" s="1956"/>
      <c r="BIA313" s="1956"/>
      <c r="BIB313" s="1956"/>
      <c r="BIC313" s="1956"/>
      <c r="BID313" s="1956"/>
      <c r="BIE313" s="1956"/>
      <c r="BIF313" s="1956"/>
      <c r="BIG313" s="1956"/>
      <c r="BIH313" s="1956"/>
      <c r="BII313" s="1956"/>
      <c r="BIJ313" s="1956"/>
      <c r="BIK313" s="1956"/>
      <c r="BIL313" s="1956"/>
      <c r="BIM313" s="1956"/>
      <c r="BIN313" s="1956"/>
      <c r="BIO313" s="1956"/>
      <c r="BIP313" s="1956"/>
      <c r="BIQ313" s="1956"/>
      <c r="BIR313" s="1956"/>
      <c r="BIS313" s="1956"/>
      <c r="BIT313" s="1956"/>
      <c r="BIU313" s="1956"/>
      <c r="BIV313" s="1956"/>
      <c r="BIW313" s="1956"/>
      <c r="BIX313" s="1956"/>
      <c r="BIY313" s="1956"/>
      <c r="BIZ313" s="1956"/>
      <c r="BJA313" s="1956"/>
      <c r="BJB313" s="1956"/>
      <c r="BJC313" s="1956"/>
      <c r="BJD313" s="1956"/>
      <c r="BJE313" s="1956"/>
      <c r="BJF313" s="1956"/>
      <c r="BJG313" s="1956"/>
      <c r="BJH313" s="1956"/>
      <c r="BJI313" s="1956"/>
      <c r="BJJ313" s="1956"/>
      <c r="BJK313" s="1956"/>
      <c r="BJL313" s="1956"/>
      <c r="BJM313" s="1956"/>
      <c r="BJN313" s="1956"/>
      <c r="BJO313" s="1956"/>
      <c r="BJP313" s="1956"/>
      <c r="BJQ313" s="1956"/>
      <c r="BJR313" s="1956"/>
      <c r="BJS313" s="1956"/>
      <c r="BJT313" s="1956"/>
      <c r="BJU313" s="1956"/>
      <c r="BJV313" s="1956"/>
      <c r="BJW313" s="1956"/>
      <c r="BJX313" s="1956"/>
      <c r="BJY313" s="1956"/>
      <c r="BJZ313" s="1956"/>
      <c r="BKA313" s="1956"/>
      <c r="BKB313" s="1956"/>
      <c r="BKC313" s="1956"/>
      <c r="BKD313" s="1956"/>
      <c r="BKE313" s="1956"/>
      <c r="BKF313" s="1956"/>
      <c r="BKG313" s="1956"/>
      <c r="BKH313" s="1956"/>
      <c r="BKI313" s="1956"/>
      <c r="BKJ313" s="1956"/>
      <c r="BKK313" s="1956"/>
      <c r="BKL313" s="1956"/>
      <c r="BKM313" s="1956"/>
      <c r="BKN313" s="1956"/>
      <c r="BKO313" s="1956"/>
      <c r="BKP313" s="1956"/>
      <c r="BKQ313" s="1956"/>
      <c r="BKR313" s="1956"/>
      <c r="BKS313" s="1956"/>
      <c r="BKT313" s="1956"/>
      <c r="BKU313" s="1956"/>
      <c r="BKV313" s="1956"/>
      <c r="BKW313" s="1956"/>
      <c r="BKX313" s="1956"/>
      <c r="BKY313" s="1956"/>
      <c r="BKZ313" s="1956"/>
      <c r="BLA313" s="1956"/>
      <c r="BLB313" s="1956"/>
      <c r="BLC313" s="1956"/>
      <c r="BLD313" s="1956"/>
      <c r="BLE313" s="1956"/>
      <c r="BLF313" s="1956"/>
      <c r="BLG313" s="1956"/>
      <c r="BLH313" s="1956"/>
      <c r="BLI313" s="1956"/>
      <c r="BLJ313" s="1956"/>
      <c r="BLK313" s="1956"/>
      <c r="BLL313" s="1956"/>
      <c r="BLM313" s="1956"/>
      <c r="BLN313" s="1956"/>
      <c r="BLO313" s="1956"/>
      <c r="BLP313" s="1956"/>
      <c r="BLQ313" s="1956"/>
      <c r="BLR313" s="1956"/>
      <c r="BLS313" s="1956"/>
      <c r="BLT313" s="1956"/>
      <c r="BLU313" s="1956"/>
      <c r="BLV313" s="1956"/>
      <c r="BLW313" s="1956"/>
      <c r="BLX313" s="1956"/>
      <c r="BLY313" s="1956"/>
      <c r="BLZ313" s="1956"/>
      <c r="BMA313" s="1956"/>
      <c r="BMB313" s="1956"/>
      <c r="BMC313" s="1956"/>
      <c r="BMD313" s="1956"/>
      <c r="BME313" s="1956"/>
      <c r="BMF313" s="1956"/>
      <c r="BMG313" s="1956"/>
      <c r="BMH313" s="1956"/>
      <c r="BMI313" s="1956"/>
      <c r="BMJ313" s="1956"/>
      <c r="BMK313" s="1956"/>
      <c r="BML313" s="1956"/>
      <c r="BMM313" s="1956"/>
      <c r="BMN313" s="1956"/>
      <c r="BMO313" s="1956"/>
      <c r="BMP313" s="1956"/>
      <c r="BMQ313" s="1956"/>
      <c r="BMR313" s="1956"/>
      <c r="BMS313" s="1956"/>
      <c r="BMT313" s="1956"/>
      <c r="BMU313" s="1956"/>
      <c r="BMV313" s="1956"/>
      <c r="BMW313" s="1956"/>
      <c r="BMX313" s="1956"/>
      <c r="BMY313" s="1956"/>
      <c r="BMZ313" s="1956"/>
      <c r="BNA313" s="1956"/>
      <c r="BNB313" s="1956"/>
      <c r="BNC313" s="1956"/>
      <c r="BND313" s="1956"/>
      <c r="BNE313" s="1956"/>
      <c r="BNF313" s="1956"/>
      <c r="BNG313" s="1956"/>
      <c r="BNH313" s="1956"/>
      <c r="BNI313" s="1956"/>
      <c r="BNJ313" s="1956"/>
      <c r="BNK313" s="1956"/>
      <c r="BNL313" s="1956"/>
      <c r="BNM313" s="1956"/>
      <c r="BNN313" s="1956"/>
      <c r="BNO313" s="1956"/>
      <c r="BNP313" s="1956"/>
      <c r="BNQ313" s="1956"/>
      <c r="BNR313" s="1956"/>
      <c r="BNS313" s="1956"/>
      <c r="BNT313" s="1956"/>
      <c r="BNU313" s="1956"/>
      <c r="BNV313" s="1956"/>
      <c r="BNW313" s="1956"/>
      <c r="BNX313" s="1956"/>
      <c r="BNY313" s="1956"/>
      <c r="BNZ313" s="1956"/>
      <c r="BOA313" s="1956"/>
      <c r="BOB313" s="1956"/>
      <c r="BOC313" s="1956"/>
      <c r="BOD313" s="1956"/>
      <c r="BOE313" s="1956"/>
      <c r="BOF313" s="1956"/>
      <c r="BOG313" s="1956"/>
      <c r="BOH313" s="1956"/>
      <c r="BOI313" s="1956"/>
      <c r="BOJ313" s="1956"/>
      <c r="BOK313" s="1956"/>
      <c r="BOL313" s="1956"/>
      <c r="BOM313" s="1956"/>
      <c r="BON313" s="1956"/>
      <c r="BOO313" s="1956"/>
      <c r="BOP313" s="1956"/>
      <c r="BOQ313" s="1956"/>
      <c r="BOR313" s="1956"/>
      <c r="BOS313" s="1956"/>
      <c r="BOT313" s="1956"/>
      <c r="BOU313" s="1956"/>
      <c r="BOV313" s="1956"/>
      <c r="BOW313" s="1956"/>
      <c r="BOX313" s="1956"/>
      <c r="BOY313" s="1956"/>
      <c r="BOZ313" s="1956"/>
      <c r="BPA313" s="1956"/>
      <c r="BPB313" s="1956"/>
      <c r="BPC313" s="1956"/>
      <c r="BPD313" s="1956"/>
      <c r="BPE313" s="1956"/>
      <c r="BPF313" s="1956"/>
      <c r="BPG313" s="1956"/>
      <c r="BPH313" s="1956"/>
      <c r="BPI313" s="1956"/>
      <c r="BPJ313" s="1956"/>
      <c r="BPK313" s="1956"/>
      <c r="BPL313" s="1956"/>
      <c r="BPM313" s="1956"/>
      <c r="BPN313" s="1956"/>
      <c r="BPO313" s="1956"/>
      <c r="BPP313" s="1956"/>
      <c r="BPQ313" s="1956"/>
      <c r="BPR313" s="1956"/>
      <c r="BPS313" s="1956"/>
      <c r="BPT313" s="1956"/>
      <c r="BPU313" s="1956"/>
      <c r="BPV313" s="1956"/>
      <c r="BPW313" s="1956"/>
      <c r="BPX313" s="1956"/>
      <c r="BPY313" s="1956"/>
      <c r="BPZ313" s="1956"/>
      <c r="BQA313" s="1956"/>
      <c r="BQB313" s="1956"/>
      <c r="BQC313" s="1956"/>
      <c r="BQD313" s="1956"/>
      <c r="BQE313" s="1956"/>
      <c r="BQF313" s="1956"/>
      <c r="BQG313" s="1956"/>
      <c r="BQH313" s="1956"/>
      <c r="BQI313" s="1956"/>
      <c r="BQJ313" s="1956"/>
      <c r="BQK313" s="1956"/>
      <c r="BQL313" s="1956"/>
      <c r="BQM313" s="1956"/>
      <c r="BQN313" s="1956"/>
      <c r="BQO313" s="1956"/>
      <c r="BQP313" s="1956"/>
      <c r="BQQ313" s="1956"/>
      <c r="BQR313" s="1956"/>
      <c r="BQS313" s="1956"/>
      <c r="BQT313" s="1956"/>
      <c r="BQU313" s="1956"/>
      <c r="BQV313" s="1956"/>
      <c r="BQW313" s="1956"/>
      <c r="BQX313" s="1956"/>
      <c r="BQY313" s="1956"/>
      <c r="BQZ313" s="1956"/>
      <c r="BRA313" s="1956"/>
      <c r="BRB313" s="1956"/>
      <c r="BRC313" s="1956"/>
      <c r="BRD313" s="1956"/>
      <c r="BRE313" s="1956"/>
      <c r="BRF313" s="1956"/>
      <c r="BRG313" s="1956"/>
      <c r="BRH313" s="1956"/>
      <c r="BRI313" s="1956"/>
      <c r="BRJ313" s="1956"/>
      <c r="BRK313" s="1956"/>
      <c r="BRL313" s="1956"/>
      <c r="BRM313" s="1956"/>
      <c r="BRN313" s="1956"/>
      <c r="BRO313" s="1956"/>
      <c r="BRP313" s="1956"/>
      <c r="BRQ313" s="1956"/>
      <c r="BRR313" s="1956"/>
      <c r="BRS313" s="1956"/>
      <c r="BRT313" s="1956"/>
      <c r="BRU313" s="1956"/>
      <c r="BRV313" s="1956"/>
      <c r="BRW313" s="1956"/>
      <c r="BRX313" s="1956"/>
      <c r="BRY313" s="1956"/>
      <c r="BRZ313" s="1956"/>
      <c r="BSA313" s="1956"/>
      <c r="BSB313" s="1956"/>
      <c r="BSC313" s="1956"/>
      <c r="BSD313" s="1956"/>
      <c r="BSE313" s="1956"/>
      <c r="BSF313" s="1956"/>
      <c r="BSG313" s="1956"/>
      <c r="BSH313" s="1956"/>
      <c r="BSI313" s="1956"/>
      <c r="BSJ313" s="1956"/>
      <c r="BSK313" s="1956"/>
      <c r="BSL313" s="1956"/>
      <c r="BSM313" s="1956"/>
      <c r="BSN313" s="1956"/>
      <c r="BSO313" s="1956"/>
      <c r="BSP313" s="1956"/>
      <c r="BSQ313" s="1956"/>
      <c r="BSR313" s="1956"/>
      <c r="BSS313" s="1956"/>
      <c r="BST313" s="1956"/>
      <c r="BSU313" s="1956"/>
      <c r="BSV313" s="1956"/>
      <c r="BSW313" s="1956"/>
      <c r="BSX313" s="1956"/>
      <c r="BSY313" s="1956"/>
      <c r="BSZ313" s="1956"/>
      <c r="BTA313" s="1956"/>
      <c r="BTB313" s="1956"/>
      <c r="BTC313" s="1956"/>
      <c r="BTD313" s="1956"/>
      <c r="BTE313" s="1956"/>
      <c r="BTF313" s="1956"/>
      <c r="BTG313" s="1956"/>
      <c r="BTH313" s="1956"/>
      <c r="BTI313" s="1956"/>
      <c r="BTJ313" s="1956"/>
      <c r="BTK313" s="1956"/>
      <c r="BTL313" s="1956"/>
      <c r="BTM313" s="1956"/>
      <c r="BTN313" s="1956"/>
      <c r="BTO313" s="1956"/>
      <c r="BTP313" s="1956"/>
      <c r="BTQ313" s="1956"/>
      <c r="BTR313" s="1956"/>
      <c r="BTS313" s="1956"/>
      <c r="BTT313" s="1956"/>
      <c r="BTU313" s="1956"/>
      <c r="BTV313" s="1956"/>
      <c r="BTW313" s="1956"/>
      <c r="BTX313" s="1956"/>
      <c r="BTY313" s="1956"/>
      <c r="BTZ313" s="1956"/>
      <c r="BUA313" s="1956"/>
      <c r="BUB313" s="1956"/>
      <c r="BUC313" s="1956"/>
      <c r="BUD313" s="1956"/>
      <c r="BUE313" s="1956"/>
      <c r="BUF313" s="1956"/>
      <c r="BUG313" s="1956"/>
      <c r="BUH313" s="1956"/>
      <c r="BUI313" s="1956"/>
      <c r="BUJ313" s="1956"/>
      <c r="BUK313" s="1956"/>
      <c r="BUL313" s="1956"/>
      <c r="BUM313" s="1956"/>
      <c r="BUN313" s="1956"/>
      <c r="BUO313" s="1956"/>
      <c r="BUP313" s="1956"/>
      <c r="BUQ313" s="1956"/>
      <c r="BUR313" s="1956"/>
      <c r="BUS313" s="1956"/>
      <c r="BUT313" s="1956"/>
      <c r="BUU313" s="1956"/>
      <c r="BUV313" s="1956"/>
      <c r="BUW313" s="1956"/>
      <c r="BUX313" s="1956"/>
      <c r="BUY313" s="1956"/>
      <c r="BUZ313" s="1956"/>
      <c r="BVA313" s="1956"/>
      <c r="BVB313" s="1956"/>
      <c r="BVC313" s="1956"/>
      <c r="BVD313" s="1956"/>
      <c r="BVE313" s="1956"/>
      <c r="BVF313" s="1956"/>
      <c r="BVG313" s="1956"/>
      <c r="BVH313" s="1956"/>
      <c r="BVI313" s="1956"/>
      <c r="BVJ313" s="1956"/>
      <c r="BVK313" s="1956"/>
      <c r="BVL313" s="1956"/>
      <c r="BVM313" s="1956"/>
      <c r="BVN313" s="1956"/>
      <c r="BVO313" s="1956"/>
      <c r="BVP313" s="1956"/>
      <c r="BVQ313" s="1956"/>
      <c r="BVR313" s="1956"/>
      <c r="BVS313" s="1956"/>
      <c r="BVT313" s="1956"/>
      <c r="BVU313" s="1956"/>
      <c r="BVV313" s="1956"/>
      <c r="BVW313" s="1956"/>
      <c r="BVX313" s="1956"/>
      <c r="BVY313" s="1956"/>
      <c r="BVZ313" s="1956"/>
      <c r="BWA313" s="1956"/>
      <c r="BWB313" s="1956"/>
      <c r="BWC313" s="1956"/>
      <c r="BWD313" s="1956"/>
      <c r="BWE313" s="1956"/>
      <c r="BWF313" s="1956"/>
      <c r="BWG313" s="1956"/>
      <c r="BWH313" s="1956"/>
      <c r="BWI313" s="1956"/>
      <c r="BWJ313" s="1956"/>
      <c r="BWK313" s="1956"/>
      <c r="BWL313" s="1956"/>
      <c r="BWM313" s="1956"/>
      <c r="BWN313" s="1956"/>
      <c r="BWO313" s="1956"/>
      <c r="BWP313" s="1956"/>
      <c r="BWQ313" s="1956"/>
      <c r="BWR313" s="1956"/>
      <c r="BWS313" s="1956"/>
      <c r="BWT313" s="1956"/>
      <c r="BWU313" s="1956"/>
      <c r="BWV313" s="1956"/>
      <c r="BWW313" s="1956"/>
      <c r="BWX313" s="1956"/>
      <c r="BWY313" s="1956"/>
      <c r="BWZ313" s="1956"/>
      <c r="BXA313" s="1956"/>
      <c r="BXB313" s="1956"/>
      <c r="BXC313" s="1956"/>
      <c r="BXD313" s="1956"/>
      <c r="BXE313" s="1956"/>
      <c r="BXF313" s="1956"/>
      <c r="BXG313" s="1956"/>
      <c r="BXH313" s="1956"/>
      <c r="BXI313" s="1956"/>
      <c r="BXJ313" s="1956"/>
      <c r="BXK313" s="1956"/>
      <c r="BXL313" s="1956"/>
      <c r="BXM313" s="1956"/>
      <c r="BXN313" s="1956"/>
      <c r="BXO313" s="1956"/>
      <c r="BXP313" s="1956"/>
      <c r="BXQ313" s="1956"/>
      <c r="BXR313" s="1956"/>
      <c r="BXS313" s="1956"/>
      <c r="BXT313" s="1956"/>
      <c r="BXU313" s="1956"/>
      <c r="BXV313" s="1956"/>
      <c r="BXW313" s="1956"/>
      <c r="BXX313" s="1956"/>
      <c r="BXY313" s="1956"/>
      <c r="BXZ313" s="1956"/>
      <c r="BYA313" s="1956"/>
      <c r="BYB313" s="1956"/>
      <c r="BYC313" s="1956"/>
      <c r="BYD313" s="1956"/>
      <c r="BYE313" s="1956"/>
      <c r="BYF313" s="1956"/>
      <c r="BYG313" s="1956"/>
      <c r="BYH313" s="1956"/>
      <c r="BYI313" s="1956"/>
      <c r="BYJ313" s="1956"/>
      <c r="BYK313" s="1956"/>
      <c r="BYL313" s="1956"/>
      <c r="BYM313" s="1956"/>
      <c r="BYN313" s="1956"/>
      <c r="BYO313" s="1956"/>
      <c r="BYP313" s="1956"/>
      <c r="BYQ313" s="1956"/>
      <c r="BYR313" s="1956"/>
      <c r="BYS313" s="1956"/>
      <c r="BYT313" s="1956"/>
      <c r="BYU313" s="1956"/>
      <c r="BYV313" s="1956"/>
      <c r="BYW313" s="1956"/>
      <c r="BYX313" s="1956"/>
      <c r="BYY313" s="1956"/>
      <c r="BYZ313" s="1956"/>
      <c r="BZA313" s="1956"/>
      <c r="BZB313" s="1956"/>
      <c r="BZC313" s="1956"/>
      <c r="BZD313" s="1956"/>
      <c r="BZE313" s="1956"/>
      <c r="BZF313" s="1956"/>
      <c r="BZG313" s="1956"/>
      <c r="BZH313" s="1956"/>
      <c r="BZI313" s="1956"/>
      <c r="BZJ313" s="1956"/>
      <c r="BZK313" s="1956"/>
      <c r="BZL313" s="1956"/>
      <c r="BZM313" s="1956"/>
      <c r="BZN313" s="1956"/>
      <c r="BZO313" s="1956"/>
      <c r="BZP313" s="1956"/>
      <c r="BZQ313" s="1956"/>
      <c r="BZR313" s="1956"/>
      <c r="BZS313" s="1956"/>
      <c r="BZT313" s="1956"/>
      <c r="BZU313" s="1956"/>
      <c r="BZV313" s="1956"/>
      <c r="BZW313" s="1956"/>
      <c r="BZX313" s="1956"/>
      <c r="BZY313" s="1956"/>
      <c r="BZZ313" s="1956"/>
      <c r="CAA313" s="1956"/>
      <c r="CAB313" s="1956"/>
      <c r="CAC313" s="1956"/>
      <c r="CAD313" s="1956"/>
      <c r="CAE313" s="1956"/>
      <c r="CAF313" s="1956"/>
      <c r="CAG313" s="1956"/>
      <c r="CAH313" s="1956"/>
      <c r="CAI313" s="1956"/>
      <c r="CAJ313" s="1956"/>
      <c r="CAK313" s="1956"/>
      <c r="CAL313" s="1956"/>
      <c r="CAM313" s="1956"/>
      <c r="CAN313" s="1956"/>
      <c r="CAO313" s="1956"/>
      <c r="CAP313" s="1956"/>
      <c r="CAQ313" s="1956"/>
      <c r="CAR313" s="1956"/>
      <c r="CAS313" s="1956"/>
      <c r="CAT313" s="1956"/>
      <c r="CAU313" s="1956"/>
      <c r="CAV313" s="1956"/>
      <c r="CAW313" s="1956"/>
      <c r="CAX313" s="1956"/>
      <c r="CAY313" s="1956"/>
      <c r="CAZ313" s="1956"/>
      <c r="CBA313" s="1956"/>
      <c r="CBB313" s="1956"/>
      <c r="CBC313" s="1956"/>
      <c r="CBD313" s="1956"/>
      <c r="CBE313" s="1956"/>
      <c r="CBF313" s="1956"/>
      <c r="CBG313" s="1956"/>
      <c r="CBH313" s="1956"/>
      <c r="CBI313" s="1956"/>
      <c r="CBJ313" s="1956"/>
      <c r="CBK313" s="1956"/>
      <c r="CBL313" s="1956"/>
      <c r="CBM313" s="1956"/>
      <c r="CBN313" s="1956"/>
      <c r="CBO313" s="1956"/>
      <c r="CBP313" s="1956"/>
      <c r="CBQ313" s="1956"/>
      <c r="CBR313" s="1956"/>
      <c r="CBS313" s="1956"/>
      <c r="CBT313" s="1956"/>
      <c r="CBU313" s="1956"/>
      <c r="CBV313" s="1956"/>
      <c r="CBW313" s="1956"/>
      <c r="CBX313" s="1956"/>
      <c r="CBY313" s="1956"/>
      <c r="CBZ313" s="1956"/>
      <c r="CCA313" s="1956"/>
      <c r="CCB313" s="1956"/>
      <c r="CCC313" s="1956"/>
      <c r="CCD313" s="1956"/>
      <c r="CCE313" s="1956"/>
      <c r="CCF313" s="1956"/>
      <c r="CCG313" s="1956"/>
      <c r="CCH313" s="1956"/>
      <c r="CCI313" s="1956"/>
      <c r="CCJ313" s="1956"/>
      <c r="CCK313" s="1956"/>
      <c r="CCL313" s="1956"/>
      <c r="CCM313" s="1956"/>
      <c r="CCN313" s="1956"/>
      <c r="CCO313" s="1956"/>
      <c r="CCP313" s="1956"/>
      <c r="CCQ313" s="1956"/>
      <c r="CCR313" s="1956"/>
      <c r="CCS313" s="1956"/>
      <c r="CCT313" s="1956"/>
      <c r="CCU313" s="1956"/>
      <c r="CCV313" s="1956"/>
      <c r="CCW313" s="1956"/>
      <c r="CCX313" s="1956"/>
      <c r="CCY313" s="1956"/>
      <c r="CCZ313" s="1956"/>
      <c r="CDA313" s="1956"/>
      <c r="CDB313" s="1956"/>
      <c r="CDC313" s="1956"/>
      <c r="CDD313" s="1956"/>
      <c r="CDE313" s="1956"/>
      <c r="CDF313" s="1956"/>
      <c r="CDG313" s="1956"/>
      <c r="CDH313" s="1956"/>
      <c r="CDI313" s="1956"/>
      <c r="CDJ313" s="1956"/>
      <c r="CDK313" s="1956"/>
      <c r="CDL313" s="1956"/>
      <c r="CDM313" s="1956"/>
      <c r="CDN313" s="1956"/>
      <c r="CDO313" s="1956"/>
      <c r="CDP313" s="1956"/>
      <c r="CDQ313" s="1956"/>
      <c r="CDR313" s="1956"/>
      <c r="CDS313" s="1956"/>
      <c r="CDT313" s="1956"/>
      <c r="CDU313" s="1956"/>
      <c r="CDV313" s="1956"/>
      <c r="CDW313" s="1956"/>
      <c r="CDX313" s="1956"/>
      <c r="CDY313" s="1956"/>
      <c r="CDZ313" s="1956"/>
      <c r="CEA313" s="1956"/>
      <c r="CEB313" s="1956"/>
      <c r="CEC313" s="1956"/>
      <c r="CED313" s="1956"/>
      <c r="CEE313" s="1956"/>
      <c r="CEF313" s="1956"/>
      <c r="CEG313" s="1956"/>
      <c r="CEH313" s="1956"/>
      <c r="CEI313" s="1956"/>
      <c r="CEJ313" s="1956"/>
      <c r="CEK313" s="1956"/>
      <c r="CEL313" s="1956"/>
      <c r="CEM313" s="1956"/>
      <c r="CEN313" s="1956"/>
      <c r="CEO313" s="1956"/>
      <c r="CEP313" s="1956"/>
      <c r="CEQ313" s="1956"/>
      <c r="CER313" s="1956"/>
      <c r="CES313" s="1956"/>
      <c r="CET313" s="1956"/>
      <c r="CEU313" s="1956"/>
      <c r="CEV313" s="1956"/>
      <c r="CEW313" s="1956"/>
      <c r="CEX313" s="1956"/>
      <c r="CEY313" s="1956"/>
      <c r="CEZ313" s="1956"/>
      <c r="CFA313" s="1956"/>
      <c r="CFB313" s="1956"/>
      <c r="CFC313" s="1956"/>
      <c r="CFD313" s="1956"/>
      <c r="CFE313" s="1956"/>
      <c r="CFF313" s="1956"/>
      <c r="CFG313" s="1956"/>
      <c r="CFH313" s="1956"/>
      <c r="CFI313" s="1956"/>
      <c r="CFJ313" s="1956"/>
      <c r="CFK313" s="1956"/>
      <c r="CFL313" s="1956"/>
      <c r="CFM313" s="1956"/>
      <c r="CFN313" s="1956"/>
      <c r="CFO313" s="1956"/>
      <c r="CFP313" s="1956"/>
      <c r="CFQ313" s="1956"/>
      <c r="CFR313" s="1956"/>
      <c r="CFS313" s="1956"/>
      <c r="CFT313" s="1956"/>
      <c r="CFU313" s="1956"/>
      <c r="CFV313" s="1956"/>
      <c r="CFW313" s="1956"/>
      <c r="CFX313" s="1956"/>
      <c r="CFY313" s="1956"/>
      <c r="CFZ313" s="1956"/>
      <c r="CGA313" s="1956"/>
      <c r="CGB313" s="1956"/>
      <c r="CGC313" s="1956"/>
      <c r="CGD313" s="1956"/>
      <c r="CGE313" s="1956"/>
      <c r="CGF313" s="1956"/>
      <c r="CGG313" s="1956"/>
      <c r="CGH313" s="1956"/>
      <c r="CGI313" s="1956"/>
      <c r="CGJ313" s="1956"/>
      <c r="CGK313" s="1956"/>
      <c r="CGL313" s="1956"/>
      <c r="CGM313" s="1956"/>
      <c r="CGN313" s="1956"/>
      <c r="CGO313" s="1956"/>
      <c r="CGP313" s="1956"/>
      <c r="CGQ313" s="1956"/>
      <c r="CGR313" s="1956"/>
      <c r="CGS313" s="1956"/>
      <c r="CGT313" s="1956"/>
      <c r="CGU313" s="1956"/>
      <c r="CGV313" s="1956"/>
      <c r="CGW313" s="1956"/>
      <c r="CGX313" s="1956"/>
      <c r="CGY313" s="1956"/>
      <c r="CGZ313" s="1956"/>
      <c r="CHA313" s="1956"/>
      <c r="CHB313" s="1956"/>
      <c r="CHC313" s="1956"/>
      <c r="CHD313" s="1956"/>
      <c r="CHE313" s="1956"/>
      <c r="CHF313" s="1956"/>
      <c r="CHG313" s="1956"/>
      <c r="CHH313" s="1956"/>
      <c r="CHI313" s="1956"/>
      <c r="CHJ313" s="1956"/>
      <c r="CHK313" s="1956"/>
      <c r="CHL313" s="1956"/>
      <c r="CHM313" s="1956"/>
      <c r="CHN313" s="1956"/>
      <c r="CHO313" s="1956"/>
      <c r="CHP313" s="1956"/>
      <c r="CHQ313" s="1956"/>
      <c r="CHR313" s="1956"/>
      <c r="CHS313" s="1956"/>
      <c r="CHT313" s="1956"/>
      <c r="CHU313" s="1956"/>
      <c r="CHV313" s="1956"/>
      <c r="CHW313" s="1956"/>
      <c r="CHX313" s="1956"/>
      <c r="CHY313" s="1956"/>
      <c r="CHZ313" s="1956"/>
      <c r="CIA313" s="1956"/>
      <c r="CIB313" s="1956"/>
      <c r="CIC313" s="1956"/>
      <c r="CID313" s="1956"/>
      <c r="CIE313" s="1956"/>
      <c r="CIF313" s="1956"/>
      <c r="CIG313" s="1956"/>
      <c r="CIH313" s="1956"/>
      <c r="CII313" s="1956"/>
      <c r="CIJ313" s="1956"/>
      <c r="CIK313" s="1956"/>
      <c r="CIL313" s="1956"/>
      <c r="CIM313" s="1956"/>
      <c r="CIN313" s="1956"/>
      <c r="CIO313" s="1956"/>
      <c r="CIP313" s="1956"/>
      <c r="CIQ313" s="1956"/>
      <c r="CIR313" s="1956"/>
      <c r="CIS313" s="1956"/>
      <c r="CIT313" s="1956"/>
      <c r="CIU313" s="1956"/>
      <c r="CIV313" s="1956"/>
      <c r="CIW313" s="1956"/>
      <c r="CIX313" s="1956"/>
      <c r="CIY313" s="1956"/>
      <c r="CIZ313" s="1956"/>
      <c r="CJA313" s="1956"/>
      <c r="CJB313" s="1956"/>
      <c r="CJC313" s="1956"/>
      <c r="CJD313" s="1956"/>
      <c r="CJE313" s="1956"/>
      <c r="CJF313" s="1956"/>
      <c r="CJG313" s="1956"/>
      <c r="CJH313" s="1956"/>
      <c r="CJI313" s="1956"/>
      <c r="CJJ313" s="1956"/>
      <c r="CJK313" s="1956"/>
      <c r="CJL313" s="1956"/>
      <c r="CJM313" s="1956"/>
      <c r="CJN313" s="1956"/>
      <c r="CJO313" s="1956"/>
      <c r="CJP313" s="1956"/>
      <c r="CJQ313" s="1956"/>
      <c r="CJR313" s="1956"/>
      <c r="CJS313" s="1956"/>
      <c r="CJT313" s="1956"/>
      <c r="CJU313" s="1956"/>
      <c r="CJV313" s="1956"/>
      <c r="CJW313" s="1956"/>
      <c r="CJX313" s="1956"/>
      <c r="CJY313" s="1956"/>
      <c r="CJZ313" s="1956"/>
      <c r="CKA313" s="1956"/>
      <c r="CKB313" s="1956"/>
      <c r="CKC313" s="1956"/>
      <c r="CKD313" s="1956"/>
      <c r="CKE313" s="1956"/>
      <c r="CKF313" s="1956"/>
      <c r="CKG313" s="1956"/>
      <c r="CKH313" s="1956"/>
      <c r="CKI313" s="1956"/>
      <c r="CKJ313" s="1956"/>
      <c r="CKK313" s="1956"/>
      <c r="CKL313" s="1956"/>
      <c r="CKM313" s="1956"/>
      <c r="CKN313" s="1956"/>
      <c r="CKO313" s="1956"/>
      <c r="CKP313" s="1956"/>
      <c r="CKQ313" s="1956"/>
      <c r="CKR313" s="1956"/>
      <c r="CKS313" s="1956"/>
      <c r="CKT313" s="1956"/>
      <c r="CKU313" s="1956"/>
      <c r="CKV313" s="1956"/>
      <c r="CKW313" s="1956"/>
      <c r="CKX313" s="1956"/>
      <c r="CKY313" s="1956"/>
      <c r="CKZ313" s="1956"/>
      <c r="CLA313" s="1956"/>
      <c r="CLB313" s="1956"/>
      <c r="CLC313" s="1956"/>
      <c r="CLD313" s="1956"/>
      <c r="CLE313" s="1956"/>
      <c r="CLF313" s="1956"/>
      <c r="CLG313" s="1956"/>
      <c r="CLH313" s="1956"/>
      <c r="CLI313" s="1956"/>
      <c r="CLJ313" s="1956"/>
      <c r="CLK313" s="1956"/>
      <c r="CLL313" s="1956"/>
      <c r="CLM313" s="1956"/>
      <c r="CLN313" s="1956"/>
      <c r="CLO313" s="1956"/>
      <c r="CLP313" s="1956"/>
      <c r="CLQ313" s="1956"/>
      <c r="CLR313" s="1956"/>
      <c r="CLS313" s="1956"/>
      <c r="CLT313" s="1956"/>
      <c r="CLU313" s="1956"/>
      <c r="CLV313" s="1956"/>
      <c r="CLW313" s="1956"/>
      <c r="CLX313" s="1956"/>
      <c r="CLY313" s="1956"/>
      <c r="CLZ313" s="1956"/>
      <c r="CMA313" s="1956"/>
      <c r="CMB313" s="1956"/>
      <c r="CMC313" s="1956"/>
      <c r="CMD313" s="1956"/>
      <c r="CME313" s="1956"/>
      <c r="CMF313" s="1956"/>
      <c r="CMG313" s="1956"/>
      <c r="CMH313" s="1956"/>
      <c r="CMI313" s="1956"/>
      <c r="CMJ313" s="1956"/>
      <c r="CMK313" s="1956"/>
      <c r="CML313" s="1956"/>
      <c r="CMM313" s="1956"/>
      <c r="CMN313" s="1956"/>
      <c r="CMO313" s="1956"/>
      <c r="CMP313" s="1956"/>
      <c r="CMQ313" s="1956"/>
      <c r="CMR313" s="1956"/>
      <c r="CMS313" s="1956"/>
      <c r="CMT313" s="1956"/>
      <c r="CMU313" s="1956"/>
      <c r="CMV313" s="1956"/>
      <c r="CMW313" s="1956"/>
      <c r="CMX313" s="1956"/>
      <c r="CMY313" s="1956"/>
      <c r="CMZ313" s="1956"/>
      <c r="CNA313" s="1956"/>
      <c r="CNB313" s="1956"/>
      <c r="CNC313" s="1956"/>
      <c r="CND313" s="1956"/>
      <c r="CNE313" s="1956"/>
      <c r="CNF313" s="1956"/>
      <c r="CNG313" s="1956"/>
      <c r="CNH313" s="1956"/>
      <c r="CNI313" s="1956"/>
      <c r="CNJ313" s="1956"/>
      <c r="CNK313" s="1956"/>
      <c r="CNL313" s="1956"/>
      <c r="CNM313" s="1956"/>
      <c r="CNN313" s="1956"/>
      <c r="CNO313" s="1956"/>
      <c r="CNP313" s="1956"/>
      <c r="CNQ313" s="1956"/>
      <c r="CNR313" s="1956"/>
      <c r="CNS313" s="1956"/>
      <c r="CNT313" s="1956"/>
      <c r="CNU313" s="1956"/>
      <c r="CNV313" s="1956"/>
      <c r="CNW313" s="1956"/>
      <c r="CNX313" s="1956"/>
      <c r="CNY313" s="1956"/>
      <c r="CNZ313" s="1956"/>
      <c r="COA313" s="1956"/>
      <c r="COB313" s="1956"/>
      <c r="COC313" s="1956"/>
      <c r="COD313" s="1956"/>
      <c r="COE313" s="1956"/>
      <c r="COF313" s="1956"/>
      <c r="COG313" s="1956"/>
      <c r="COH313" s="1956"/>
      <c r="COI313" s="1956"/>
      <c r="COJ313" s="1956"/>
      <c r="COK313" s="1956"/>
      <c r="COL313" s="1956"/>
      <c r="COM313" s="1956"/>
      <c r="CON313" s="1956"/>
      <c r="COO313" s="1956"/>
      <c r="COP313" s="1956"/>
      <c r="COQ313" s="1956"/>
      <c r="COR313" s="1956"/>
      <c r="COS313" s="1956"/>
      <c r="COT313" s="1956"/>
      <c r="COU313" s="1956"/>
      <c r="COV313" s="1956"/>
      <c r="COW313" s="1956"/>
      <c r="COX313" s="1956"/>
      <c r="COY313" s="1956"/>
      <c r="COZ313" s="1956"/>
      <c r="CPA313" s="1956"/>
      <c r="CPB313" s="1956"/>
      <c r="CPC313" s="1956"/>
      <c r="CPD313" s="1956"/>
      <c r="CPE313" s="1956"/>
      <c r="CPF313" s="1956"/>
      <c r="CPG313" s="1956"/>
      <c r="CPH313" s="1956"/>
      <c r="CPI313" s="1956"/>
      <c r="CPJ313" s="1956"/>
      <c r="CPK313" s="1956"/>
      <c r="CPL313" s="1956"/>
      <c r="CPM313" s="1956"/>
      <c r="CPN313" s="1956"/>
      <c r="CPO313" s="1956"/>
      <c r="CPP313" s="1956"/>
      <c r="CPQ313" s="1956"/>
      <c r="CPR313" s="1956"/>
      <c r="CPS313" s="1956"/>
      <c r="CPT313" s="1956"/>
      <c r="CPU313" s="1956"/>
      <c r="CPV313" s="1956"/>
      <c r="CPW313" s="1956"/>
      <c r="CPX313" s="1956"/>
      <c r="CPY313" s="1956"/>
      <c r="CPZ313" s="1956"/>
      <c r="CQA313" s="1956"/>
      <c r="CQB313" s="1956"/>
      <c r="CQC313" s="1956"/>
      <c r="CQD313" s="1956"/>
      <c r="CQE313" s="1956"/>
      <c r="CQF313" s="1956"/>
      <c r="CQG313" s="1956"/>
      <c r="CQH313" s="1956"/>
      <c r="CQI313" s="1956"/>
      <c r="CQJ313" s="1956"/>
      <c r="CQK313" s="1956"/>
      <c r="CQL313" s="1956"/>
      <c r="CQM313" s="1956"/>
      <c r="CQN313" s="1956"/>
      <c r="CQO313" s="1956"/>
      <c r="CQP313" s="1956"/>
      <c r="CQQ313" s="1956"/>
      <c r="CQR313" s="1956"/>
      <c r="CQS313" s="1956"/>
      <c r="CQT313" s="1956"/>
      <c r="CQU313" s="1956"/>
      <c r="CQV313" s="1956"/>
      <c r="CQW313" s="1956"/>
      <c r="CQX313" s="1956"/>
      <c r="CQY313" s="1956"/>
      <c r="CQZ313" s="1956"/>
      <c r="CRA313" s="1956"/>
      <c r="CRB313" s="1956"/>
      <c r="CRC313" s="1956"/>
      <c r="CRD313" s="1956"/>
      <c r="CRE313" s="1956"/>
      <c r="CRF313" s="1956"/>
      <c r="CRG313" s="1956"/>
      <c r="CRH313" s="1956"/>
      <c r="CRI313" s="1956"/>
      <c r="CRJ313" s="1956"/>
      <c r="CRK313" s="1956"/>
      <c r="CRL313" s="1956"/>
      <c r="CRM313" s="1956"/>
      <c r="CRN313" s="1956"/>
      <c r="CRO313" s="1956"/>
      <c r="CRP313" s="1956"/>
      <c r="CRQ313" s="1956"/>
      <c r="CRR313" s="1956"/>
      <c r="CRS313" s="1956"/>
      <c r="CRT313" s="1956"/>
      <c r="CRU313" s="1956"/>
      <c r="CRV313" s="1956"/>
      <c r="CRW313" s="1956"/>
      <c r="CRX313" s="1956"/>
      <c r="CRY313" s="1956"/>
      <c r="CRZ313" s="1956"/>
      <c r="CSA313" s="1956"/>
      <c r="CSB313" s="1956"/>
      <c r="CSC313" s="1956"/>
      <c r="CSD313" s="1956"/>
      <c r="CSE313" s="1956"/>
      <c r="CSF313" s="1956"/>
      <c r="CSG313" s="1956"/>
      <c r="CSH313" s="1956"/>
      <c r="CSI313" s="1956"/>
      <c r="CSJ313" s="1956"/>
      <c r="CSK313" s="1956"/>
      <c r="CSL313" s="1956"/>
      <c r="CSM313" s="1956"/>
      <c r="CSN313" s="1956"/>
      <c r="CSO313" s="1956"/>
      <c r="CSP313" s="1956"/>
      <c r="CSQ313" s="1956"/>
      <c r="CSR313" s="1956"/>
      <c r="CSS313" s="1956"/>
      <c r="CST313" s="1956"/>
      <c r="CSU313" s="1956"/>
      <c r="CSV313" s="1956"/>
      <c r="CSW313" s="1956"/>
      <c r="CSX313" s="1956"/>
      <c r="CSY313" s="1956"/>
      <c r="CSZ313" s="1956"/>
      <c r="CTA313" s="1956"/>
      <c r="CTB313" s="1956"/>
      <c r="CTC313" s="1956"/>
      <c r="CTD313" s="1956"/>
      <c r="CTE313" s="1956"/>
      <c r="CTF313" s="1956"/>
      <c r="CTG313" s="1956"/>
      <c r="CTH313" s="1956"/>
      <c r="CTI313" s="1956"/>
      <c r="CTJ313" s="1956"/>
      <c r="CTK313" s="1956"/>
      <c r="CTL313" s="1956"/>
      <c r="CTM313" s="1956"/>
      <c r="CTN313" s="1956"/>
      <c r="CTO313" s="1956"/>
      <c r="CTP313" s="1956"/>
      <c r="CTQ313" s="1956"/>
      <c r="CTR313" s="1956"/>
      <c r="CTS313" s="1956"/>
      <c r="CTT313" s="1956"/>
      <c r="CTU313" s="1956"/>
      <c r="CTV313" s="1956"/>
      <c r="CTW313" s="1956"/>
      <c r="CTX313" s="1956"/>
      <c r="CTY313" s="1956"/>
      <c r="CTZ313" s="1956"/>
      <c r="CUA313" s="1956"/>
      <c r="CUB313" s="1956"/>
      <c r="CUC313" s="1956"/>
      <c r="CUD313" s="1956"/>
      <c r="CUE313" s="1956"/>
      <c r="CUF313" s="1956"/>
      <c r="CUG313" s="1956"/>
      <c r="CUH313" s="1956"/>
      <c r="CUI313" s="1956"/>
      <c r="CUJ313" s="1956"/>
      <c r="CUK313" s="1956"/>
      <c r="CUL313" s="1956"/>
      <c r="CUM313" s="1956"/>
      <c r="CUN313" s="1956"/>
      <c r="CUO313" s="1956"/>
      <c r="CUP313" s="1956"/>
      <c r="CUQ313" s="1956"/>
      <c r="CUR313" s="1956"/>
      <c r="CUS313" s="1956"/>
      <c r="CUT313" s="1956"/>
      <c r="CUU313" s="1956"/>
      <c r="CUV313" s="1956"/>
      <c r="CUW313" s="1956"/>
      <c r="CUX313" s="1956"/>
      <c r="CUY313" s="1956"/>
      <c r="CUZ313" s="1956"/>
      <c r="CVA313" s="1956"/>
      <c r="CVB313" s="1956"/>
      <c r="CVC313" s="1956"/>
      <c r="CVD313" s="1956"/>
      <c r="CVE313" s="1956"/>
      <c r="CVF313" s="1956"/>
      <c r="CVG313" s="1956"/>
      <c r="CVH313" s="1956"/>
      <c r="CVI313" s="1956"/>
      <c r="CVJ313" s="1956"/>
      <c r="CVK313" s="1956"/>
      <c r="CVL313" s="1956"/>
      <c r="CVM313" s="1956"/>
      <c r="CVN313" s="1956"/>
      <c r="CVO313" s="1956"/>
      <c r="CVP313" s="1956"/>
      <c r="CVQ313" s="1956"/>
      <c r="CVR313" s="1956"/>
      <c r="CVS313" s="1956"/>
      <c r="CVT313" s="1956"/>
      <c r="CVU313" s="1956"/>
      <c r="CVV313" s="1956"/>
      <c r="CVW313" s="1956"/>
      <c r="CVX313" s="1956"/>
      <c r="CVY313" s="1956"/>
      <c r="CVZ313" s="1956"/>
      <c r="CWA313" s="1956"/>
      <c r="CWB313" s="1956"/>
      <c r="CWC313" s="1956"/>
      <c r="CWD313" s="1956"/>
      <c r="CWE313" s="1956"/>
      <c r="CWF313" s="1956"/>
      <c r="CWG313" s="1956"/>
      <c r="CWH313" s="1956"/>
      <c r="CWI313" s="1956"/>
      <c r="CWJ313" s="1956"/>
      <c r="CWK313" s="1956"/>
      <c r="CWL313" s="1956"/>
      <c r="CWM313" s="1956"/>
      <c r="CWN313" s="1956"/>
      <c r="CWO313" s="1956"/>
      <c r="CWP313" s="1956"/>
      <c r="CWQ313" s="1956"/>
      <c r="CWR313" s="1956"/>
      <c r="CWS313" s="1956"/>
      <c r="CWT313" s="1956"/>
      <c r="CWU313" s="1956"/>
      <c r="CWV313" s="1956"/>
      <c r="CWW313" s="1956"/>
      <c r="CWX313" s="1956"/>
      <c r="CWY313" s="1956"/>
      <c r="CWZ313" s="1956"/>
      <c r="CXA313" s="1956"/>
      <c r="CXB313" s="1956"/>
      <c r="CXC313" s="1956"/>
      <c r="CXD313" s="1956"/>
      <c r="CXE313" s="1956"/>
      <c r="CXF313" s="1956"/>
      <c r="CXG313" s="1956"/>
      <c r="CXH313" s="1956"/>
      <c r="CXI313" s="1956"/>
      <c r="CXJ313" s="1956"/>
      <c r="CXK313" s="1956"/>
      <c r="CXL313" s="1956"/>
      <c r="CXM313" s="1956"/>
      <c r="CXN313" s="1956"/>
      <c r="CXO313" s="1956"/>
      <c r="CXP313" s="1956"/>
      <c r="CXQ313" s="1956"/>
      <c r="CXR313" s="1956"/>
      <c r="CXS313" s="1956"/>
      <c r="CXT313" s="1956"/>
      <c r="CXU313" s="1956"/>
      <c r="CXV313" s="1956"/>
      <c r="CXW313" s="1956"/>
      <c r="CXX313" s="1956"/>
      <c r="CXY313" s="1956"/>
      <c r="CXZ313" s="1956"/>
      <c r="CYA313" s="1956"/>
      <c r="CYB313" s="1956"/>
      <c r="CYC313" s="1956"/>
      <c r="CYD313" s="1956"/>
      <c r="CYE313" s="1956"/>
      <c r="CYF313" s="1956"/>
      <c r="CYG313" s="1956"/>
      <c r="CYH313" s="1956"/>
      <c r="CYI313" s="1956"/>
      <c r="CYJ313" s="1956"/>
      <c r="CYK313" s="1956"/>
      <c r="CYL313" s="1956"/>
      <c r="CYM313" s="1956"/>
      <c r="CYN313" s="1956"/>
      <c r="CYO313" s="1956"/>
      <c r="CYP313" s="1956"/>
      <c r="CYQ313" s="1956"/>
      <c r="CYR313" s="1956"/>
      <c r="CYS313" s="1956"/>
      <c r="CYT313" s="1956"/>
      <c r="CYU313" s="1956"/>
      <c r="CYV313" s="1956"/>
      <c r="CYW313" s="1956"/>
      <c r="CYX313" s="1956"/>
      <c r="CYY313" s="1956"/>
      <c r="CYZ313" s="1956"/>
      <c r="CZA313" s="1956"/>
      <c r="CZB313" s="1956"/>
      <c r="CZC313" s="1956"/>
      <c r="CZD313" s="1956"/>
      <c r="CZE313" s="1956"/>
      <c r="CZF313" s="1956"/>
      <c r="CZG313" s="1956"/>
      <c r="CZH313" s="1956"/>
      <c r="CZI313" s="1956"/>
      <c r="CZJ313" s="1956"/>
      <c r="CZK313" s="1956"/>
      <c r="CZL313" s="1956"/>
      <c r="CZM313" s="1956"/>
      <c r="CZN313" s="1956"/>
      <c r="CZO313" s="1956"/>
      <c r="CZP313" s="1956"/>
      <c r="CZQ313" s="1956"/>
      <c r="CZR313" s="1956"/>
      <c r="CZS313" s="1956"/>
      <c r="CZT313" s="1956"/>
      <c r="CZU313" s="1956"/>
      <c r="CZV313" s="1956"/>
      <c r="CZW313" s="1956"/>
      <c r="CZX313" s="1956"/>
      <c r="CZY313" s="1956"/>
      <c r="CZZ313" s="1956"/>
      <c r="DAA313" s="1956"/>
      <c r="DAB313" s="1956"/>
      <c r="DAC313" s="1956"/>
      <c r="DAD313" s="1956"/>
      <c r="DAE313" s="1956"/>
      <c r="DAF313" s="1956"/>
      <c r="DAG313" s="1956"/>
      <c r="DAH313" s="1956"/>
      <c r="DAI313" s="1956"/>
      <c r="DAJ313" s="1956"/>
      <c r="DAK313" s="1956"/>
      <c r="DAL313" s="1956"/>
      <c r="DAM313" s="1956"/>
      <c r="DAN313" s="1956"/>
      <c r="DAO313" s="1956"/>
      <c r="DAP313" s="1956"/>
      <c r="DAQ313" s="1956"/>
      <c r="DAR313" s="1956"/>
      <c r="DAS313" s="1956"/>
      <c r="DAT313" s="1956"/>
      <c r="DAU313" s="1956"/>
      <c r="DAV313" s="1956"/>
      <c r="DAW313" s="1956"/>
      <c r="DAX313" s="1956"/>
      <c r="DAY313" s="1956"/>
      <c r="DAZ313" s="1956"/>
      <c r="DBA313" s="1956"/>
      <c r="DBB313" s="1956"/>
      <c r="DBC313" s="1956"/>
      <c r="DBD313" s="1956"/>
      <c r="DBE313" s="1956"/>
      <c r="DBF313" s="1956"/>
      <c r="DBG313" s="1956"/>
      <c r="DBH313" s="1956"/>
      <c r="DBI313" s="1956"/>
      <c r="DBJ313" s="1956"/>
      <c r="DBK313" s="1956"/>
      <c r="DBL313" s="1956"/>
      <c r="DBM313" s="1956"/>
      <c r="DBN313" s="1956"/>
      <c r="DBO313" s="1956"/>
      <c r="DBP313" s="1956"/>
      <c r="DBQ313" s="1956"/>
      <c r="DBR313" s="1956"/>
      <c r="DBS313" s="1956"/>
      <c r="DBT313" s="1956"/>
      <c r="DBU313" s="1956"/>
      <c r="DBV313" s="1956"/>
      <c r="DBW313" s="1956"/>
      <c r="DBX313" s="1956"/>
      <c r="DBY313" s="1956"/>
      <c r="DBZ313" s="1956"/>
      <c r="DCA313" s="1956"/>
      <c r="DCB313" s="1956"/>
      <c r="DCC313" s="1956"/>
      <c r="DCD313" s="1956"/>
      <c r="DCE313" s="1956"/>
      <c r="DCF313" s="1956"/>
      <c r="DCG313" s="1956"/>
      <c r="DCH313" s="1956"/>
      <c r="DCI313" s="1956"/>
      <c r="DCJ313" s="1956"/>
      <c r="DCK313" s="1956"/>
      <c r="DCL313" s="1956"/>
      <c r="DCM313" s="1956"/>
      <c r="DCN313" s="1956"/>
      <c r="DCO313" s="1956"/>
      <c r="DCP313" s="1956"/>
      <c r="DCQ313" s="1956"/>
      <c r="DCR313" s="1956"/>
      <c r="DCS313" s="1956"/>
      <c r="DCT313" s="1956"/>
      <c r="DCU313" s="1956"/>
      <c r="DCV313" s="1956"/>
      <c r="DCW313" s="1956"/>
      <c r="DCX313" s="1956"/>
      <c r="DCY313" s="1956"/>
      <c r="DCZ313" s="1956"/>
      <c r="DDA313" s="1956"/>
      <c r="DDB313" s="1956"/>
      <c r="DDC313" s="1956"/>
      <c r="DDD313" s="1956"/>
      <c r="DDE313" s="1956"/>
      <c r="DDF313" s="1956"/>
      <c r="DDG313" s="1956"/>
      <c r="DDH313" s="1956"/>
      <c r="DDI313" s="1956"/>
      <c r="DDJ313" s="1956"/>
      <c r="DDK313" s="1956"/>
      <c r="DDL313" s="1956"/>
      <c r="DDM313" s="1956"/>
      <c r="DDN313" s="1956"/>
      <c r="DDO313" s="1956"/>
      <c r="DDP313" s="1956"/>
      <c r="DDQ313" s="1956"/>
      <c r="DDR313" s="1956"/>
      <c r="DDS313" s="1956"/>
      <c r="DDT313" s="1956"/>
      <c r="DDU313" s="1956"/>
      <c r="DDV313" s="1956"/>
      <c r="DDW313" s="1956"/>
      <c r="DDX313" s="1956"/>
      <c r="DDY313" s="1956"/>
      <c r="DDZ313" s="1956"/>
      <c r="DEA313" s="1956"/>
      <c r="DEB313" s="1956"/>
      <c r="DEC313" s="1956"/>
      <c r="DED313" s="1956"/>
      <c r="DEE313" s="1956"/>
      <c r="DEF313" s="1956"/>
      <c r="DEG313" s="1956"/>
      <c r="DEH313" s="1956"/>
      <c r="DEI313" s="1956"/>
      <c r="DEJ313" s="1956"/>
      <c r="DEK313" s="1956"/>
      <c r="DEL313" s="1956"/>
      <c r="DEM313" s="1956"/>
      <c r="DEN313" s="1956"/>
      <c r="DEO313" s="1956"/>
      <c r="DEP313" s="1956"/>
      <c r="DEQ313" s="1956"/>
      <c r="DER313" s="1956"/>
      <c r="DES313" s="1956"/>
      <c r="DET313" s="1956"/>
      <c r="DEU313" s="1956"/>
      <c r="DEV313" s="1956"/>
      <c r="DEW313" s="1956"/>
      <c r="DEX313" s="1956"/>
      <c r="DEY313" s="1956"/>
      <c r="DEZ313" s="1956"/>
      <c r="DFA313" s="1956"/>
      <c r="DFB313" s="1956"/>
      <c r="DFC313" s="1956"/>
      <c r="DFD313" s="1956"/>
      <c r="DFE313" s="1956"/>
      <c r="DFF313" s="1956"/>
      <c r="DFG313" s="1956"/>
      <c r="DFH313" s="1956"/>
      <c r="DFI313" s="1956"/>
      <c r="DFJ313" s="1956"/>
      <c r="DFK313" s="1956"/>
      <c r="DFL313" s="1956"/>
      <c r="DFM313" s="1956"/>
      <c r="DFN313" s="1956"/>
      <c r="DFO313" s="1956"/>
      <c r="DFP313" s="1956"/>
      <c r="DFQ313" s="1956"/>
      <c r="DFR313" s="1956"/>
      <c r="DFS313" s="1956"/>
      <c r="DFT313" s="1956"/>
      <c r="DFU313" s="1956"/>
      <c r="DFV313" s="1956"/>
      <c r="DFW313" s="1956"/>
      <c r="DFX313" s="1956"/>
      <c r="DFY313" s="1956"/>
      <c r="DFZ313" s="1956"/>
      <c r="DGA313" s="1956"/>
      <c r="DGB313" s="1956"/>
      <c r="DGC313" s="1956"/>
      <c r="DGD313" s="1956"/>
      <c r="DGE313" s="1956"/>
      <c r="DGF313" s="1956"/>
      <c r="DGG313" s="1956"/>
      <c r="DGH313" s="1956"/>
      <c r="DGI313" s="1956"/>
      <c r="DGJ313" s="1956"/>
      <c r="DGK313" s="1956"/>
      <c r="DGL313" s="1956"/>
      <c r="DGM313" s="1956"/>
      <c r="DGN313" s="1956"/>
      <c r="DGO313" s="1956"/>
      <c r="DGP313" s="1956"/>
      <c r="DGQ313" s="1956"/>
      <c r="DGR313" s="1956"/>
      <c r="DGS313" s="1956"/>
      <c r="DGT313" s="1956"/>
      <c r="DGU313" s="1956"/>
      <c r="DGV313" s="1956"/>
      <c r="DGW313" s="1956"/>
      <c r="DGX313" s="1956"/>
      <c r="DGY313" s="1956"/>
      <c r="DGZ313" s="1956"/>
      <c r="DHA313" s="1956"/>
      <c r="DHB313" s="1956"/>
      <c r="DHC313" s="1956"/>
      <c r="DHD313" s="1956"/>
      <c r="DHE313" s="1956"/>
      <c r="DHF313" s="1956"/>
      <c r="DHG313" s="1956"/>
      <c r="DHH313" s="1956"/>
      <c r="DHI313" s="1956"/>
      <c r="DHJ313" s="1956"/>
      <c r="DHK313" s="1956"/>
      <c r="DHL313" s="1956"/>
      <c r="DHM313" s="1956"/>
      <c r="DHN313" s="1956"/>
      <c r="DHO313" s="1956"/>
      <c r="DHP313" s="1956"/>
      <c r="DHQ313" s="1956"/>
      <c r="DHR313" s="1956"/>
      <c r="DHS313" s="1956"/>
      <c r="DHT313" s="1956"/>
      <c r="DHU313" s="1956"/>
      <c r="DHV313" s="1956"/>
      <c r="DHW313" s="1956"/>
      <c r="DHX313" s="1956"/>
      <c r="DHY313" s="1956"/>
      <c r="DHZ313" s="1956"/>
      <c r="DIA313" s="1956"/>
      <c r="DIB313" s="1956"/>
      <c r="DIC313" s="1956"/>
      <c r="DID313" s="1956"/>
      <c r="DIE313" s="1956"/>
      <c r="DIF313" s="1956"/>
      <c r="DIG313" s="1956"/>
      <c r="DIH313" s="1956"/>
      <c r="DII313" s="1956"/>
      <c r="DIJ313" s="1956"/>
      <c r="DIK313" s="1956"/>
      <c r="DIL313" s="1956"/>
      <c r="DIM313" s="1956"/>
      <c r="DIN313" s="1956"/>
      <c r="DIO313" s="1956"/>
      <c r="DIP313" s="1956"/>
      <c r="DIQ313" s="1956"/>
      <c r="DIR313" s="1956"/>
      <c r="DIS313" s="1956"/>
      <c r="DIT313" s="1956"/>
      <c r="DIU313" s="1956"/>
      <c r="DIV313" s="1956"/>
      <c r="DIW313" s="1956"/>
      <c r="DIX313" s="1956"/>
      <c r="DIY313" s="1956"/>
      <c r="DIZ313" s="1956"/>
      <c r="DJA313" s="1956"/>
      <c r="DJB313" s="1956"/>
      <c r="DJC313" s="1956"/>
      <c r="DJD313" s="1956"/>
      <c r="DJE313" s="1956"/>
      <c r="DJF313" s="1956"/>
      <c r="DJG313" s="1956"/>
      <c r="DJH313" s="1956"/>
      <c r="DJI313" s="1956"/>
      <c r="DJJ313" s="1956"/>
      <c r="DJK313" s="1956"/>
      <c r="DJL313" s="1956"/>
      <c r="DJM313" s="1956"/>
      <c r="DJN313" s="1956"/>
      <c r="DJO313" s="1956"/>
      <c r="DJP313" s="1956"/>
      <c r="DJQ313" s="1956"/>
      <c r="DJR313" s="1956"/>
      <c r="DJS313" s="1956"/>
      <c r="DJT313" s="1956"/>
      <c r="DJU313" s="1956"/>
      <c r="DJV313" s="1956"/>
      <c r="DJW313" s="1956"/>
      <c r="DJX313" s="1956"/>
      <c r="DJY313" s="1956"/>
      <c r="DJZ313" s="1956"/>
      <c r="DKA313" s="1956"/>
      <c r="DKB313" s="1956"/>
      <c r="DKC313" s="1956"/>
      <c r="DKD313" s="1956"/>
      <c r="DKE313" s="1956"/>
      <c r="DKF313" s="1956"/>
      <c r="DKG313" s="1956"/>
      <c r="DKH313" s="1956"/>
      <c r="DKI313" s="1956"/>
      <c r="DKJ313" s="1956"/>
      <c r="DKK313" s="1956"/>
      <c r="DKL313" s="1956"/>
      <c r="DKM313" s="1956"/>
      <c r="DKN313" s="1956"/>
      <c r="DKO313" s="1956"/>
      <c r="DKP313" s="1956"/>
      <c r="DKQ313" s="1956"/>
      <c r="DKR313" s="1956"/>
      <c r="DKS313" s="1956"/>
      <c r="DKT313" s="1956"/>
      <c r="DKU313" s="1956"/>
      <c r="DKV313" s="1956"/>
      <c r="DKW313" s="1956"/>
      <c r="DKX313" s="1956"/>
      <c r="DKY313" s="1956"/>
      <c r="DKZ313" s="1956"/>
      <c r="DLA313" s="1956"/>
      <c r="DLB313" s="1956"/>
      <c r="DLC313" s="1956"/>
      <c r="DLD313" s="1956"/>
      <c r="DLE313" s="1956"/>
      <c r="DLF313" s="1956"/>
      <c r="DLG313" s="1956"/>
      <c r="DLH313" s="1956"/>
      <c r="DLI313" s="1956"/>
      <c r="DLJ313" s="1956"/>
      <c r="DLK313" s="1956"/>
      <c r="DLL313" s="1956"/>
      <c r="DLM313" s="1956"/>
      <c r="DLN313" s="1956"/>
      <c r="DLO313" s="1956"/>
      <c r="DLP313" s="1956"/>
      <c r="DLQ313" s="1956"/>
      <c r="DLR313" s="1956"/>
      <c r="DLS313" s="1956"/>
      <c r="DLT313" s="1956"/>
      <c r="DLU313" s="1956"/>
      <c r="DLV313" s="1956"/>
      <c r="DLW313" s="1956"/>
      <c r="DLX313" s="1956"/>
      <c r="DLY313" s="1956"/>
      <c r="DLZ313" s="1956"/>
      <c r="DMA313" s="1956"/>
      <c r="DMB313" s="1956"/>
      <c r="DMC313" s="1956"/>
      <c r="DMD313" s="1956"/>
      <c r="DME313" s="1956"/>
      <c r="DMF313" s="1956"/>
      <c r="DMG313" s="1956"/>
      <c r="DMH313" s="1956"/>
      <c r="DMI313" s="1956"/>
      <c r="DMJ313" s="1956"/>
      <c r="DMK313" s="1956"/>
      <c r="DML313" s="1956"/>
      <c r="DMM313" s="1956"/>
      <c r="DMN313" s="1956"/>
      <c r="DMO313" s="1956"/>
      <c r="DMP313" s="1956"/>
      <c r="DMQ313" s="1956"/>
      <c r="DMR313" s="1956"/>
      <c r="DMS313" s="1956"/>
      <c r="DMT313" s="1956"/>
      <c r="DMU313" s="1956"/>
      <c r="DMV313" s="1956"/>
      <c r="DMW313" s="1956"/>
      <c r="DMX313" s="1956"/>
      <c r="DMY313" s="1956"/>
      <c r="DMZ313" s="1956"/>
      <c r="DNA313" s="1956"/>
      <c r="DNB313" s="1956"/>
      <c r="DNC313" s="1956"/>
      <c r="DND313" s="1956"/>
      <c r="DNE313" s="1956"/>
      <c r="DNF313" s="1956"/>
      <c r="DNG313" s="1956"/>
      <c r="DNH313" s="1956"/>
      <c r="DNI313" s="1956"/>
      <c r="DNJ313" s="1956"/>
      <c r="DNK313" s="1956"/>
      <c r="DNL313" s="1956"/>
      <c r="DNM313" s="1956"/>
      <c r="DNN313" s="1956"/>
      <c r="DNO313" s="1956"/>
      <c r="DNP313" s="1956"/>
      <c r="DNQ313" s="1956"/>
      <c r="DNR313" s="1956"/>
      <c r="DNS313" s="1956"/>
      <c r="DNT313" s="1956"/>
      <c r="DNU313" s="1956"/>
      <c r="DNV313" s="1956"/>
      <c r="DNW313" s="1956"/>
      <c r="DNX313" s="1956"/>
      <c r="DNY313" s="1956"/>
      <c r="DNZ313" s="1956"/>
      <c r="DOA313" s="1956"/>
      <c r="DOB313" s="1956"/>
      <c r="DOC313" s="1956"/>
      <c r="DOD313" s="1956"/>
      <c r="DOE313" s="1956"/>
      <c r="DOF313" s="1956"/>
      <c r="DOG313" s="1956"/>
      <c r="DOH313" s="1956"/>
      <c r="DOI313" s="1956"/>
      <c r="DOJ313" s="1956"/>
      <c r="DOK313" s="1956"/>
      <c r="DOL313" s="1956"/>
      <c r="DOM313" s="1956"/>
      <c r="DON313" s="1956"/>
      <c r="DOO313" s="1956"/>
      <c r="DOP313" s="1956"/>
      <c r="DOQ313" s="1956"/>
      <c r="DOR313" s="1956"/>
      <c r="DOS313" s="1956"/>
      <c r="DOT313" s="1956"/>
      <c r="DOU313" s="1956"/>
      <c r="DOV313" s="1956"/>
      <c r="DOW313" s="1956"/>
      <c r="DOX313" s="1956"/>
      <c r="DOY313" s="1956"/>
      <c r="DOZ313" s="1956"/>
      <c r="DPA313" s="1956"/>
      <c r="DPB313" s="1956"/>
      <c r="DPC313" s="1956"/>
      <c r="DPD313" s="1956"/>
      <c r="DPE313" s="1956"/>
      <c r="DPF313" s="1956"/>
      <c r="DPG313" s="1956"/>
      <c r="DPH313" s="1956"/>
      <c r="DPI313" s="1956"/>
      <c r="DPJ313" s="1956"/>
      <c r="DPK313" s="1956"/>
      <c r="DPL313" s="1956"/>
      <c r="DPM313" s="1956"/>
      <c r="DPN313" s="1956"/>
      <c r="DPO313" s="1956"/>
      <c r="DPP313" s="1956"/>
      <c r="DPQ313" s="1956"/>
      <c r="DPR313" s="1956"/>
      <c r="DPS313" s="1956"/>
      <c r="DPT313" s="1956"/>
      <c r="DPU313" s="1956"/>
      <c r="DPV313" s="1956"/>
      <c r="DPW313" s="1956"/>
      <c r="DPX313" s="1956"/>
      <c r="DPY313" s="1956"/>
      <c r="DPZ313" s="1956"/>
      <c r="DQA313" s="1956"/>
      <c r="DQB313" s="1956"/>
      <c r="DQC313" s="1956"/>
      <c r="DQD313" s="1956"/>
      <c r="DQE313" s="1956"/>
      <c r="DQF313" s="1956"/>
      <c r="DQG313" s="1956"/>
      <c r="DQH313" s="1956"/>
      <c r="DQI313" s="1956"/>
      <c r="DQJ313" s="1956"/>
      <c r="DQK313" s="1956"/>
      <c r="DQL313" s="1956"/>
      <c r="DQM313" s="1956"/>
      <c r="DQN313" s="1956"/>
      <c r="DQO313" s="1956"/>
      <c r="DQP313" s="1956"/>
      <c r="DQQ313" s="1956"/>
      <c r="DQR313" s="1956"/>
      <c r="DQS313" s="1956"/>
      <c r="DQT313" s="1956"/>
      <c r="DQU313" s="1956"/>
      <c r="DQV313" s="1956"/>
      <c r="DQW313" s="1956"/>
      <c r="DQX313" s="1956"/>
      <c r="DQY313" s="1956"/>
      <c r="DQZ313" s="1956"/>
      <c r="DRA313" s="1956"/>
      <c r="DRB313" s="1956"/>
      <c r="DRC313" s="1956"/>
      <c r="DRD313" s="1956"/>
      <c r="DRE313" s="1956"/>
      <c r="DRF313" s="1956"/>
      <c r="DRG313" s="1956"/>
      <c r="DRH313" s="1956"/>
      <c r="DRI313" s="1956"/>
      <c r="DRJ313" s="1956"/>
      <c r="DRK313" s="1956"/>
      <c r="DRL313" s="1956"/>
      <c r="DRM313" s="1956"/>
      <c r="DRN313" s="1956"/>
      <c r="DRO313" s="1956"/>
      <c r="DRP313" s="1956"/>
      <c r="DRQ313" s="1956"/>
      <c r="DRR313" s="1956"/>
      <c r="DRS313" s="1956"/>
      <c r="DRT313" s="1956"/>
      <c r="DRU313" s="1956"/>
      <c r="DRV313" s="1956"/>
      <c r="DRW313" s="1956"/>
      <c r="DRX313" s="1956"/>
      <c r="DRY313" s="1956"/>
      <c r="DRZ313" s="1956"/>
      <c r="DSA313" s="1956"/>
      <c r="DSB313" s="1956"/>
      <c r="DSC313" s="1956"/>
      <c r="DSD313" s="1956"/>
      <c r="DSE313" s="1956"/>
      <c r="DSF313" s="1956"/>
      <c r="DSG313" s="1956"/>
      <c r="DSH313" s="1956"/>
      <c r="DSI313" s="1956"/>
      <c r="DSJ313" s="1956"/>
      <c r="DSK313" s="1956"/>
      <c r="DSL313" s="1956"/>
      <c r="DSM313" s="1956"/>
      <c r="DSN313" s="1956"/>
      <c r="DSO313" s="1956"/>
      <c r="DSP313" s="1956"/>
      <c r="DSQ313" s="1956"/>
      <c r="DSR313" s="1956"/>
      <c r="DSS313" s="1956"/>
      <c r="DST313" s="1956"/>
      <c r="DSU313" s="1956"/>
      <c r="DSV313" s="1956"/>
      <c r="DSW313" s="1956"/>
      <c r="DSX313" s="1956"/>
      <c r="DSY313" s="1956"/>
      <c r="DSZ313" s="1956"/>
      <c r="DTA313" s="1956"/>
      <c r="DTB313" s="1956"/>
      <c r="DTC313" s="1956"/>
      <c r="DTD313" s="1956"/>
      <c r="DTE313" s="1956"/>
      <c r="DTF313" s="1956"/>
      <c r="DTG313" s="1956"/>
      <c r="DTH313" s="1956"/>
      <c r="DTI313" s="1956"/>
      <c r="DTJ313" s="1956"/>
      <c r="DTK313" s="1956"/>
      <c r="DTL313" s="1956"/>
      <c r="DTM313" s="1956"/>
      <c r="DTN313" s="1956"/>
      <c r="DTO313" s="1956"/>
      <c r="DTP313" s="1956"/>
      <c r="DTQ313" s="1956"/>
      <c r="DTR313" s="1956"/>
      <c r="DTS313" s="1956"/>
      <c r="DTT313" s="1956"/>
      <c r="DTU313" s="1956"/>
      <c r="DTV313" s="1956"/>
      <c r="DTW313" s="1956"/>
      <c r="DTX313" s="1956"/>
      <c r="DTY313" s="1956"/>
      <c r="DTZ313" s="1956"/>
      <c r="DUA313" s="1956"/>
      <c r="DUB313" s="1956"/>
      <c r="DUC313" s="1956"/>
      <c r="DUD313" s="1956"/>
      <c r="DUE313" s="1956"/>
      <c r="DUF313" s="1956"/>
      <c r="DUG313" s="1956"/>
      <c r="DUH313" s="1956"/>
      <c r="DUI313" s="1956"/>
      <c r="DUJ313" s="1956"/>
      <c r="DUK313" s="1956"/>
      <c r="DUL313" s="1956"/>
      <c r="DUM313" s="1956"/>
      <c r="DUN313" s="1956"/>
      <c r="DUO313" s="1956"/>
      <c r="DUP313" s="1956"/>
      <c r="DUQ313" s="1956"/>
      <c r="DUR313" s="1956"/>
      <c r="DUS313" s="1956"/>
      <c r="DUT313" s="1956"/>
      <c r="DUU313" s="1956"/>
      <c r="DUV313" s="1956"/>
      <c r="DUW313" s="1956"/>
      <c r="DUX313" s="1956"/>
      <c r="DUY313" s="1956"/>
      <c r="DUZ313" s="1956"/>
      <c r="DVA313" s="1956"/>
      <c r="DVB313" s="1956"/>
      <c r="DVC313" s="1956"/>
      <c r="DVD313" s="1956"/>
      <c r="DVE313" s="1956"/>
      <c r="DVF313" s="1956"/>
      <c r="DVG313" s="1956"/>
      <c r="DVH313" s="1956"/>
      <c r="DVI313" s="1956"/>
      <c r="DVJ313" s="1956"/>
      <c r="DVK313" s="1956"/>
      <c r="DVL313" s="1956"/>
      <c r="DVM313" s="1956"/>
      <c r="DVN313" s="1956"/>
      <c r="DVO313" s="1956"/>
      <c r="DVP313" s="1956"/>
      <c r="DVQ313" s="1956"/>
      <c r="DVR313" s="1956"/>
      <c r="DVS313" s="1956"/>
      <c r="DVT313" s="1956"/>
      <c r="DVU313" s="1956"/>
      <c r="DVV313" s="1956"/>
      <c r="DVW313" s="1956"/>
      <c r="DVX313" s="1956"/>
      <c r="DVY313" s="1956"/>
      <c r="DVZ313" s="1956"/>
      <c r="DWA313" s="1956"/>
      <c r="DWB313" s="1956"/>
      <c r="DWC313" s="1956"/>
      <c r="DWD313" s="1956"/>
      <c r="DWE313" s="1956"/>
      <c r="DWF313" s="1956"/>
      <c r="DWG313" s="1956"/>
      <c r="DWH313" s="1956"/>
      <c r="DWI313" s="1956"/>
      <c r="DWJ313" s="1956"/>
      <c r="DWK313" s="1956"/>
      <c r="DWL313" s="1956"/>
      <c r="DWM313" s="1956"/>
      <c r="DWN313" s="1956"/>
      <c r="DWO313" s="1956"/>
      <c r="DWP313" s="1956"/>
      <c r="DWQ313" s="1956"/>
      <c r="DWR313" s="1956"/>
      <c r="DWS313" s="1956"/>
      <c r="DWT313" s="1956"/>
      <c r="DWU313" s="1956"/>
      <c r="DWV313" s="1956"/>
      <c r="DWW313" s="1956"/>
      <c r="DWX313" s="1956"/>
      <c r="DWY313" s="1956"/>
      <c r="DWZ313" s="1956"/>
      <c r="DXA313" s="1956"/>
      <c r="DXB313" s="1956"/>
      <c r="DXC313" s="1956"/>
      <c r="DXD313" s="1956"/>
      <c r="DXE313" s="1956"/>
      <c r="DXF313" s="1956"/>
      <c r="DXG313" s="1956"/>
      <c r="DXH313" s="1956"/>
      <c r="DXI313" s="1956"/>
      <c r="DXJ313" s="1956"/>
      <c r="DXK313" s="1956"/>
      <c r="DXL313" s="1956"/>
      <c r="DXM313" s="1956"/>
      <c r="DXN313" s="1956"/>
      <c r="DXO313" s="1956"/>
      <c r="DXP313" s="1956"/>
      <c r="DXQ313" s="1956"/>
      <c r="DXR313" s="1956"/>
      <c r="DXS313" s="1956"/>
      <c r="DXT313" s="1956"/>
      <c r="DXU313" s="1956"/>
      <c r="DXV313" s="1956"/>
      <c r="DXW313" s="1956"/>
      <c r="DXX313" s="1956"/>
      <c r="DXY313" s="1956"/>
      <c r="DXZ313" s="1956"/>
      <c r="DYA313" s="1956"/>
      <c r="DYB313" s="1956"/>
      <c r="DYC313" s="1956"/>
      <c r="DYD313" s="1956"/>
      <c r="DYE313" s="1956"/>
      <c r="DYF313" s="1956"/>
      <c r="DYG313" s="1956"/>
      <c r="DYH313" s="1956"/>
      <c r="DYI313" s="1956"/>
      <c r="DYJ313" s="1956"/>
      <c r="DYK313" s="1956"/>
      <c r="DYL313" s="1956"/>
      <c r="DYM313" s="1956"/>
      <c r="DYN313" s="1956"/>
      <c r="DYO313" s="1956"/>
      <c r="DYP313" s="1956"/>
      <c r="DYQ313" s="1956"/>
      <c r="DYR313" s="1956"/>
      <c r="DYS313" s="1956"/>
      <c r="DYT313" s="1956"/>
      <c r="DYU313" s="1956"/>
      <c r="DYV313" s="1956"/>
      <c r="DYW313" s="1956"/>
      <c r="DYX313" s="1956"/>
      <c r="DYY313" s="1956"/>
      <c r="DYZ313" s="1956"/>
      <c r="DZA313" s="1956"/>
      <c r="DZB313" s="1956"/>
      <c r="DZC313" s="1956"/>
      <c r="DZD313" s="1956"/>
      <c r="DZE313" s="1956"/>
      <c r="DZF313" s="1956"/>
      <c r="DZG313" s="1956"/>
      <c r="DZH313" s="1956"/>
      <c r="DZI313" s="1956"/>
      <c r="DZJ313" s="1956"/>
      <c r="DZK313" s="1956"/>
      <c r="DZL313" s="1956"/>
      <c r="DZM313" s="1956"/>
      <c r="DZN313" s="1956"/>
      <c r="DZO313" s="1956"/>
      <c r="DZP313" s="1956"/>
      <c r="DZQ313" s="1956"/>
      <c r="DZR313" s="1956"/>
      <c r="DZS313" s="1956"/>
      <c r="DZT313" s="1956"/>
      <c r="DZU313" s="1956"/>
      <c r="DZV313" s="1956"/>
      <c r="DZW313" s="1956"/>
      <c r="DZX313" s="1956"/>
      <c r="DZY313" s="1956"/>
      <c r="DZZ313" s="1956"/>
      <c r="EAA313" s="1956"/>
      <c r="EAB313" s="1956"/>
      <c r="EAC313" s="1956"/>
      <c r="EAD313" s="1956"/>
      <c r="EAE313" s="1956"/>
      <c r="EAF313" s="1956"/>
      <c r="EAG313" s="1956"/>
      <c r="EAH313" s="1956"/>
      <c r="EAI313" s="1956"/>
      <c r="EAJ313" s="1956"/>
      <c r="EAK313" s="1956"/>
      <c r="EAL313" s="1956"/>
      <c r="EAM313" s="1956"/>
      <c r="EAN313" s="1956"/>
      <c r="EAO313" s="1956"/>
      <c r="EAP313" s="1956"/>
      <c r="EAQ313" s="1956"/>
      <c r="EAR313" s="1956"/>
      <c r="EAS313" s="1956"/>
      <c r="EAT313" s="1956"/>
      <c r="EAU313" s="1956"/>
      <c r="EAV313" s="1956"/>
      <c r="EAW313" s="1956"/>
      <c r="EAX313" s="1956"/>
      <c r="EAY313" s="1956"/>
      <c r="EAZ313" s="1956"/>
      <c r="EBA313" s="1956"/>
      <c r="EBB313" s="1956"/>
      <c r="EBC313" s="1956"/>
      <c r="EBD313" s="1956"/>
      <c r="EBE313" s="1956"/>
      <c r="EBF313" s="1956"/>
      <c r="EBG313" s="1956"/>
      <c r="EBH313" s="1956"/>
      <c r="EBI313" s="1956"/>
      <c r="EBJ313" s="1956"/>
      <c r="EBK313" s="1956"/>
      <c r="EBL313" s="1956"/>
      <c r="EBM313" s="1956"/>
      <c r="EBN313" s="1956"/>
      <c r="EBO313" s="1956"/>
      <c r="EBP313" s="1956"/>
      <c r="EBQ313" s="1956"/>
      <c r="EBR313" s="1956"/>
      <c r="EBS313" s="1956"/>
      <c r="EBT313" s="1956"/>
      <c r="EBU313" s="1956"/>
      <c r="EBV313" s="1956"/>
      <c r="EBW313" s="1956"/>
      <c r="EBX313" s="1956"/>
      <c r="EBY313" s="1956"/>
      <c r="EBZ313" s="1956"/>
      <c r="ECA313" s="1956"/>
      <c r="ECB313" s="1956"/>
      <c r="ECC313" s="1956"/>
      <c r="ECD313" s="1956"/>
      <c r="ECE313" s="1956"/>
      <c r="ECF313" s="1956"/>
      <c r="ECG313" s="1956"/>
      <c r="ECH313" s="1956"/>
      <c r="ECI313" s="1956"/>
      <c r="ECJ313" s="1956"/>
      <c r="ECK313" s="1956"/>
      <c r="ECL313" s="1956"/>
      <c r="ECM313" s="1956"/>
      <c r="ECN313" s="1956"/>
      <c r="ECO313" s="1956"/>
      <c r="ECP313" s="1956"/>
      <c r="ECQ313" s="1956"/>
      <c r="ECR313" s="1956"/>
      <c r="ECS313" s="1956"/>
      <c r="ECT313" s="1956"/>
      <c r="ECU313" s="1956"/>
      <c r="ECV313" s="1956"/>
      <c r="ECW313" s="1956"/>
      <c r="ECX313" s="1956"/>
      <c r="ECY313" s="1956"/>
      <c r="ECZ313" s="1956"/>
      <c r="EDA313" s="1956"/>
      <c r="EDB313" s="1956"/>
      <c r="EDC313" s="1956"/>
      <c r="EDD313" s="1956"/>
      <c r="EDE313" s="1956"/>
      <c r="EDF313" s="1956"/>
      <c r="EDG313" s="1956"/>
      <c r="EDH313" s="1956"/>
      <c r="EDI313" s="1956"/>
      <c r="EDJ313" s="1956"/>
      <c r="EDK313" s="1956"/>
      <c r="EDL313" s="1956"/>
      <c r="EDM313" s="1956"/>
      <c r="EDN313" s="1956"/>
      <c r="EDO313" s="1956"/>
      <c r="EDP313" s="1956"/>
      <c r="EDQ313" s="1956"/>
      <c r="EDR313" s="1956"/>
      <c r="EDS313" s="1956"/>
      <c r="EDT313" s="1956"/>
      <c r="EDU313" s="1956"/>
      <c r="EDV313" s="1956"/>
      <c r="EDW313" s="1956"/>
      <c r="EDX313" s="1956"/>
      <c r="EDY313" s="1956"/>
      <c r="EDZ313" s="1956"/>
      <c r="EEA313" s="1956"/>
      <c r="EEB313" s="1956"/>
      <c r="EEC313" s="1956"/>
      <c r="EED313" s="1956"/>
      <c r="EEE313" s="1956"/>
      <c r="EEF313" s="1956"/>
      <c r="EEG313" s="1956"/>
      <c r="EEH313" s="1956"/>
      <c r="EEI313" s="1956"/>
      <c r="EEJ313" s="1956"/>
      <c r="EEK313" s="1956"/>
      <c r="EEL313" s="1956"/>
      <c r="EEM313" s="1956"/>
      <c r="EEN313" s="1956"/>
      <c r="EEO313" s="1956"/>
      <c r="EEP313" s="1956"/>
      <c r="EEQ313" s="1956"/>
      <c r="EER313" s="1956"/>
      <c r="EES313" s="1956"/>
      <c r="EET313" s="1956"/>
      <c r="EEU313" s="1956"/>
      <c r="EEV313" s="1956"/>
      <c r="EEW313" s="1956"/>
      <c r="EEX313" s="1956"/>
      <c r="EEY313" s="1956"/>
      <c r="EEZ313" s="1956"/>
      <c r="EFA313" s="1956"/>
      <c r="EFB313" s="1956"/>
      <c r="EFC313" s="1956"/>
      <c r="EFD313" s="1956"/>
      <c r="EFE313" s="1956"/>
      <c r="EFF313" s="1956"/>
      <c r="EFG313" s="1956"/>
      <c r="EFH313" s="1956"/>
      <c r="EFI313" s="1956"/>
      <c r="EFJ313" s="1956"/>
      <c r="EFK313" s="1956"/>
      <c r="EFL313" s="1956"/>
      <c r="EFM313" s="1956"/>
      <c r="EFN313" s="1956"/>
      <c r="EFO313" s="1956"/>
      <c r="EFP313" s="1956"/>
      <c r="EFQ313" s="1956"/>
      <c r="EFR313" s="1956"/>
      <c r="EFS313" s="1956"/>
      <c r="EFT313" s="1956"/>
      <c r="EFU313" s="1956"/>
      <c r="EFV313" s="1956"/>
      <c r="EFW313" s="1956"/>
      <c r="EFX313" s="1956"/>
      <c r="EFY313" s="1956"/>
      <c r="EFZ313" s="1956"/>
      <c r="EGA313" s="1956"/>
      <c r="EGB313" s="1956"/>
      <c r="EGC313" s="1956"/>
      <c r="EGD313" s="1956"/>
      <c r="EGE313" s="1956"/>
      <c r="EGF313" s="1956"/>
      <c r="EGG313" s="1956"/>
      <c r="EGH313" s="1956"/>
      <c r="EGI313" s="1956"/>
      <c r="EGJ313" s="1956"/>
      <c r="EGK313" s="1956"/>
      <c r="EGL313" s="1956"/>
      <c r="EGM313" s="1956"/>
      <c r="EGN313" s="1956"/>
      <c r="EGO313" s="1956"/>
      <c r="EGP313" s="1956"/>
      <c r="EGQ313" s="1956"/>
      <c r="EGR313" s="1956"/>
      <c r="EGS313" s="1956"/>
      <c r="EGT313" s="1956"/>
      <c r="EGU313" s="1956"/>
      <c r="EGV313" s="1956"/>
      <c r="EGW313" s="1956"/>
      <c r="EGX313" s="1956"/>
      <c r="EGY313" s="1956"/>
      <c r="EGZ313" s="1956"/>
      <c r="EHA313" s="1956"/>
      <c r="EHB313" s="1956"/>
      <c r="EHC313" s="1956"/>
      <c r="EHD313" s="1956"/>
      <c r="EHE313" s="1956"/>
      <c r="EHF313" s="1956"/>
      <c r="EHG313" s="1956"/>
      <c r="EHH313" s="1956"/>
      <c r="EHI313" s="1956"/>
      <c r="EHJ313" s="1956"/>
      <c r="EHK313" s="1956"/>
      <c r="EHL313" s="1956"/>
      <c r="EHM313" s="1956"/>
      <c r="EHN313" s="1956"/>
      <c r="EHO313" s="1956"/>
      <c r="EHP313" s="1956"/>
      <c r="EHQ313" s="1956"/>
      <c r="EHR313" s="1956"/>
      <c r="EHS313" s="1956"/>
      <c r="EHT313" s="1956"/>
      <c r="EHU313" s="1956"/>
      <c r="EHV313" s="1956"/>
      <c r="EHW313" s="1956"/>
      <c r="EHX313" s="1956"/>
      <c r="EHY313" s="1956"/>
      <c r="EHZ313" s="1956"/>
      <c r="EIA313" s="1956"/>
      <c r="EIB313" s="1956"/>
      <c r="EIC313" s="1956"/>
      <c r="EID313" s="1956"/>
      <c r="EIE313" s="1956"/>
      <c r="EIF313" s="1956"/>
      <c r="EIG313" s="1956"/>
      <c r="EIH313" s="1956"/>
      <c r="EII313" s="1956"/>
      <c r="EIJ313" s="1956"/>
      <c r="EIK313" s="1956"/>
      <c r="EIL313" s="1956"/>
      <c r="EIM313" s="1956"/>
      <c r="EIN313" s="1956"/>
      <c r="EIO313" s="1956"/>
      <c r="EIP313" s="1956"/>
      <c r="EIQ313" s="1956"/>
      <c r="EIR313" s="1956"/>
      <c r="EIS313" s="1956"/>
      <c r="EIT313" s="1956"/>
      <c r="EIU313" s="1956"/>
      <c r="EIV313" s="1956"/>
      <c r="EIW313" s="1956"/>
      <c r="EIX313" s="1956"/>
      <c r="EIY313" s="1956"/>
      <c r="EIZ313" s="1956"/>
      <c r="EJA313" s="1956"/>
      <c r="EJB313" s="1956"/>
      <c r="EJC313" s="1956"/>
      <c r="EJD313" s="1956"/>
      <c r="EJE313" s="1956"/>
      <c r="EJF313" s="1956"/>
      <c r="EJG313" s="1956"/>
      <c r="EJH313" s="1956"/>
      <c r="EJI313" s="1956"/>
      <c r="EJJ313" s="1956"/>
      <c r="EJK313" s="1956"/>
      <c r="EJL313" s="1956"/>
      <c r="EJM313" s="1956"/>
      <c r="EJN313" s="1956"/>
      <c r="EJO313" s="1956"/>
      <c r="EJP313" s="1956"/>
      <c r="EJQ313" s="1956"/>
      <c r="EJR313" s="1956"/>
      <c r="EJS313" s="1956"/>
      <c r="EJT313" s="1956"/>
      <c r="EJU313" s="1956"/>
      <c r="EJV313" s="1956"/>
      <c r="EJW313" s="1956"/>
      <c r="EJX313" s="1956"/>
      <c r="EJY313" s="1956"/>
      <c r="EJZ313" s="1956"/>
      <c r="EKA313" s="1956"/>
      <c r="EKB313" s="1956"/>
      <c r="EKC313" s="1956"/>
      <c r="EKD313" s="1956"/>
      <c r="EKE313" s="1956"/>
      <c r="EKF313" s="1956"/>
      <c r="EKG313" s="1956"/>
      <c r="EKH313" s="1956"/>
      <c r="EKI313" s="1956"/>
      <c r="EKJ313" s="1956"/>
      <c r="EKK313" s="1956"/>
      <c r="EKL313" s="1956"/>
      <c r="EKM313" s="1956"/>
      <c r="EKN313" s="1956"/>
      <c r="EKO313" s="1956"/>
      <c r="EKP313" s="1956"/>
      <c r="EKQ313" s="1956"/>
      <c r="EKR313" s="1956"/>
      <c r="EKS313" s="1956"/>
      <c r="EKT313" s="1956"/>
      <c r="EKU313" s="1956"/>
      <c r="EKV313" s="1956"/>
      <c r="EKW313" s="1956"/>
      <c r="EKX313" s="1956"/>
      <c r="EKY313" s="1956"/>
      <c r="EKZ313" s="1956"/>
      <c r="ELA313" s="1956"/>
      <c r="ELB313" s="1956"/>
      <c r="ELC313" s="1956"/>
      <c r="ELD313" s="1956"/>
      <c r="ELE313" s="1956"/>
      <c r="ELF313" s="1956"/>
      <c r="ELG313" s="1956"/>
      <c r="ELH313" s="1956"/>
      <c r="ELI313" s="1956"/>
      <c r="ELJ313" s="1956"/>
      <c r="ELK313" s="1956"/>
      <c r="ELL313" s="1956"/>
      <c r="ELM313" s="1956"/>
      <c r="ELN313" s="1956"/>
      <c r="ELO313" s="1956"/>
      <c r="ELP313" s="1956"/>
      <c r="ELQ313" s="1956"/>
      <c r="ELR313" s="1956"/>
      <c r="ELS313" s="1956"/>
      <c r="ELT313" s="1956"/>
      <c r="ELU313" s="1956"/>
      <c r="ELV313" s="1956"/>
      <c r="ELW313" s="1956"/>
      <c r="ELX313" s="1956"/>
      <c r="ELY313" s="1956"/>
      <c r="ELZ313" s="1956"/>
      <c r="EMA313" s="1956"/>
      <c r="EMB313" s="1956"/>
      <c r="EMC313" s="1956"/>
      <c r="EMD313" s="1956"/>
      <c r="EME313" s="1956"/>
      <c r="EMF313" s="1956"/>
      <c r="EMG313" s="1956"/>
      <c r="EMH313" s="1956"/>
      <c r="EMI313" s="1956"/>
      <c r="EMJ313" s="1956"/>
      <c r="EMK313" s="1956"/>
      <c r="EML313" s="1956"/>
      <c r="EMM313" s="1956"/>
      <c r="EMN313" s="1956"/>
      <c r="EMO313" s="1956"/>
      <c r="EMP313" s="1956"/>
      <c r="EMQ313" s="1956"/>
      <c r="EMR313" s="1956"/>
      <c r="EMS313" s="1956"/>
      <c r="EMT313" s="1956"/>
      <c r="EMU313" s="1956"/>
      <c r="EMV313" s="1956"/>
      <c r="EMW313" s="1956"/>
      <c r="EMX313" s="1956"/>
      <c r="EMY313" s="1956"/>
      <c r="EMZ313" s="1956"/>
      <c r="ENA313" s="1956"/>
      <c r="ENB313" s="1956"/>
      <c r="ENC313" s="1956"/>
      <c r="END313" s="1956"/>
      <c r="ENE313" s="1956"/>
      <c r="ENF313" s="1956"/>
      <c r="ENG313" s="1956"/>
      <c r="ENH313" s="1956"/>
      <c r="ENI313" s="1956"/>
      <c r="ENJ313" s="1956"/>
      <c r="ENK313" s="1956"/>
      <c r="ENL313" s="1956"/>
      <c r="ENM313" s="1956"/>
      <c r="ENN313" s="1956"/>
      <c r="ENO313" s="1956"/>
      <c r="ENP313" s="1956"/>
      <c r="ENQ313" s="1956"/>
      <c r="ENR313" s="1956"/>
      <c r="ENS313" s="1956"/>
      <c r="ENT313" s="1956"/>
      <c r="ENU313" s="1956"/>
      <c r="ENV313" s="1956"/>
      <c r="ENW313" s="1956"/>
      <c r="ENX313" s="1956"/>
      <c r="ENY313" s="1956"/>
      <c r="ENZ313" s="1956"/>
      <c r="EOA313" s="1956"/>
      <c r="EOB313" s="1956"/>
      <c r="EOC313" s="1956"/>
      <c r="EOD313" s="1956"/>
      <c r="EOE313" s="1956"/>
      <c r="EOF313" s="1956"/>
      <c r="EOG313" s="1956"/>
      <c r="EOH313" s="1956"/>
      <c r="EOI313" s="1956"/>
      <c r="EOJ313" s="1956"/>
      <c r="EOK313" s="1956"/>
      <c r="EOL313" s="1956"/>
      <c r="EOM313" s="1956"/>
      <c r="EON313" s="1956"/>
      <c r="EOO313" s="1956"/>
      <c r="EOP313" s="1956"/>
      <c r="EOQ313" s="1956"/>
      <c r="EOR313" s="1956"/>
      <c r="EOS313" s="1956"/>
      <c r="EOT313" s="1956"/>
      <c r="EOU313" s="1956"/>
      <c r="EOV313" s="1956"/>
      <c r="EOW313" s="1956"/>
      <c r="EOX313" s="1956"/>
      <c r="EOY313" s="1956"/>
      <c r="EOZ313" s="1956"/>
      <c r="EPA313" s="1956"/>
      <c r="EPB313" s="1956"/>
      <c r="EPC313" s="1956"/>
      <c r="EPD313" s="1956"/>
      <c r="EPE313" s="1956"/>
      <c r="EPF313" s="1956"/>
      <c r="EPG313" s="1956"/>
      <c r="EPH313" s="1956"/>
      <c r="EPI313" s="1956"/>
      <c r="EPJ313" s="1956"/>
      <c r="EPK313" s="1956"/>
      <c r="EPL313" s="1956"/>
      <c r="EPM313" s="1956"/>
      <c r="EPN313" s="1956"/>
      <c r="EPO313" s="1956"/>
      <c r="EPP313" s="1956"/>
      <c r="EPQ313" s="1956"/>
      <c r="EPR313" s="1956"/>
      <c r="EPS313" s="1956"/>
      <c r="EPT313" s="1956"/>
      <c r="EPU313" s="1956"/>
      <c r="EPV313" s="1956"/>
      <c r="EPW313" s="1956"/>
      <c r="EPX313" s="1956"/>
      <c r="EPY313" s="1956"/>
      <c r="EPZ313" s="1956"/>
      <c r="EQA313" s="1956"/>
      <c r="EQB313" s="1956"/>
      <c r="EQC313" s="1956"/>
      <c r="EQD313" s="1956"/>
      <c r="EQE313" s="1956"/>
      <c r="EQF313" s="1956"/>
      <c r="EQG313" s="1956"/>
      <c r="EQH313" s="1956"/>
      <c r="EQI313" s="1956"/>
      <c r="EQJ313" s="1956"/>
      <c r="EQK313" s="1956"/>
      <c r="EQL313" s="1956"/>
      <c r="EQM313" s="1956"/>
      <c r="EQN313" s="1956"/>
      <c r="EQO313" s="1956"/>
      <c r="EQP313" s="1956"/>
      <c r="EQQ313" s="1956"/>
      <c r="EQR313" s="1956"/>
      <c r="EQS313" s="1956"/>
      <c r="EQT313" s="1956"/>
      <c r="EQU313" s="1956"/>
      <c r="EQV313" s="1956"/>
      <c r="EQW313" s="1956"/>
      <c r="EQX313" s="1956"/>
      <c r="EQY313" s="1956"/>
      <c r="EQZ313" s="1956"/>
      <c r="ERA313" s="1956"/>
      <c r="ERB313" s="1956"/>
      <c r="ERC313" s="1956"/>
      <c r="ERD313" s="1956"/>
      <c r="ERE313" s="1956"/>
      <c r="ERF313" s="1956"/>
      <c r="ERG313" s="1956"/>
      <c r="ERH313" s="1956"/>
      <c r="ERI313" s="1956"/>
      <c r="ERJ313" s="1956"/>
      <c r="ERK313" s="1956"/>
      <c r="ERL313" s="1956"/>
      <c r="ERM313" s="1956"/>
      <c r="ERN313" s="1956"/>
      <c r="ERO313" s="1956"/>
      <c r="ERP313" s="1956"/>
      <c r="ERQ313" s="1956"/>
      <c r="ERR313" s="1956"/>
      <c r="ERS313" s="1956"/>
      <c r="ERT313" s="1956"/>
      <c r="ERU313" s="1956"/>
      <c r="ERV313" s="1956"/>
      <c r="ERW313" s="1956"/>
      <c r="ERX313" s="1956"/>
      <c r="ERY313" s="1956"/>
      <c r="ERZ313" s="1956"/>
      <c r="ESA313" s="1956"/>
      <c r="ESB313" s="1956"/>
      <c r="ESC313" s="1956"/>
      <c r="ESD313" s="1956"/>
      <c r="ESE313" s="1956"/>
      <c r="ESF313" s="1956"/>
      <c r="ESG313" s="1956"/>
      <c r="ESH313" s="1956"/>
      <c r="ESI313" s="1956"/>
      <c r="ESJ313" s="1956"/>
      <c r="ESK313" s="1956"/>
      <c r="ESL313" s="1956"/>
      <c r="ESM313" s="1956"/>
      <c r="ESN313" s="1956"/>
      <c r="ESO313" s="1956"/>
      <c r="ESP313" s="1956"/>
      <c r="ESQ313" s="1956"/>
      <c r="ESR313" s="1956"/>
      <c r="ESS313" s="1956"/>
      <c r="EST313" s="1956"/>
      <c r="ESU313" s="1956"/>
      <c r="ESV313" s="1956"/>
      <c r="ESW313" s="1956"/>
      <c r="ESX313" s="1956"/>
      <c r="ESY313" s="1956"/>
      <c r="ESZ313" s="1956"/>
      <c r="ETA313" s="1956"/>
      <c r="ETB313" s="1956"/>
      <c r="ETC313" s="1956"/>
      <c r="ETD313" s="1956"/>
      <c r="ETE313" s="1956"/>
      <c r="ETF313" s="1956"/>
      <c r="ETG313" s="1956"/>
      <c r="ETH313" s="1956"/>
      <c r="ETI313" s="1956"/>
      <c r="ETJ313" s="1956"/>
      <c r="ETK313" s="1956"/>
      <c r="ETL313" s="1956"/>
      <c r="ETM313" s="1956"/>
      <c r="ETN313" s="1956"/>
      <c r="ETO313" s="1956"/>
      <c r="ETP313" s="1956"/>
      <c r="ETQ313" s="1956"/>
      <c r="ETR313" s="1956"/>
      <c r="ETS313" s="1956"/>
      <c r="ETT313" s="1956"/>
      <c r="ETU313" s="1956"/>
      <c r="ETV313" s="1956"/>
      <c r="ETW313" s="1956"/>
      <c r="ETX313" s="1956"/>
      <c r="ETY313" s="1956"/>
      <c r="ETZ313" s="1956"/>
      <c r="EUA313" s="1956"/>
      <c r="EUB313" s="1956"/>
      <c r="EUC313" s="1956"/>
      <c r="EUD313" s="1956"/>
      <c r="EUE313" s="1956"/>
      <c r="EUF313" s="1956"/>
      <c r="EUG313" s="1956"/>
      <c r="EUH313" s="1956"/>
      <c r="EUI313" s="1956"/>
      <c r="EUJ313" s="1956"/>
      <c r="EUK313" s="1956"/>
      <c r="EUL313" s="1956"/>
      <c r="EUM313" s="1956"/>
      <c r="EUN313" s="1956"/>
      <c r="EUO313" s="1956"/>
      <c r="EUP313" s="1956"/>
      <c r="EUQ313" s="1956"/>
      <c r="EUR313" s="1956"/>
      <c r="EUS313" s="1956"/>
      <c r="EUT313" s="1956"/>
      <c r="EUU313" s="1956"/>
      <c r="EUV313" s="1956"/>
      <c r="EUW313" s="1956"/>
      <c r="EUX313" s="1956"/>
      <c r="EUY313" s="1956"/>
      <c r="EUZ313" s="1956"/>
      <c r="EVA313" s="1956"/>
      <c r="EVB313" s="1956"/>
      <c r="EVC313" s="1956"/>
      <c r="EVD313" s="1956"/>
      <c r="EVE313" s="1956"/>
      <c r="EVF313" s="1956"/>
      <c r="EVG313" s="1956"/>
      <c r="EVH313" s="1956"/>
      <c r="EVI313" s="1956"/>
      <c r="EVJ313" s="1956"/>
      <c r="EVK313" s="1956"/>
      <c r="EVL313" s="1956"/>
      <c r="EVM313" s="1956"/>
      <c r="EVN313" s="1956"/>
      <c r="EVO313" s="1956"/>
      <c r="EVP313" s="1956"/>
      <c r="EVQ313" s="1956"/>
      <c r="EVR313" s="1956"/>
      <c r="EVS313" s="1956"/>
      <c r="EVT313" s="1956"/>
      <c r="EVU313" s="1956"/>
      <c r="EVV313" s="1956"/>
      <c r="EVW313" s="1956"/>
      <c r="EVX313" s="1956"/>
      <c r="EVY313" s="1956"/>
      <c r="EVZ313" s="1956"/>
      <c r="EWA313" s="1956"/>
      <c r="EWB313" s="1956"/>
      <c r="EWC313" s="1956"/>
      <c r="EWD313" s="1956"/>
      <c r="EWE313" s="1956"/>
      <c r="EWF313" s="1956"/>
      <c r="EWG313" s="1956"/>
      <c r="EWH313" s="1956"/>
      <c r="EWI313" s="1956"/>
      <c r="EWJ313" s="1956"/>
      <c r="EWK313" s="1956"/>
      <c r="EWL313" s="1956"/>
      <c r="EWM313" s="1956"/>
      <c r="EWN313" s="1956"/>
      <c r="EWO313" s="1956"/>
      <c r="EWP313" s="1956"/>
      <c r="EWQ313" s="1956"/>
      <c r="EWR313" s="1956"/>
      <c r="EWS313" s="1956"/>
      <c r="EWT313" s="1956"/>
      <c r="EWU313" s="1956"/>
      <c r="EWV313" s="1956"/>
      <c r="EWW313" s="1956"/>
      <c r="EWX313" s="1956"/>
      <c r="EWY313" s="1956"/>
      <c r="EWZ313" s="1956"/>
      <c r="EXA313" s="1956"/>
      <c r="EXB313" s="1956"/>
      <c r="EXC313" s="1956"/>
      <c r="EXD313" s="1956"/>
      <c r="EXE313" s="1956"/>
      <c r="EXF313" s="1956"/>
      <c r="EXG313" s="1956"/>
      <c r="EXH313" s="1956"/>
      <c r="EXI313" s="1956"/>
      <c r="EXJ313" s="1956"/>
      <c r="EXK313" s="1956"/>
      <c r="EXL313" s="1956"/>
      <c r="EXM313" s="1956"/>
      <c r="EXN313" s="1956"/>
      <c r="EXO313" s="1956"/>
      <c r="EXP313" s="1956"/>
      <c r="EXQ313" s="1956"/>
      <c r="EXR313" s="1956"/>
      <c r="EXS313" s="1956"/>
      <c r="EXT313" s="1956"/>
      <c r="EXU313" s="1956"/>
      <c r="EXV313" s="1956"/>
      <c r="EXW313" s="1956"/>
      <c r="EXX313" s="1956"/>
      <c r="EXY313" s="1956"/>
      <c r="EXZ313" s="1956"/>
      <c r="EYA313" s="1956"/>
      <c r="EYB313" s="1956"/>
      <c r="EYC313" s="1956"/>
      <c r="EYD313" s="1956"/>
      <c r="EYE313" s="1956"/>
      <c r="EYF313" s="1956"/>
      <c r="EYG313" s="1956"/>
      <c r="EYH313" s="1956"/>
      <c r="EYI313" s="1956"/>
      <c r="EYJ313" s="1956"/>
      <c r="EYK313" s="1956"/>
      <c r="EYL313" s="1956"/>
      <c r="EYM313" s="1956"/>
      <c r="EYN313" s="1956"/>
      <c r="EYO313" s="1956"/>
      <c r="EYP313" s="1956"/>
      <c r="EYQ313" s="1956"/>
      <c r="EYR313" s="1956"/>
      <c r="EYS313" s="1956"/>
      <c r="EYT313" s="1956"/>
      <c r="EYU313" s="1956"/>
      <c r="EYV313" s="1956"/>
      <c r="EYW313" s="1956"/>
      <c r="EYX313" s="1956"/>
      <c r="EYY313" s="1956"/>
      <c r="EYZ313" s="1956"/>
      <c r="EZA313" s="1956"/>
      <c r="EZB313" s="1956"/>
      <c r="EZC313" s="1956"/>
      <c r="EZD313" s="1956"/>
      <c r="EZE313" s="1956"/>
      <c r="EZF313" s="1956"/>
      <c r="EZG313" s="1956"/>
      <c r="EZH313" s="1956"/>
      <c r="EZI313" s="1956"/>
      <c r="EZJ313" s="1956"/>
      <c r="EZK313" s="1956"/>
      <c r="EZL313" s="1956"/>
      <c r="EZM313" s="1956"/>
      <c r="EZN313" s="1956"/>
      <c r="EZO313" s="1956"/>
      <c r="EZP313" s="1956"/>
      <c r="EZQ313" s="1956"/>
      <c r="EZR313" s="1956"/>
      <c r="EZS313" s="1956"/>
      <c r="EZT313" s="1956"/>
      <c r="EZU313" s="1956"/>
      <c r="EZV313" s="1956"/>
      <c r="EZW313" s="1956"/>
      <c r="EZX313" s="1956"/>
      <c r="EZY313" s="1956"/>
      <c r="EZZ313" s="1956"/>
      <c r="FAA313" s="1956"/>
      <c r="FAB313" s="1956"/>
      <c r="FAC313" s="1956"/>
      <c r="FAD313" s="1956"/>
      <c r="FAE313" s="1956"/>
      <c r="FAF313" s="1956"/>
      <c r="FAG313" s="1956"/>
      <c r="FAH313" s="1956"/>
      <c r="FAI313" s="1956"/>
      <c r="FAJ313" s="1956"/>
      <c r="FAK313" s="1956"/>
      <c r="FAL313" s="1956"/>
      <c r="FAM313" s="1956"/>
      <c r="FAN313" s="1956"/>
      <c r="FAO313" s="1956"/>
      <c r="FAP313" s="1956"/>
      <c r="FAQ313" s="1956"/>
      <c r="FAR313" s="1956"/>
      <c r="FAS313" s="1956"/>
      <c r="FAT313" s="1956"/>
      <c r="FAU313" s="1956"/>
      <c r="FAV313" s="1956"/>
      <c r="FAW313" s="1956"/>
      <c r="FAX313" s="1956"/>
      <c r="FAY313" s="1956"/>
      <c r="FAZ313" s="1956"/>
      <c r="FBA313" s="1956"/>
      <c r="FBB313" s="1956"/>
      <c r="FBC313" s="1956"/>
      <c r="FBD313" s="1956"/>
      <c r="FBE313" s="1956"/>
      <c r="FBF313" s="1956"/>
      <c r="FBG313" s="1956"/>
      <c r="FBH313" s="1956"/>
      <c r="FBI313" s="1956"/>
      <c r="FBJ313" s="1956"/>
      <c r="FBK313" s="1956"/>
      <c r="FBL313" s="1956"/>
      <c r="FBM313" s="1956"/>
      <c r="FBN313" s="1956"/>
      <c r="FBO313" s="1956"/>
      <c r="FBP313" s="1956"/>
      <c r="FBQ313" s="1956"/>
      <c r="FBR313" s="1956"/>
      <c r="FBS313" s="1956"/>
      <c r="FBT313" s="1956"/>
      <c r="FBU313" s="1956"/>
      <c r="FBV313" s="1956"/>
      <c r="FBW313" s="1956"/>
      <c r="FBX313" s="1956"/>
      <c r="FBY313" s="1956"/>
      <c r="FBZ313" s="1956"/>
      <c r="FCA313" s="1956"/>
      <c r="FCB313" s="1956"/>
      <c r="FCC313" s="1956"/>
      <c r="FCD313" s="1956"/>
      <c r="FCE313" s="1956"/>
      <c r="FCF313" s="1956"/>
      <c r="FCG313" s="1956"/>
      <c r="FCH313" s="1956"/>
      <c r="FCI313" s="1956"/>
      <c r="FCJ313" s="1956"/>
      <c r="FCK313" s="1956"/>
      <c r="FCL313" s="1956"/>
      <c r="FCM313" s="1956"/>
      <c r="FCN313" s="1956"/>
      <c r="FCO313" s="1956"/>
      <c r="FCP313" s="1956"/>
      <c r="FCQ313" s="1956"/>
      <c r="FCR313" s="1956"/>
      <c r="FCS313" s="1956"/>
      <c r="FCT313" s="1956"/>
      <c r="FCU313" s="1956"/>
      <c r="FCV313" s="1956"/>
      <c r="FCW313" s="1956"/>
      <c r="FCX313" s="1956"/>
      <c r="FCY313" s="1956"/>
      <c r="FCZ313" s="1956"/>
      <c r="FDA313" s="1956"/>
      <c r="FDB313" s="1956"/>
      <c r="FDC313" s="1956"/>
      <c r="FDD313" s="1956"/>
      <c r="FDE313" s="1956"/>
      <c r="FDF313" s="1956"/>
      <c r="FDG313" s="1956"/>
      <c r="FDH313" s="1956"/>
      <c r="FDI313" s="1956"/>
      <c r="FDJ313" s="1956"/>
      <c r="FDK313" s="1956"/>
      <c r="FDL313" s="1956"/>
      <c r="FDM313" s="1956"/>
      <c r="FDN313" s="1956"/>
      <c r="FDO313" s="1956"/>
      <c r="FDP313" s="1956"/>
      <c r="FDQ313" s="1956"/>
      <c r="FDR313" s="1956"/>
      <c r="FDS313" s="1956"/>
      <c r="FDT313" s="1956"/>
      <c r="FDU313" s="1956"/>
      <c r="FDV313" s="1956"/>
      <c r="FDW313" s="1956"/>
      <c r="FDX313" s="1956"/>
      <c r="FDY313" s="1956"/>
      <c r="FDZ313" s="1956"/>
      <c r="FEA313" s="1956"/>
      <c r="FEB313" s="1956"/>
      <c r="FEC313" s="1956"/>
      <c r="FED313" s="1956"/>
      <c r="FEE313" s="1956"/>
      <c r="FEF313" s="1956"/>
      <c r="FEG313" s="1956"/>
      <c r="FEH313" s="1956"/>
      <c r="FEI313" s="1956"/>
      <c r="FEJ313" s="1956"/>
      <c r="FEK313" s="1956"/>
      <c r="FEL313" s="1956"/>
      <c r="FEM313" s="1956"/>
      <c r="FEN313" s="1956"/>
      <c r="FEO313" s="1956"/>
      <c r="FEP313" s="1956"/>
      <c r="FEQ313" s="1956"/>
      <c r="FER313" s="1956"/>
      <c r="FES313" s="1956"/>
      <c r="FET313" s="1956"/>
      <c r="FEU313" s="1956"/>
      <c r="FEV313" s="1956"/>
      <c r="FEW313" s="1956"/>
      <c r="FEX313" s="1956"/>
      <c r="FEY313" s="1956"/>
      <c r="FEZ313" s="1956"/>
      <c r="FFA313" s="1956"/>
      <c r="FFB313" s="1956"/>
      <c r="FFC313" s="1956"/>
      <c r="FFD313" s="1956"/>
      <c r="FFE313" s="1956"/>
      <c r="FFF313" s="1956"/>
      <c r="FFG313" s="1956"/>
      <c r="FFH313" s="1956"/>
      <c r="FFI313" s="1956"/>
      <c r="FFJ313" s="1956"/>
      <c r="FFK313" s="1956"/>
      <c r="FFL313" s="1956"/>
      <c r="FFM313" s="1956"/>
      <c r="FFN313" s="1956"/>
      <c r="FFO313" s="1956"/>
      <c r="FFP313" s="1956"/>
      <c r="FFQ313" s="1956"/>
      <c r="FFR313" s="1956"/>
      <c r="FFS313" s="1956"/>
      <c r="FFT313" s="1956"/>
      <c r="FFU313" s="1956"/>
      <c r="FFV313" s="1956"/>
      <c r="FFW313" s="1956"/>
      <c r="FFX313" s="1956"/>
      <c r="FFY313" s="1956"/>
      <c r="FFZ313" s="1956"/>
      <c r="FGA313" s="1956"/>
      <c r="FGB313" s="1956"/>
      <c r="FGC313" s="1956"/>
      <c r="FGD313" s="1956"/>
      <c r="FGE313" s="1956"/>
      <c r="FGF313" s="1956"/>
      <c r="FGG313" s="1956"/>
      <c r="FGH313" s="1956"/>
      <c r="FGI313" s="1956"/>
      <c r="FGJ313" s="1956"/>
      <c r="FGK313" s="1956"/>
      <c r="FGL313" s="1956"/>
      <c r="FGM313" s="1956"/>
      <c r="FGN313" s="1956"/>
      <c r="FGO313" s="1956"/>
      <c r="FGP313" s="1956"/>
      <c r="FGQ313" s="1956"/>
      <c r="FGR313" s="1956"/>
      <c r="FGS313" s="1956"/>
      <c r="FGT313" s="1956"/>
      <c r="FGU313" s="1956"/>
      <c r="FGV313" s="1956"/>
      <c r="FGW313" s="1956"/>
      <c r="FGX313" s="1956"/>
      <c r="FGY313" s="1956"/>
      <c r="FGZ313" s="1956"/>
      <c r="FHA313" s="1956"/>
      <c r="FHB313" s="1956"/>
      <c r="FHC313" s="1956"/>
      <c r="FHD313" s="1956"/>
      <c r="FHE313" s="1956"/>
      <c r="FHF313" s="1956"/>
      <c r="FHG313" s="1956"/>
      <c r="FHH313" s="1956"/>
      <c r="FHI313" s="1956"/>
      <c r="FHJ313" s="1956"/>
      <c r="FHK313" s="1956"/>
      <c r="FHL313" s="1956"/>
      <c r="FHM313" s="1956"/>
      <c r="FHN313" s="1956"/>
      <c r="FHO313" s="1956"/>
      <c r="FHP313" s="1956"/>
      <c r="FHQ313" s="1956"/>
      <c r="FHR313" s="1956"/>
      <c r="FHS313" s="1956"/>
      <c r="FHT313" s="1956"/>
      <c r="FHU313" s="1956"/>
      <c r="FHV313" s="1956"/>
      <c r="FHW313" s="1956"/>
      <c r="FHX313" s="1956"/>
      <c r="FHY313" s="1956"/>
      <c r="FHZ313" s="1956"/>
      <c r="FIA313" s="1956"/>
      <c r="FIB313" s="1956"/>
      <c r="FIC313" s="1956"/>
      <c r="FID313" s="1956"/>
      <c r="FIE313" s="1956"/>
      <c r="FIF313" s="1956"/>
      <c r="FIG313" s="1956"/>
      <c r="FIH313" s="1956"/>
      <c r="FII313" s="1956"/>
      <c r="FIJ313" s="1956"/>
      <c r="FIK313" s="1956"/>
      <c r="FIL313" s="1956"/>
      <c r="FIM313" s="1956"/>
      <c r="FIN313" s="1956"/>
      <c r="FIO313" s="1956"/>
      <c r="FIP313" s="1956"/>
      <c r="FIQ313" s="1956"/>
      <c r="FIR313" s="1956"/>
      <c r="FIS313" s="1956"/>
      <c r="FIT313" s="1956"/>
      <c r="FIU313" s="1956"/>
      <c r="FIV313" s="1956"/>
      <c r="FIW313" s="1956"/>
      <c r="FIX313" s="1956"/>
      <c r="FIY313" s="1956"/>
      <c r="FIZ313" s="1956"/>
      <c r="FJA313" s="1956"/>
      <c r="FJB313" s="1956"/>
      <c r="FJC313" s="1956"/>
      <c r="FJD313" s="1956"/>
      <c r="FJE313" s="1956"/>
      <c r="FJF313" s="1956"/>
      <c r="FJG313" s="1956"/>
      <c r="FJH313" s="1956"/>
      <c r="FJI313" s="1956"/>
      <c r="FJJ313" s="1956"/>
      <c r="FJK313" s="1956"/>
      <c r="FJL313" s="1956"/>
      <c r="FJM313" s="1956"/>
      <c r="FJN313" s="1956"/>
      <c r="FJO313" s="1956"/>
      <c r="FJP313" s="1956"/>
      <c r="FJQ313" s="1956"/>
      <c r="FJR313" s="1956"/>
      <c r="FJS313" s="1956"/>
      <c r="FJT313" s="1956"/>
      <c r="FJU313" s="1956"/>
      <c r="FJV313" s="1956"/>
      <c r="FJW313" s="1956"/>
      <c r="FJX313" s="1956"/>
      <c r="FJY313" s="1956"/>
      <c r="FJZ313" s="1956"/>
      <c r="FKA313" s="1956"/>
      <c r="FKB313" s="1956"/>
      <c r="FKC313" s="1956"/>
      <c r="FKD313" s="1956"/>
      <c r="FKE313" s="1956"/>
      <c r="FKF313" s="1956"/>
      <c r="FKG313" s="1956"/>
      <c r="FKH313" s="1956"/>
      <c r="FKI313" s="1956"/>
      <c r="FKJ313" s="1956"/>
      <c r="FKK313" s="1956"/>
      <c r="FKL313" s="1956"/>
      <c r="FKM313" s="1956"/>
      <c r="FKN313" s="1956"/>
      <c r="FKO313" s="1956"/>
      <c r="FKP313" s="1956"/>
      <c r="FKQ313" s="1956"/>
      <c r="FKR313" s="1956"/>
      <c r="FKS313" s="1956"/>
      <c r="FKT313" s="1956"/>
      <c r="FKU313" s="1956"/>
      <c r="FKV313" s="1956"/>
      <c r="FKW313" s="1956"/>
      <c r="FKX313" s="1956"/>
      <c r="FKY313" s="1956"/>
      <c r="FKZ313" s="1956"/>
      <c r="FLA313" s="1956"/>
      <c r="FLB313" s="1956"/>
      <c r="FLC313" s="1956"/>
      <c r="FLD313" s="1956"/>
      <c r="FLE313" s="1956"/>
      <c r="FLF313" s="1956"/>
      <c r="FLG313" s="1956"/>
      <c r="FLH313" s="1956"/>
      <c r="FLI313" s="1956"/>
      <c r="FLJ313" s="1956"/>
      <c r="FLK313" s="1956"/>
      <c r="FLL313" s="1956"/>
      <c r="FLM313" s="1956"/>
      <c r="FLN313" s="1956"/>
      <c r="FLO313" s="1956"/>
      <c r="FLP313" s="1956"/>
      <c r="FLQ313" s="1956"/>
      <c r="FLR313" s="1956"/>
      <c r="FLS313" s="1956"/>
      <c r="FLT313" s="1956"/>
      <c r="FLU313" s="1956"/>
      <c r="FLV313" s="1956"/>
      <c r="FLW313" s="1956"/>
      <c r="FLX313" s="1956"/>
      <c r="FLY313" s="1956"/>
      <c r="FLZ313" s="1956"/>
      <c r="FMA313" s="1956"/>
      <c r="FMB313" s="1956"/>
      <c r="FMC313" s="1956"/>
      <c r="FMD313" s="1956"/>
      <c r="FME313" s="1956"/>
      <c r="FMF313" s="1956"/>
      <c r="FMG313" s="1956"/>
      <c r="FMH313" s="1956"/>
      <c r="FMI313" s="1956"/>
      <c r="FMJ313" s="1956"/>
      <c r="FMK313" s="1956"/>
      <c r="FML313" s="1956"/>
      <c r="FMM313" s="1956"/>
      <c r="FMN313" s="1956"/>
      <c r="FMO313" s="1956"/>
      <c r="FMP313" s="1956"/>
      <c r="FMQ313" s="1956"/>
      <c r="FMR313" s="1956"/>
      <c r="FMS313" s="1956"/>
      <c r="FMT313" s="1956"/>
      <c r="FMU313" s="1956"/>
      <c r="FMV313" s="1956"/>
      <c r="FMW313" s="1956"/>
      <c r="FMX313" s="1956"/>
      <c r="FMY313" s="1956"/>
      <c r="FMZ313" s="1956"/>
      <c r="FNA313" s="1956"/>
      <c r="FNB313" s="1956"/>
      <c r="FNC313" s="1956"/>
      <c r="FND313" s="1956"/>
      <c r="FNE313" s="1956"/>
      <c r="FNF313" s="1956"/>
      <c r="FNG313" s="1956"/>
      <c r="FNH313" s="1956"/>
      <c r="FNI313" s="1956"/>
      <c r="FNJ313" s="1956"/>
      <c r="FNK313" s="1956"/>
      <c r="FNL313" s="1956"/>
      <c r="FNM313" s="1956"/>
      <c r="FNN313" s="1956"/>
      <c r="FNO313" s="1956"/>
      <c r="FNP313" s="1956"/>
      <c r="FNQ313" s="1956"/>
      <c r="FNR313" s="1956"/>
      <c r="FNS313" s="1956"/>
      <c r="FNT313" s="1956"/>
      <c r="FNU313" s="1956"/>
      <c r="FNV313" s="1956"/>
      <c r="FNW313" s="1956"/>
      <c r="FNX313" s="1956"/>
      <c r="FNY313" s="1956"/>
      <c r="FNZ313" s="1956"/>
      <c r="FOA313" s="1956"/>
      <c r="FOB313" s="1956"/>
      <c r="FOC313" s="1956"/>
      <c r="FOD313" s="1956"/>
      <c r="FOE313" s="1956"/>
      <c r="FOF313" s="1956"/>
      <c r="FOG313" s="1956"/>
      <c r="FOH313" s="1956"/>
      <c r="FOI313" s="1956"/>
      <c r="FOJ313" s="1956"/>
      <c r="FOK313" s="1956"/>
      <c r="FOL313" s="1956"/>
      <c r="FOM313" s="1956"/>
      <c r="FON313" s="1956"/>
      <c r="FOO313" s="1956"/>
      <c r="FOP313" s="1956"/>
      <c r="FOQ313" s="1956"/>
      <c r="FOR313" s="1956"/>
      <c r="FOS313" s="1956"/>
      <c r="FOT313" s="1956"/>
      <c r="FOU313" s="1956"/>
      <c r="FOV313" s="1956"/>
      <c r="FOW313" s="1956"/>
      <c r="FOX313" s="1956"/>
      <c r="FOY313" s="1956"/>
      <c r="FOZ313" s="1956"/>
      <c r="FPA313" s="1956"/>
      <c r="FPB313" s="1956"/>
      <c r="FPC313" s="1956"/>
      <c r="FPD313" s="1956"/>
      <c r="FPE313" s="1956"/>
      <c r="FPF313" s="1956"/>
      <c r="FPG313" s="1956"/>
      <c r="FPH313" s="1956"/>
      <c r="FPI313" s="1956"/>
      <c r="FPJ313" s="1956"/>
      <c r="FPK313" s="1956"/>
      <c r="FPL313" s="1956"/>
      <c r="FPM313" s="1956"/>
      <c r="FPN313" s="1956"/>
      <c r="FPO313" s="1956"/>
      <c r="FPP313" s="1956"/>
      <c r="FPQ313" s="1956"/>
      <c r="FPR313" s="1956"/>
      <c r="FPS313" s="1956"/>
      <c r="FPT313" s="1956"/>
      <c r="FPU313" s="1956"/>
      <c r="FPV313" s="1956"/>
      <c r="FPW313" s="1956"/>
      <c r="FPX313" s="1956"/>
      <c r="FPY313" s="1956"/>
      <c r="FPZ313" s="1956"/>
      <c r="FQA313" s="1956"/>
      <c r="FQB313" s="1956"/>
      <c r="FQC313" s="1956"/>
      <c r="FQD313" s="1956"/>
      <c r="FQE313" s="1956"/>
      <c r="FQF313" s="1956"/>
      <c r="FQG313" s="1956"/>
      <c r="FQH313" s="1956"/>
      <c r="FQI313" s="1956"/>
      <c r="FQJ313" s="1956"/>
      <c r="FQK313" s="1956"/>
      <c r="FQL313" s="1956"/>
      <c r="FQM313" s="1956"/>
      <c r="FQN313" s="1956"/>
      <c r="FQO313" s="1956"/>
      <c r="FQP313" s="1956"/>
      <c r="FQQ313" s="1956"/>
      <c r="FQR313" s="1956"/>
      <c r="FQS313" s="1956"/>
      <c r="FQT313" s="1956"/>
      <c r="FQU313" s="1956"/>
      <c r="FQV313" s="1956"/>
      <c r="FQW313" s="1956"/>
      <c r="FQX313" s="1956"/>
      <c r="FQY313" s="1956"/>
      <c r="FQZ313" s="1956"/>
      <c r="FRA313" s="1956"/>
      <c r="FRB313" s="1956"/>
      <c r="FRC313" s="1956"/>
      <c r="FRD313" s="1956"/>
      <c r="FRE313" s="1956"/>
      <c r="FRF313" s="1956"/>
      <c r="FRG313" s="1956"/>
      <c r="FRH313" s="1956"/>
      <c r="FRI313" s="1956"/>
      <c r="FRJ313" s="1956"/>
      <c r="FRK313" s="1956"/>
      <c r="FRL313" s="1956"/>
      <c r="FRM313" s="1956"/>
      <c r="FRN313" s="1956"/>
      <c r="FRO313" s="1956"/>
      <c r="FRP313" s="1956"/>
      <c r="FRQ313" s="1956"/>
      <c r="FRR313" s="1956"/>
      <c r="FRS313" s="1956"/>
      <c r="FRT313" s="1956"/>
      <c r="FRU313" s="1956"/>
      <c r="FRV313" s="1956"/>
      <c r="FRW313" s="1956"/>
      <c r="FRX313" s="1956"/>
      <c r="FRY313" s="1956"/>
      <c r="FRZ313" s="1956"/>
      <c r="FSA313" s="1956"/>
      <c r="FSB313" s="1956"/>
      <c r="FSC313" s="1956"/>
      <c r="FSD313" s="1956"/>
      <c r="FSE313" s="1956"/>
      <c r="FSF313" s="1956"/>
      <c r="FSG313" s="1956"/>
      <c r="FSH313" s="1956"/>
      <c r="FSI313" s="1956"/>
      <c r="FSJ313" s="1956"/>
      <c r="FSK313" s="1956"/>
      <c r="FSL313" s="1956"/>
      <c r="FSM313" s="1956"/>
      <c r="FSN313" s="1956"/>
      <c r="FSO313" s="1956"/>
      <c r="FSP313" s="1956"/>
      <c r="FSQ313" s="1956"/>
      <c r="FSR313" s="1956"/>
      <c r="FSS313" s="1956"/>
      <c r="FST313" s="1956"/>
      <c r="FSU313" s="1956"/>
      <c r="FSV313" s="1956"/>
      <c r="FSW313" s="1956"/>
      <c r="FSX313" s="1956"/>
      <c r="FSY313" s="1956"/>
      <c r="FSZ313" s="1956"/>
      <c r="FTA313" s="1956"/>
      <c r="FTB313" s="1956"/>
      <c r="FTC313" s="1956"/>
      <c r="FTD313" s="1956"/>
      <c r="FTE313" s="1956"/>
      <c r="FTF313" s="1956"/>
      <c r="FTG313" s="1956"/>
      <c r="FTH313" s="1956"/>
      <c r="FTI313" s="1956"/>
      <c r="FTJ313" s="1956"/>
      <c r="FTK313" s="1956"/>
      <c r="FTL313" s="1956"/>
      <c r="FTM313" s="1956"/>
      <c r="FTN313" s="1956"/>
      <c r="FTO313" s="1956"/>
      <c r="FTP313" s="1956"/>
      <c r="FTQ313" s="1956"/>
      <c r="FTR313" s="1956"/>
      <c r="FTS313" s="1956"/>
      <c r="FTT313" s="1956"/>
      <c r="FTU313" s="1956"/>
      <c r="FTV313" s="1956"/>
      <c r="FTW313" s="1956"/>
      <c r="FTX313" s="1956"/>
      <c r="FTY313" s="1956"/>
      <c r="FTZ313" s="1956"/>
      <c r="FUA313" s="1956"/>
      <c r="FUB313" s="1956"/>
      <c r="FUC313" s="1956"/>
      <c r="FUD313" s="1956"/>
      <c r="FUE313" s="1956"/>
      <c r="FUF313" s="1956"/>
      <c r="FUG313" s="1956"/>
      <c r="FUH313" s="1956"/>
      <c r="FUI313" s="1956"/>
      <c r="FUJ313" s="1956"/>
      <c r="FUK313" s="1956"/>
      <c r="FUL313" s="1956"/>
      <c r="FUM313" s="1956"/>
      <c r="FUN313" s="1956"/>
      <c r="FUO313" s="1956"/>
      <c r="FUP313" s="1956"/>
      <c r="FUQ313" s="1956"/>
      <c r="FUR313" s="1956"/>
      <c r="FUS313" s="1956"/>
      <c r="FUT313" s="1956"/>
      <c r="FUU313" s="1956"/>
      <c r="FUV313" s="1956"/>
      <c r="FUW313" s="1956"/>
      <c r="FUX313" s="1956"/>
      <c r="FUY313" s="1956"/>
      <c r="FUZ313" s="1956"/>
      <c r="FVA313" s="1956"/>
      <c r="FVB313" s="1956"/>
      <c r="FVC313" s="1956"/>
      <c r="FVD313" s="1956"/>
      <c r="FVE313" s="1956"/>
      <c r="FVF313" s="1956"/>
      <c r="FVG313" s="1956"/>
      <c r="FVH313" s="1956"/>
      <c r="FVI313" s="1956"/>
      <c r="FVJ313" s="1956"/>
      <c r="FVK313" s="1956"/>
      <c r="FVL313" s="1956"/>
      <c r="FVM313" s="1956"/>
      <c r="FVN313" s="1956"/>
      <c r="FVO313" s="1956"/>
      <c r="FVP313" s="1956"/>
      <c r="FVQ313" s="1956"/>
      <c r="FVR313" s="1956"/>
      <c r="FVS313" s="1956"/>
      <c r="FVT313" s="1956"/>
      <c r="FVU313" s="1956"/>
      <c r="FVV313" s="1956"/>
      <c r="FVW313" s="1956"/>
      <c r="FVX313" s="1956"/>
      <c r="FVY313" s="1956"/>
      <c r="FVZ313" s="1956"/>
      <c r="FWA313" s="1956"/>
      <c r="FWB313" s="1956"/>
      <c r="FWC313" s="1956"/>
      <c r="FWD313" s="1956"/>
      <c r="FWE313" s="1956"/>
      <c r="FWF313" s="1956"/>
      <c r="FWG313" s="1956"/>
      <c r="FWH313" s="1956"/>
      <c r="FWI313" s="1956"/>
      <c r="FWJ313" s="1956"/>
      <c r="FWK313" s="1956"/>
      <c r="FWL313" s="1956"/>
      <c r="FWM313" s="1956"/>
      <c r="FWN313" s="1956"/>
      <c r="FWO313" s="1956"/>
      <c r="FWP313" s="1956"/>
      <c r="FWQ313" s="1956"/>
      <c r="FWR313" s="1956"/>
      <c r="FWS313" s="1956"/>
      <c r="FWT313" s="1956"/>
      <c r="FWU313" s="1956"/>
      <c r="FWV313" s="1956"/>
      <c r="FWW313" s="1956"/>
      <c r="FWX313" s="1956"/>
      <c r="FWY313" s="1956"/>
      <c r="FWZ313" s="1956"/>
      <c r="FXA313" s="1956"/>
      <c r="FXB313" s="1956"/>
      <c r="FXC313" s="1956"/>
      <c r="FXD313" s="1956"/>
      <c r="FXE313" s="1956"/>
      <c r="FXF313" s="1956"/>
      <c r="FXG313" s="1956"/>
      <c r="FXH313" s="1956"/>
      <c r="FXI313" s="1956"/>
      <c r="FXJ313" s="1956"/>
      <c r="FXK313" s="1956"/>
      <c r="FXL313" s="1956"/>
      <c r="FXM313" s="1956"/>
      <c r="FXN313" s="1956"/>
      <c r="FXO313" s="1956"/>
      <c r="FXP313" s="1956"/>
      <c r="FXQ313" s="1956"/>
      <c r="FXR313" s="1956"/>
      <c r="FXS313" s="1956"/>
      <c r="FXT313" s="1956"/>
      <c r="FXU313" s="1956"/>
      <c r="FXV313" s="1956"/>
      <c r="FXW313" s="1956"/>
      <c r="FXX313" s="1956"/>
      <c r="FXY313" s="1956"/>
      <c r="FXZ313" s="1956"/>
      <c r="FYA313" s="1956"/>
      <c r="FYB313" s="1956"/>
      <c r="FYC313" s="1956"/>
      <c r="FYD313" s="1956"/>
      <c r="FYE313" s="1956"/>
      <c r="FYF313" s="1956"/>
      <c r="FYG313" s="1956"/>
      <c r="FYH313" s="1956"/>
      <c r="FYI313" s="1956"/>
      <c r="FYJ313" s="1956"/>
      <c r="FYK313" s="1956"/>
      <c r="FYL313" s="1956"/>
      <c r="FYM313" s="1956"/>
      <c r="FYN313" s="1956"/>
      <c r="FYO313" s="1956"/>
      <c r="FYP313" s="1956"/>
      <c r="FYQ313" s="1956"/>
      <c r="FYR313" s="1956"/>
      <c r="FYS313" s="1956"/>
      <c r="FYT313" s="1956"/>
      <c r="FYU313" s="1956"/>
      <c r="FYV313" s="1956"/>
      <c r="FYW313" s="1956"/>
      <c r="FYX313" s="1956"/>
      <c r="FYY313" s="1956"/>
      <c r="FYZ313" s="1956"/>
      <c r="FZA313" s="1956"/>
      <c r="FZB313" s="1956"/>
      <c r="FZC313" s="1956"/>
      <c r="FZD313" s="1956"/>
      <c r="FZE313" s="1956"/>
      <c r="FZF313" s="1956"/>
      <c r="FZG313" s="1956"/>
      <c r="FZH313" s="1956"/>
      <c r="FZI313" s="1956"/>
      <c r="FZJ313" s="1956"/>
      <c r="FZK313" s="1956"/>
      <c r="FZL313" s="1956"/>
      <c r="FZM313" s="1956"/>
      <c r="FZN313" s="1956"/>
      <c r="FZO313" s="1956"/>
      <c r="FZP313" s="1956"/>
      <c r="FZQ313" s="1956"/>
      <c r="FZR313" s="1956"/>
      <c r="FZS313" s="1956"/>
      <c r="FZT313" s="1956"/>
      <c r="FZU313" s="1956"/>
      <c r="FZV313" s="1956"/>
      <c r="FZW313" s="1956"/>
      <c r="FZX313" s="1956"/>
      <c r="FZY313" s="1956"/>
      <c r="FZZ313" s="1956"/>
      <c r="GAA313" s="1956"/>
      <c r="GAB313" s="1956"/>
      <c r="GAC313" s="1956"/>
      <c r="GAD313" s="1956"/>
      <c r="GAE313" s="1956"/>
      <c r="GAF313" s="1956"/>
      <c r="GAG313" s="1956"/>
      <c r="GAH313" s="1956"/>
      <c r="GAI313" s="1956"/>
      <c r="GAJ313" s="1956"/>
      <c r="GAK313" s="1956"/>
      <c r="GAL313" s="1956"/>
      <c r="GAM313" s="1956"/>
      <c r="GAN313" s="1956"/>
      <c r="GAO313" s="1956"/>
      <c r="GAP313" s="1956"/>
      <c r="GAQ313" s="1956"/>
      <c r="GAR313" s="1956"/>
      <c r="GAS313" s="1956"/>
      <c r="GAT313" s="1956"/>
      <c r="GAU313" s="1956"/>
      <c r="GAV313" s="1956"/>
      <c r="GAW313" s="1956"/>
      <c r="GAX313" s="1956"/>
      <c r="GAY313" s="1956"/>
      <c r="GAZ313" s="1956"/>
      <c r="GBA313" s="1956"/>
      <c r="GBB313" s="1956"/>
      <c r="GBC313" s="1956"/>
      <c r="GBD313" s="1956"/>
      <c r="GBE313" s="1956"/>
      <c r="GBF313" s="1956"/>
      <c r="GBG313" s="1956"/>
      <c r="GBH313" s="1956"/>
      <c r="GBI313" s="1956"/>
      <c r="GBJ313" s="1956"/>
      <c r="GBK313" s="1956"/>
      <c r="GBL313" s="1956"/>
      <c r="GBM313" s="1956"/>
      <c r="GBN313" s="1956"/>
      <c r="GBO313" s="1956"/>
      <c r="GBP313" s="1956"/>
      <c r="GBQ313" s="1956"/>
      <c r="GBR313" s="1956"/>
      <c r="GBS313" s="1956"/>
      <c r="GBT313" s="1956"/>
      <c r="GBU313" s="1956"/>
      <c r="GBV313" s="1956"/>
      <c r="GBW313" s="1956"/>
      <c r="GBX313" s="1956"/>
      <c r="GBY313" s="1956"/>
      <c r="GBZ313" s="1956"/>
      <c r="GCA313" s="1956"/>
      <c r="GCB313" s="1956"/>
      <c r="GCC313" s="1956"/>
      <c r="GCD313" s="1956"/>
      <c r="GCE313" s="1956"/>
      <c r="GCF313" s="1956"/>
      <c r="GCG313" s="1956"/>
      <c r="GCH313" s="1956"/>
      <c r="GCI313" s="1956"/>
      <c r="GCJ313" s="1956"/>
      <c r="GCK313" s="1956"/>
      <c r="GCL313" s="1956"/>
      <c r="GCM313" s="1956"/>
      <c r="GCN313" s="1956"/>
      <c r="GCO313" s="1956"/>
      <c r="GCP313" s="1956"/>
      <c r="GCQ313" s="1956"/>
      <c r="GCR313" s="1956"/>
      <c r="GCS313" s="1956"/>
      <c r="GCT313" s="1956"/>
      <c r="GCU313" s="1956"/>
      <c r="GCV313" s="1956"/>
      <c r="GCW313" s="1956"/>
      <c r="GCX313" s="1956"/>
      <c r="GCY313" s="1956"/>
      <c r="GCZ313" s="1956"/>
      <c r="GDA313" s="1956"/>
      <c r="GDB313" s="1956"/>
      <c r="GDC313" s="1956"/>
      <c r="GDD313" s="1956"/>
      <c r="GDE313" s="1956"/>
      <c r="GDF313" s="1956"/>
      <c r="GDG313" s="1956"/>
      <c r="GDH313" s="1956"/>
      <c r="GDI313" s="1956"/>
      <c r="GDJ313" s="1956"/>
      <c r="GDK313" s="1956"/>
      <c r="GDL313" s="1956"/>
      <c r="GDM313" s="1956"/>
      <c r="GDN313" s="1956"/>
      <c r="GDO313" s="1956"/>
      <c r="GDP313" s="1956"/>
      <c r="GDQ313" s="1956"/>
      <c r="GDR313" s="1956"/>
      <c r="GDS313" s="1956"/>
      <c r="GDT313" s="1956"/>
      <c r="GDU313" s="1956"/>
      <c r="GDV313" s="1956"/>
      <c r="GDW313" s="1956"/>
      <c r="GDX313" s="1956"/>
      <c r="GDY313" s="1956"/>
      <c r="GDZ313" s="1956"/>
      <c r="GEA313" s="1956"/>
      <c r="GEB313" s="1956"/>
      <c r="GEC313" s="1956"/>
      <c r="GED313" s="1956"/>
      <c r="GEE313" s="1956"/>
      <c r="GEF313" s="1956"/>
      <c r="GEG313" s="1956"/>
      <c r="GEH313" s="1956"/>
      <c r="GEI313" s="1956"/>
      <c r="GEJ313" s="1956"/>
      <c r="GEK313" s="1956"/>
      <c r="GEL313" s="1956"/>
      <c r="GEM313" s="1956"/>
      <c r="GEN313" s="1956"/>
      <c r="GEO313" s="1956"/>
      <c r="GEP313" s="1956"/>
      <c r="GEQ313" s="1956"/>
      <c r="GER313" s="1956"/>
      <c r="GES313" s="1956"/>
      <c r="GET313" s="1956"/>
      <c r="GEU313" s="1956"/>
      <c r="GEV313" s="1956"/>
      <c r="GEW313" s="1956"/>
      <c r="GEX313" s="1956"/>
      <c r="GEY313" s="1956"/>
      <c r="GEZ313" s="1956"/>
      <c r="GFA313" s="1956"/>
      <c r="GFB313" s="1956"/>
      <c r="GFC313" s="1956"/>
      <c r="GFD313" s="1956"/>
      <c r="GFE313" s="1956"/>
      <c r="GFF313" s="1956"/>
      <c r="GFG313" s="1956"/>
      <c r="GFH313" s="1956"/>
      <c r="GFI313" s="1956"/>
      <c r="GFJ313" s="1956"/>
      <c r="GFK313" s="1956"/>
      <c r="GFL313" s="1956"/>
      <c r="GFM313" s="1956"/>
      <c r="GFN313" s="1956"/>
      <c r="GFO313" s="1956"/>
      <c r="GFP313" s="1956"/>
      <c r="GFQ313" s="1956"/>
      <c r="GFR313" s="1956"/>
      <c r="GFS313" s="1956"/>
      <c r="GFT313" s="1956"/>
      <c r="GFU313" s="1956"/>
      <c r="GFV313" s="1956"/>
      <c r="GFW313" s="1956"/>
      <c r="GFX313" s="1956"/>
      <c r="GFY313" s="1956"/>
      <c r="GFZ313" s="1956"/>
      <c r="GGA313" s="1956"/>
      <c r="GGB313" s="1956"/>
      <c r="GGC313" s="1956"/>
      <c r="GGD313" s="1956"/>
      <c r="GGE313" s="1956"/>
      <c r="GGF313" s="1956"/>
      <c r="GGG313" s="1956"/>
      <c r="GGH313" s="1956"/>
      <c r="GGI313" s="1956"/>
      <c r="GGJ313" s="1956"/>
      <c r="GGK313" s="1956"/>
      <c r="GGL313" s="1956"/>
      <c r="GGM313" s="1956"/>
      <c r="GGN313" s="1956"/>
      <c r="GGO313" s="1956"/>
      <c r="GGP313" s="1956"/>
      <c r="GGQ313" s="1956"/>
      <c r="GGR313" s="1956"/>
      <c r="GGS313" s="1956"/>
      <c r="GGT313" s="1956"/>
      <c r="GGU313" s="1956"/>
      <c r="GGV313" s="1956"/>
      <c r="GGW313" s="1956"/>
      <c r="GGX313" s="1956"/>
      <c r="GGY313" s="1956"/>
      <c r="GGZ313" s="1956"/>
      <c r="GHA313" s="1956"/>
      <c r="GHB313" s="1956"/>
      <c r="GHC313" s="1956"/>
      <c r="GHD313" s="1956"/>
      <c r="GHE313" s="1956"/>
      <c r="GHF313" s="1956"/>
      <c r="GHG313" s="1956"/>
      <c r="GHH313" s="1956"/>
      <c r="GHI313" s="1956"/>
      <c r="GHJ313" s="1956"/>
      <c r="GHK313" s="1956"/>
      <c r="GHL313" s="1956"/>
      <c r="GHM313" s="1956"/>
      <c r="GHN313" s="1956"/>
      <c r="GHO313" s="1956"/>
      <c r="GHP313" s="1956"/>
      <c r="GHQ313" s="1956"/>
      <c r="GHR313" s="1956"/>
      <c r="GHS313" s="1956"/>
      <c r="GHT313" s="1956"/>
      <c r="GHU313" s="1956"/>
      <c r="GHV313" s="1956"/>
      <c r="GHW313" s="1956"/>
      <c r="GHX313" s="1956"/>
      <c r="GHY313" s="1956"/>
      <c r="GHZ313" s="1956"/>
      <c r="GIA313" s="1956"/>
      <c r="GIB313" s="1956"/>
      <c r="GIC313" s="1956"/>
      <c r="GID313" s="1956"/>
      <c r="GIE313" s="1956"/>
      <c r="GIF313" s="1956"/>
      <c r="GIG313" s="1956"/>
      <c r="GIH313" s="1956"/>
      <c r="GII313" s="1956"/>
      <c r="GIJ313" s="1956"/>
      <c r="GIK313" s="1956"/>
      <c r="GIL313" s="1956"/>
      <c r="GIM313" s="1956"/>
      <c r="GIN313" s="1956"/>
      <c r="GIO313" s="1956"/>
      <c r="GIP313" s="1956"/>
      <c r="GIQ313" s="1956"/>
      <c r="GIR313" s="1956"/>
      <c r="GIS313" s="1956"/>
      <c r="GIT313" s="1956"/>
      <c r="GIU313" s="1956"/>
      <c r="GIV313" s="1956"/>
      <c r="GIW313" s="1956"/>
      <c r="GIX313" s="1956"/>
      <c r="GIY313" s="1956"/>
      <c r="GIZ313" s="1956"/>
      <c r="GJA313" s="1956"/>
      <c r="GJB313" s="1956"/>
      <c r="GJC313" s="1956"/>
      <c r="GJD313" s="1956"/>
      <c r="GJE313" s="1956"/>
      <c r="GJF313" s="1956"/>
      <c r="GJG313" s="1956"/>
      <c r="GJH313" s="1956"/>
      <c r="GJI313" s="1956"/>
      <c r="GJJ313" s="1956"/>
      <c r="GJK313" s="1956"/>
      <c r="GJL313" s="1956"/>
      <c r="GJM313" s="1956"/>
      <c r="GJN313" s="1956"/>
      <c r="GJO313" s="1956"/>
      <c r="GJP313" s="1956"/>
      <c r="GJQ313" s="1956"/>
      <c r="GJR313" s="1956"/>
      <c r="GJS313" s="1956"/>
      <c r="GJT313" s="1956"/>
      <c r="GJU313" s="1956"/>
      <c r="GJV313" s="1956"/>
      <c r="GJW313" s="1956"/>
      <c r="GJX313" s="1956"/>
      <c r="GJY313" s="1956"/>
      <c r="GJZ313" s="1956"/>
      <c r="GKA313" s="1956"/>
      <c r="GKB313" s="1956"/>
      <c r="GKC313" s="1956"/>
      <c r="GKD313" s="1956"/>
      <c r="GKE313" s="1956"/>
      <c r="GKF313" s="1956"/>
      <c r="GKG313" s="1956"/>
      <c r="GKH313" s="1956"/>
      <c r="GKI313" s="1956"/>
      <c r="GKJ313" s="1956"/>
      <c r="GKK313" s="1956"/>
      <c r="GKL313" s="1956"/>
      <c r="GKM313" s="1956"/>
      <c r="GKN313" s="1956"/>
      <c r="GKO313" s="1956"/>
      <c r="GKP313" s="1956"/>
      <c r="GKQ313" s="1956"/>
      <c r="GKR313" s="1956"/>
      <c r="GKS313" s="1956"/>
      <c r="GKT313" s="1956"/>
      <c r="GKU313" s="1956"/>
      <c r="GKV313" s="1956"/>
      <c r="GKW313" s="1956"/>
      <c r="GKX313" s="1956"/>
      <c r="GKY313" s="1956"/>
      <c r="GKZ313" s="1956"/>
      <c r="GLA313" s="1956"/>
      <c r="GLB313" s="1956"/>
      <c r="GLC313" s="1956"/>
      <c r="GLD313" s="1956"/>
      <c r="GLE313" s="1956"/>
      <c r="GLF313" s="1956"/>
      <c r="GLG313" s="1956"/>
      <c r="GLH313" s="1956"/>
      <c r="GLI313" s="1956"/>
      <c r="GLJ313" s="1956"/>
      <c r="GLK313" s="1956"/>
      <c r="GLL313" s="1956"/>
      <c r="GLM313" s="1956"/>
      <c r="GLN313" s="1956"/>
      <c r="GLO313" s="1956"/>
      <c r="GLP313" s="1956"/>
      <c r="GLQ313" s="1956"/>
      <c r="GLR313" s="1956"/>
      <c r="GLS313" s="1956"/>
      <c r="GLT313" s="1956"/>
      <c r="GLU313" s="1956"/>
      <c r="GLV313" s="1956"/>
      <c r="GLW313" s="1956"/>
      <c r="GLX313" s="1956"/>
      <c r="GLY313" s="1956"/>
      <c r="GLZ313" s="1956"/>
      <c r="GMA313" s="1956"/>
      <c r="GMB313" s="1956"/>
      <c r="GMC313" s="1956"/>
      <c r="GMD313" s="1956"/>
      <c r="GME313" s="1956"/>
      <c r="GMF313" s="1956"/>
      <c r="GMG313" s="1956"/>
      <c r="GMH313" s="1956"/>
      <c r="GMI313" s="1956"/>
      <c r="GMJ313" s="1956"/>
      <c r="GMK313" s="1956"/>
      <c r="GML313" s="1956"/>
      <c r="GMM313" s="1956"/>
      <c r="GMN313" s="1956"/>
      <c r="GMO313" s="1956"/>
      <c r="GMP313" s="1956"/>
      <c r="GMQ313" s="1956"/>
      <c r="GMR313" s="1956"/>
      <c r="GMS313" s="1956"/>
      <c r="GMT313" s="1956"/>
      <c r="GMU313" s="1956"/>
      <c r="GMV313" s="1956"/>
      <c r="GMW313" s="1956"/>
      <c r="GMX313" s="1956"/>
      <c r="GMY313" s="1956"/>
      <c r="GMZ313" s="1956"/>
      <c r="GNA313" s="1956"/>
      <c r="GNB313" s="1956"/>
      <c r="GNC313" s="1956"/>
      <c r="GND313" s="1956"/>
      <c r="GNE313" s="1956"/>
      <c r="GNF313" s="1956"/>
      <c r="GNG313" s="1956"/>
      <c r="GNH313" s="1956"/>
      <c r="GNI313" s="1956"/>
      <c r="GNJ313" s="1956"/>
      <c r="GNK313" s="1956"/>
      <c r="GNL313" s="1956"/>
      <c r="GNM313" s="1956"/>
      <c r="GNN313" s="1956"/>
      <c r="GNO313" s="1956"/>
      <c r="GNP313" s="1956"/>
      <c r="GNQ313" s="1956"/>
      <c r="GNR313" s="1956"/>
      <c r="GNS313" s="1956"/>
      <c r="GNT313" s="1956"/>
      <c r="GNU313" s="1956"/>
      <c r="GNV313" s="1956"/>
      <c r="GNW313" s="1956"/>
      <c r="GNX313" s="1956"/>
      <c r="GNY313" s="1956"/>
      <c r="GNZ313" s="1956"/>
      <c r="GOA313" s="1956"/>
      <c r="GOB313" s="1956"/>
      <c r="GOC313" s="1956"/>
      <c r="GOD313" s="1956"/>
      <c r="GOE313" s="1956"/>
      <c r="GOF313" s="1956"/>
      <c r="GOG313" s="1956"/>
      <c r="GOH313" s="1956"/>
      <c r="GOI313" s="1956"/>
      <c r="GOJ313" s="1956"/>
      <c r="GOK313" s="1956"/>
      <c r="GOL313" s="1956"/>
      <c r="GOM313" s="1956"/>
      <c r="GON313" s="1956"/>
      <c r="GOO313" s="1956"/>
      <c r="GOP313" s="1956"/>
      <c r="GOQ313" s="1956"/>
      <c r="GOR313" s="1956"/>
      <c r="GOS313" s="1956"/>
      <c r="GOT313" s="1956"/>
      <c r="GOU313" s="1956"/>
      <c r="GOV313" s="1956"/>
      <c r="GOW313" s="1956"/>
      <c r="GOX313" s="1956"/>
      <c r="GOY313" s="1956"/>
      <c r="GOZ313" s="1956"/>
      <c r="GPA313" s="1956"/>
      <c r="GPB313" s="1956"/>
      <c r="GPC313" s="1956"/>
      <c r="GPD313" s="1956"/>
      <c r="GPE313" s="1956"/>
      <c r="GPF313" s="1956"/>
      <c r="GPG313" s="1956"/>
      <c r="GPH313" s="1956"/>
      <c r="GPI313" s="1956"/>
      <c r="GPJ313" s="1956"/>
      <c r="GPK313" s="1956"/>
      <c r="GPL313" s="1956"/>
      <c r="GPM313" s="1956"/>
      <c r="GPN313" s="1956"/>
      <c r="GPO313" s="1956"/>
      <c r="GPP313" s="1956"/>
      <c r="GPQ313" s="1956"/>
      <c r="GPR313" s="1956"/>
      <c r="GPS313" s="1956"/>
      <c r="GPT313" s="1956"/>
      <c r="GPU313" s="1956"/>
      <c r="GPV313" s="1956"/>
      <c r="GPW313" s="1956"/>
      <c r="GPX313" s="1956"/>
      <c r="GPY313" s="1956"/>
      <c r="GPZ313" s="1956"/>
      <c r="GQA313" s="1956"/>
      <c r="GQB313" s="1956"/>
      <c r="GQC313" s="1956"/>
      <c r="GQD313" s="1956"/>
      <c r="GQE313" s="1956"/>
      <c r="GQF313" s="1956"/>
      <c r="GQG313" s="1956"/>
      <c r="GQH313" s="1956"/>
      <c r="GQI313" s="1956"/>
      <c r="GQJ313" s="1956"/>
      <c r="GQK313" s="1956"/>
      <c r="GQL313" s="1956"/>
      <c r="GQM313" s="1956"/>
      <c r="GQN313" s="1956"/>
      <c r="GQO313" s="1956"/>
      <c r="GQP313" s="1956"/>
      <c r="GQQ313" s="1956"/>
      <c r="GQR313" s="1956"/>
      <c r="GQS313" s="1956"/>
      <c r="GQT313" s="1956"/>
      <c r="GQU313" s="1956"/>
      <c r="GQV313" s="1956"/>
      <c r="GQW313" s="1956"/>
      <c r="GQX313" s="1956"/>
      <c r="GQY313" s="1956"/>
      <c r="GQZ313" s="1956"/>
      <c r="GRA313" s="1956"/>
      <c r="GRB313" s="1956"/>
      <c r="GRC313" s="1956"/>
      <c r="GRD313" s="1956"/>
      <c r="GRE313" s="1956"/>
      <c r="GRF313" s="1956"/>
      <c r="GRG313" s="1956"/>
      <c r="GRH313" s="1956"/>
      <c r="GRI313" s="1956"/>
      <c r="GRJ313" s="1956"/>
      <c r="GRK313" s="1956"/>
      <c r="GRL313" s="1956"/>
      <c r="GRM313" s="1956"/>
      <c r="GRN313" s="1956"/>
      <c r="GRO313" s="1956"/>
      <c r="GRP313" s="1956"/>
      <c r="GRQ313" s="1956"/>
      <c r="GRR313" s="1956"/>
      <c r="GRS313" s="1956"/>
      <c r="GRT313" s="1956"/>
      <c r="GRU313" s="1956"/>
      <c r="GRV313" s="1956"/>
      <c r="GRW313" s="1956"/>
      <c r="GRX313" s="1956"/>
      <c r="GRY313" s="1956"/>
      <c r="GRZ313" s="1956"/>
      <c r="GSA313" s="1956"/>
      <c r="GSB313" s="1956"/>
      <c r="GSC313" s="1956"/>
      <c r="GSD313" s="1956"/>
      <c r="GSE313" s="1956"/>
      <c r="GSF313" s="1956"/>
      <c r="GSG313" s="1956"/>
      <c r="GSH313" s="1956"/>
      <c r="GSI313" s="1956"/>
      <c r="GSJ313" s="1956"/>
      <c r="GSK313" s="1956"/>
      <c r="GSL313" s="1956"/>
      <c r="GSM313" s="1956"/>
      <c r="GSN313" s="1956"/>
      <c r="GSO313" s="1956"/>
      <c r="GSP313" s="1956"/>
      <c r="GSQ313" s="1956"/>
      <c r="GSR313" s="1956"/>
      <c r="GSS313" s="1956"/>
      <c r="GST313" s="1956"/>
      <c r="GSU313" s="1956"/>
      <c r="GSV313" s="1956"/>
      <c r="GSW313" s="1956"/>
      <c r="GSX313" s="1956"/>
      <c r="GSY313" s="1956"/>
      <c r="GSZ313" s="1956"/>
      <c r="GTA313" s="1956"/>
      <c r="GTB313" s="1956"/>
      <c r="GTC313" s="1956"/>
      <c r="GTD313" s="1956"/>
      <c r="GTE313" s="1956"/>
      <c r="GTF313" s="1956"/>
      <c r="GTG313" s="1956"/>
      <c r="GTH313" s="1956"/>
      <c r="GTI313" s="1956"/>
      <c r="GTJ313" s="1956"/>
      <c r="GTK313" s="1956"/>
      <c r="GTL313" s="1956"/>
      <c r="GTM313" s="1956"/>
      <c r="GTN313" s="1956"/>
      <c r="GTO313" s="1956"/>
      <c r="GTP313" s="1956"/>
      <c r="GTQ313" s="1956"/>
      <c r="GTR313" s="1956"/>
      <c r="GTS313" s="1956"/>
      <c r="GTT313" s="1956"/>
      <c r="GTU313" s="1956"/>
      <c r="GTV313" s="1956"/>
      <c r="GTW313" s="1956"/>
      <c r="GTX313" s="1956"/>
      <c r="GTY313" s="1956"/>
      <c r="GTZ313" s="1956"/>
      <c r="GUA313" s="1956"/>
      <c r="GUB313" s="1956"/>
      <c r="GUC313" s="1956"/>
      <c r="GUD313" s="1956"/>
      <c r="GUE313" s="1956"/>
      <c r="GUF313" s="1956"/>
      <c r="GUG313" s="1956"/>
      <c r="GUH313" s="1956"/>
      <c r="GUI313" s="1956"/>
      <c r="GUJ313" s="1956"/>
      <c r="GUK313" s="1956"/>
      <c r="GUL313" s="1956"/>
      <c r="GUM313" s="1956"/>
      <c r="GUN313" s="1956"/>
      <c r="GUO313" s="1956"/>
      <c r="GUP313" s="1956"/>
      <c r="GUQ313" s="1956"/>
      <c r="GUR313" s="1956"/>
      <c r="GUS313" s="1956"/>
      <c r="GUT313" s="1956"/>
      <c r="GUU313" s="1956"/>
      <c r="GUV313" s="1956"/>
      <c r="GUW313" s="1956"/>
      <c r="GUX313" s="1956"/>
      <c r="GUY313" s="1956"/>
      <c r="GUZ313" s="1956"/>
      <c r="GVA313" s="1956"/>
      <c r="GVB313" s="1956"/>
      <c r="GVC313" s="1956"/>
      <c r="GVD313" s="1956"/>
      <c r="GVE313" s="1956"/>
      <c r="GVF313" s="1956"/>
      <c r="GVG313" s="1956"/>
      <c r="GVH313" s="1956"/>
      <c r="GVI313" s="1956"/>
      <c r="GVJ313" s="1956"/>
      <c r="GVK313" s="1956"/>
      <c r="GVL313" s="1956"/>
      <c r="GVM313" s="1956"/>
      <c r="GVN313" s="1956"/>
      <c r="GVO313" s="1956"/>
      <c r="GVP313" s="1956"/>
      <c r="GVQ313" s="1956"/>
      <c r="GVR313" s="1956"/>
      <c r="GVS313" s="1956"/>
      <c r="GVT313" s="1956"/>
      <c r="GVU313" s="1956"/>
      <c r="GVV313" s="1956"/>
      <c r="GVW313" s="1956"/>
      <c r="GVX313" s="1956"/>
      <c r="GVY313" s="1956"/>
      <c r="GVZ313" s="1956"/>
      <c r="GWA313" s="1956"/>
      <c r="GWB313" s="1956"/>
      <c r="GWC313" s="1956"/>
      <c r="GWD313" s="1956"/>
      <c r="GWE313" s="1956"/>
      <c r="GWF313" s="1956"/>
      <c r="GWG313" s="1956"/>
      <c r="GWH313" s="1956"/>
      <c r="GWI313" s="1956"/>
      <c r="GWJ313" s="1956"/>
      <c r="GWK313" s="1956"/>
      <c r="GWL313" s="1956"/>
      <c r="GWM313" s="1956"/>
      <c r="GWN313" s="1956"/>
      <c r="GWO313" s="1956"/>
      <c r="GWP313" s="1956"/>
      <c r="GWQ313" s="1956"/>
      <c r="GWR313" s="1956"/>
      <c r="GWS313" s="1956"/>
      <c r="GWT313" s="1956"/>
      <c r="GWU313" s="1956"/>
      <c r="GWV313" s="1956"/>
      <c r="GWW313" s="1956"/>
      <c r="GWX313" s="1956"/>
      <c r="GWY313" s="1956"/>
      <c r="GWZ313" s="1956"/>
      <c r="GXA313" s="1956"/>
      <c r="GXB313" s="1956"/>
      <c r="GXC313" s="1956"/>
      <c r="GXD313" s="1956"/>
      <c r="GXE313" s="1956"/>
      <c r="GXF313" s="1956"/>
      <c r="GXG313" s="1956"/>
      <c r="GXH313" s="1956"/>
      <c r="GXI313" s="1956"/>
      <c r="GXJ313" s="1956"/>
      <c r="GXK313" s="1956"/>
      <c r="GXL313" s="1956"/>
      <c r="GXM313" s="1956"/>
      <c r="GXN313" s="1956"/>
      <c r="GXO313" s="1956"/>
      <c r="GXP313" s="1956"/>
      <c r="GXQ313" s="1956"/>
      <c r="GXR313" s="1956"/>
      <c r="GXS313" s="1956"/>
      <c r="GXT313" s="1956"/>
      <c r="GXU313" s="1956"/>
      <c r="GXV313" s="1956"/>
      <c r="GXW313" s="1956"/>
      <c r="GXX313" s="1956"/>
      <c r="GXY313" s="1956"/>
      <c r="GXZ313" s="1956"/>
      <c r="GYA313" s="1956"/>
      <c r="GYB313" s="1956"/>
      <c r="GYC313" s="1956"/>
      <c r="GYD313" s="1956"/>
      <c r="GYE313" s="1956"/>
      <c r="GYF313" s="1956"/>
      <c r="GYG313" s="1956"/>
      <c r="GYH313" s="1956"/>
      <c r="GYI313" s="1956"/>
      <c r="GYJ313" s="1956"/>
      <c r="GYK313" s="1956"/>
      <c r="GYL313" s="1956"/>
      <c r="GYM313" s="1956"/>
      <c r="GYN313" s="1956"/>
      <c r="GYO313" s="1956"/>
      <c r="GYP313" s="1956"/>
      <c r="GYQ313" s="1956"/>
      <c r="GYR313" s="1956"/>
      <c r="GYS313" s="1956"/>
      <c r="GYT313" s="1956"/>
      <c r="GYU313" s="1956"/>
      <c r="GYV313" s="1956"/>
      <c r="GYW313" s="1956"/>
      <c r="GYX313" s="1956"/>
      <c r="GYY313" s="1956"/>
      <c r="GYZ313" s="1956"/>
      <c r="GZA313" s="1956"/>
      <c r="GZB313" s="1956"/>
      <c r="GZC313" s="1956"/>
      <c r="GZD313" s="1956"/>
      <c r="GZE313" s="1956"/>
      <c r="GZF313" s="1956"/>
      <c r="GZG313" s="1956"/>
      <c r="GZH313" s="1956"/>
      <c r="GZI313" s="1956"/>
      <c r="GZJ313" s="1956"/>
      <c r="GZK313" s="1956"/>
      <c r="GZL313" s="1956"/>
      <c r="GZM313" s="1956"/>
      <c r="GZN313" s="1956"/>
      <c r="GZO313" s="1956"/>
      <c r="GZP313" s="1956"/>
      <c r="GZQ313" s="1956"/>
      <c r="GZR313" s="1956"/>
      <c r="GZS313" s="1956"/>
      <c r="GZT313" s="1956"/>
      <c r="GZU313" s="1956"/>
      <c r="GZV313" s="1956"/>
      <c r="GZW313" s="1956"/>
      <c r="GZX313" s="1956"/>
      <c r="GZY313" s="1956"/>
      <c r="GZZ313" s="1956"/>
      <c r="HAA313" s="1956"/>
      <c r="HAB313" s="1956"/>
      <c r="HAC313" s="1956"/>
      <c r="HAD313" s="1956"/>
      <c r="HAE313" s="1956"/>
      <c r="HAF313" s="1956"/>
      <c r="HAG313" s="1956"/>
      <c r="HAH313" s="1956"/>
      <c r="HAI313" s="1956"/>
      <c r="HAJ313" s="1956"/>
      <c r="HAK313" s="1956"/>
      <c r="HAL313" s="1956"/>
      <c r="HAM313" s="1956"/>
      <c r="HAN313" s="1956"/>
      <c r="HAO313" s="1956"/>
      <c r="HAP313" s="1956"/>
      <c r="HAQ313" s="1956"/>
      <c r="HAR313" s="1956"/>
      <c r="HAS313" s="1956"/>
      <c r="HAT313" s="1956"/>
      <c r="HAU313" s="1956"/>
      <c r="HAV313" s="1956"/>
      <c r="HAW313" s="1956"/>
      <c r="HAX313" s="1956"/>
      <c r="HAY313" s="1956"/>
      <c r="HAZ313" s="1956"/>
      <c r="HBA313" s="1956"/>
      <c r="HBB313" s="1956"/>
      <c r="HBC313" s="1956"/>
      <c r="HBD313" s="1956"/>
      <c r="HBE313" s="1956"/>
      <c r="HBF313" s="1956"/>
      <c r="HBG313" s="1956"/>
      <c r="HBH313" s="1956"/>
      <c r="HBI313" s="1956"/>
      <c r="HBJ313" s="1956"/>
      <c r="HBK313" s="1956"/>
      <c r="HBL313" s="1956"/>
      <c r="HBM313" s="1956"/>
      <c r="HBN313" s="1956"/>
      <c r="HBO313" s="1956"/>
      <c r="HBP313" s="1956"/>
      <c r="HBQ313" s="1956"/>
      <c r="HBR313" s="1956"/>
      <c r="HBS313" s="1956"/>
      <c r="HBT313" s="1956"/>
      <c r="HBU313" s="1956"/>
      <c r="HBV313" s="1956"/>
      <c r="HBW313" s="1956"/>
      <c r="HBX313" s="1956"/>
      <c r="HBY313" s="1956"/>
      <c r="HBZ313" s="1956"/>
      <c r="HCA313" s="1956"/>
      <c r="HCB313" s="1956"/>
      <c r="HCC313" s="1956"/>
      <c r="HCD313" s="1956"/>
      <c r="HCE313" s="1956"/>
      <c r="HCF313" s="1956"/>
      <c r="HCG313" s="1956"/>
      <c r="HCH313" s="1956"/>
      <c r="HCI313" s="1956"/>
      <c r="HCJ313" s="1956"/>
      <c r="HCK313" s="1956"/>
      <c r="HCL313" s="1956"/>
      <c r="HCM313" s="1956"/>
      <c r="HCN313" s="1956"/>
      <c r="HCO313" s="1956"/>
      <c r="HCP313" s="1956"/>
      <c r="HCQ313" s="1956"/>
      <c r="HCR313" s="1956"/>
      <c r="HCS313" s="1956"/>
      <c r="HCT313" s="1956"/>
      <c r="HCU313" s="1956"/>
      <c r="HCV313" s="1956"/>
      <c r="HCW313" s="1956"/>
      <c r="HCX313" s="1956"/>
      <c r="HCY313" s="1956"/>
      <c r="HCZ313" s="1956"/>
      <c r="HDA313" s="1956"/>
      <c r="HDB313" s="1956"/>
      <c r="HDC313" s="1956"/>
      <c r="HDD313" s="1956"/>
      <c r="HDE313" s="1956"/>
      <c r="HDF313" s="1956"/>
      <c r="HDG313" s="1956"/>
      <c r="HDH313" s="1956"/>
      <c r="HDI313" s="1956"/>
      <c r="HDJ313" s="1956"/>
      <c r="HDK313" s="1956"/>
      <c r="HDL313" s="1956"/>
      <c r="HDM313" s="1956"/>
      <c r="HDN313" s="1956"/>
      <c r="HDO313" s="1956"/>
      <c r="HDP313" s="1956"/>
      <c r="HDQ313" s="1956"/>
      <c r="HDR313" s="1956"/>
      <c r="HDS313" s="1956"/>
      <c r="HDT313" s="1956"/>
      <c r="HDU313" s="1956"/>
      <c r="HDV313" s="1956"/>
      <c r="HDW313" s="1956"/>
      <c r="HDX313" s="1956"/>
      <c r="HDY313" s="1956"/>
      <c r="HDZ313" s="1956"/>
      <c r="HEA313" s="1956"/>
      <c r="HEB313" s="1956"/>
      <c r="HEC313" s="1956"/>
      <c r="HED313" s="1956"/>
      <c r="HEE313" s="1956"/>
      <c r="HEF313" s="1956"/>
      <c r="HEG313" s="1956"/>
      <c r="HEH313" s="1956"/>
      <c r="HEI313" s="1956"/>
      <c r="HEJ313" s="1956"/>
      <c r="HEK313" s="1956"/>
      <c r="HEL313" s="1956"/>
      <c r="HEM313" s="1956"/>
      <c r="HEN313" s="1956"/>
      <c r="HEO313" s="1956"/>
      <c r="HEP313" s="1956"/>
      <c r="HEQ313" s="1956"/>
      <c r="HER313" s="1956"/>
      <c r="HES313" s="1956"/>
      <c r="HET313" s="1956"/>
      <c r="HEU313" s="1956"/>
      <c r="HEV313" s="1956"/>
      <c r="HEW313" s="1956"/>
      <c r="HEX313" s="1956"/>
      <c r="HEY313" s="1956"/>
      <c r="HEZ313" s="1956"/>
      <c r="HFA313" s="1956"/>
      <c r="HFB313" s="1956"/>
      <c r="HFC313" s="1956"/>
      <c r="HFD313" s="1956"/>
      <c r="HFE313" s="1956"/>
      <c r="HFF313" s="1956"/>
      <c r="HFG313" s="1956"/>
      <c r="HFH313" s="1956"/>
      <c r="HFI313" s="1956"/>
      <c r="HFJ313" s="1956"/>
      <c r="HFK313" s="1956"/>
      <c r="HFL313" s="1956"/>
      <c r="HFM313" s="1956"/>
      <c r="HFN313" s="1956"/>
      <c r="HFO313" s="1956"/>
      <c r="HFP313" s="1956"/>
      <c r="HFQ313" s="1956"/>
      <c r="HFR313" s="1956"/>
      <c r="HFS313" s="1956"/>
      <c r="HFT313" s="1956"/>
      <c r="HFU313" s="1956"/>
      <c r="HFV313" s="1956"/>
      <c r="HFW313" s="1956"/>
      <c r="HFX313" s="1956"/>
      <c r="HFY313" s="1956"/>
      <c r="HFZ313" s="1956"/>
      <c r="HGA313" s="1956"/>
      <c r="HGB313" s="1956"/>
      <c r="HGC313" s="1956"/>
      <c r="HGD313" s="1956"/>
      <c r="HGE313" s="1956"/>
      <c r="HGF313" s="1956"/>
      <c r="HGG313" s="1956"/>
      <c r="HGH313" s="1956"/>
      <c r="HGI313" s="1956"/>
      <c r="HGJ313" s="1956"/>
      <c r="HGK313" s="1956"/>
      <c r="HGL313" s="1956"/>
      <c r="HGM313" s="1956"/>
      <c r="HGN313" s="1956"/>
      <c r="HGO313" s="1956"/>
      <c r="HGP313" s="1956"/>
      <c r="HGQ313" s="1956"/>
      <c r="HGR313" s="1956"/>
      <c r="HGS313" s="1956"/>
      <c r="HGT313" s="1956"/>
      <c r="HGU313" s="1956"/>
      <c r="HGV313" s="1956"/>
      <c r="HGW313" s="1956"/>
      <c r="HGX313" s="1956"/>
      <c r="HGY313" s="1956"/>
      <c r="HGZ313" s="1956"/>
      <c r="HHA313" s="1956"/>
      <c r="HHB313" s="1956"/>
      <c r="HHC313" s="1956"/>
      <c r="HHD313" s="1956"/>
      <c r="HHE313" s="1956"/>
      <c r="HHF313" s="1956"/>
      <c r="HHG313" s="1956"/>
      <c r="HHH313" s="1956"/>
      <c r="HHI313" s="1956"/>
      <c r="HHJ313" s="1956"/>
      <c r="HHK313" s="1956"/>
      <c r="HHL313" s="1956"/>
      <c r="HHM313" s="1956"/>
      <c r="HHN313" s="1956"/>
      <c r="HHO313" s="1956"/>
      <c r="HHP313" s="1956"/>
      <c r="HHQ313" s="1956"/>
      <c r="HHR313" s="1956"/>
      <c r="HHS313" s="1956"/>
      <c r="HHT313" s="1956"/>
      <c r="HHU313" s="1956"/>
      <c r="HHV313" s="1956"/>
      <c r="HHW313" s="1956"/>
      <c r="HHX313" s="1956"/>
      <c r="HHY313" s="1956"/>
      <c r="HHZ313" s="1956"/>
      <c r="HIA313" s="1956"/>
      <c r="HIB313" s="1956"/>
      <c r="HIC313" s="1956"/>
      <c r="HID313" s="1956"/>
      <c r="HIE313" s="1956"/>
      <c r="HIF313" s="1956"/>
      <c r="HIG313" s="1956"/>
      <c r="HIH313" s="1956"/>
      <c r="HII313" s="1956"/>
      <c r="HIJ313" s="1956"/>
      <c r="HIK313" s="1956"/>
      <c r="HIL313" s="1956"/>
      <c r="HIM313" s="1956"/>
      <c r="HIN313" s="1956"/>
      <c r="HIO313" s="1956"/>
      <c r="HIP313" s="1956"/>
      <c r="HIQ313" s="1956"/>
      <c r="HIR313" s="1956"/>
      <c r="HIS313" s="1956"/>
      <c r="HIT313" s="1956"/>
      <c r="HIU313" s="1956"/>
      <c r="HIV313" s="1956"/>
      <c r="HIW313" s="1956"/>
      <c r="HIX313" s="1956"/>
      <c r="HIY313" s="1956"/>
      <c r="HIZ313" s="1956"/>
      <c r="HJA313" s="1956"/>
      <c r="HJB313" s="1956"/>
      <c r="HJC313" s="1956"/>
      <c r="HJD313" s="1956"/>
      <c r="HJE313" s="1956"/>
      <c r="HJF313" s="1956"/>
      <c r="HJG313" s="1956"/>
      <c r="HJH313" s="1956"/>
      <c r="HJI313" s="1956"/>
      <c r="HJJ313" s="1956"/>
      <c r="HJK313" s="1956"/>
      <c r="HJL313" s="1956"/>
      <c r="HJM313" s="1956"/>
      <c r="HJN313" s="1956"/>
      <c r="HJO313" s="1956"/>
      <c r="HJP313" s="1956"/>
      <c r="HJQ313" s="1956"/>
      <c r="HJR313" s="1956"/>
      <c r="HJS313" s="1956"/>
      <c r="HJT313" s="1956"/>
      <c r="HJU313" s="1956"/>
      <c r="HJV313" s="1956"/>
      <c r="HJW313" s="1956"/>
      <c r="HJX313" s="1956"/>
      <c r="HJY313" s="1956"/>
      <c r="HJZ313" s="1956"/>
      <c r="HKA313" s="1956"/>
      <c r="HKB313" s="1956"/>
      <c r="HKC313" s="1956"/>
      <c r="HKD313" s="1956"/>
      <c r="HKE313" s="1956"/>
      <c r="HKF313" s="1956"/>
      <c r="HKG313" s="1956"/>
      <c r="HKH313" s="1956"/>
      <c r="HKI313" s="1956"/>
      <c r="HKJ313" s="1956"/>
      <c r="HKK313" s="1956"/>
      <c r="HKL313" s="1956"/>
      <c r="HKM313" s="1956"/>
      <c r="HKN313" s="1956"/>
      <c r="HKO313" s="1956"/>
      <c r="HKP313" s="1956"/>
      <c r="HKQ313" s="1956"/>
      <c r="HKR313" s="1956"/>
      <c r="HKS313" s="1956"/>
      <c r="HKT313" s="1956"/>
      <c r="HKU313" s="1956"/>
      <c r="HKV313" s="1956"/>
      <c r="HKW313" s="1956"/>
      <c r="HKX313" s="1956"/>
      <c r="HKY313" s="1956"/>
      <c r="HKZ313" s="1956"/>
      <c r="HLA313" s="1956"/>
      <c r="HLB313" s="1956"/>
      <c r="HLC313" s="1956"/>
      <c r="HLD313" s="1956"/>
      <c r="HLE313" s="1956"/>
      <c r="HLF313" s="1956"/>
      <c r="HLG313" s="1956"/>
      <c r="HLH313" s="1956"/>
      <c r="HLI313" s="1956"/>
      <c r="HLJ313" s="1956"/>
      <c r="HLK313" s="1956"/>
      <c r="HLL313" s="1956"/>
      <c r="HLM313" s="1956"/>
      <c r="HLN313" s="1956"/>
      <c r="HLO313" s="1956"/>
      <c r="HLP313" s="1956"/>
      <c r="HLQ313" s="1956"/>
      <c r="HLR313" s="1956"/>
      <c r="HLS313" s="1956"/>
      <c r="HLT313" s="1956"/>
      <c r="HLU313" s="1956"/>
      <c r="HLV313" s="1956"/>
      <c r="HLW313" s="1956"/>
      <c r="HLX313" s="1956"/>
      <c r="HLY313" s="1956"/>
      <c r="HLZ313" s="1956"/>
      <c r="HMA313" s="1956"/>
      <c r="HMB313" s="1956"/>
      <c r="HMC313" s="1956"/>
      <c r="HMD313" s="1956"/>
      <c r="HME313" s="1956"/>
      <c r="HMF313" s="1956"/>
      <c r="HMG313" s="1956"/>
      <c r="HMH313" s="1956"/>
      <c r="HMI313" s="1956"/>
      <c r="HMJ313" s="1956"/>
      <c r="HMK313" s="1956"/>
      <c r="HML313" s="1956"/>
      <c r="HMM313" s="1956"/>
      <c r="HMN313" s="1956"/>
      <c r="HMO313" s="1956"/>
      <c r="HMP313" s="1956"/>
      <c r="HMQ313" s="1956"/>
      <c r="HMR313" s="1956"/>
      <c r="HMS313" s="1956"/>
      <c r="HMT313" s="1956"/>
      <c r="HMU313" s="1956"/>
      <c r="HMV313" s="1956"/>
      <c r="HMW313" s="1956"/>
      <c r="HMX313" s="1956"/>
      <c r="HMY313" s="1956"/>
      <c r="HMZ313" s="1956"/>
      <c r="HNA313" s="1956"/>
      <c r="HNB313" s="1956"/>
      <c r="HNC313" s="1956"/>
      <c r="HND313" s="1956"/>
      <c r="HNE313" s="1956"/>
      <c r="HNF313" s="1956"/>
      <c r="HNG313" s="1956"/>
      <c r="HNH313" s="1956"/>
      <c r="HNI313" s="1956"/>
      <c r="HNJ313" s="1956"/>
      <c r="HNK313" s="1956"/>
      <c r="HNL313" s="1956"/>
      <c r="HNM313" s="1956"/>
      <c r="HNN313" s="1956"/>
      <c r="HNO313" s="1956"/>
      <c r="HNP313" s="1956"/>
      <c r="HNQ313" s="1956"/>
      <c r="HNR313" s="1956"/>
      <c r="HNS313" s="1956"/>
      <c r="HNT313" s="1956"/>
      <c r="HNU313" s="1956"/>
      <c r="HNV313" s="1956"/>
      <c r="HNW313" s="1956"/>
      <c r="HNX313" s="1956"/>
      <c r="HNY313" s="1956"/>
      <c r="HNZ313" s="1956"/>
      <c r="HOA313" s="1956"/>
      <c r="HOB313" s="1956"/>
      <c r="HOC313" s="1956"/>
      <c r="HOD313" s="1956"/>
      <c r="HOE313" s="1956"/>
      <c r="HOF313" s="1956"/>
      <c r="HOG313" s="1956"/>
      <c r="HOH313" s="1956"/>
      <c r="HOI313" s="1956"/>
      <c r="HOJ313" s="1956"/>
      <c r="HOK313" s="1956"/>
      <c r="HOL313" s="1956"/>
      <c r="HOM313" s="1956"/>
      <c r="HON313" s="1956"/>
      <c r="HOO313" s="1956"/>
      <c r="HOP313" s="1956"/>
      <c r="HOQ313" s="1956"/>
      <c r="HOR313" s="1956"/>
      <c r="HOS313" s="1956"/>
      <c r="HOT313" s="1956"/>
      <c r="HOU313" s="1956"/>
      <c r="HOV313" s="1956"/>
      <c r="HOW313" s="1956"/>
      <c r="HOX313" s="1956"/>
      <c r="HOY313" s="1956"/>
      <c r="HOZ313" s="1956"/>
      <c r="HPA313" s="1956"/>
      <c r="HPB313" s="1956"/>
      <c r="HPC313" s="1956"/>
      <c r="HPD313" s="1956"/>
      <c r="HPE313" s="1956"/>
      <c r="HPF313" s="1956"/>
      <c r="HPG313" s="1956"/>
      <c r="HPH313" s="1956"/>
      <c r="HPI313" s="1956"/>
      <c r="HPJ313" s="1956"/>
      <c r="HPK313" s="1956"/>
      <c r="HPL313" s="1956"/>
      <c r="HPM313" s="1956"/>
      <c r="HPN313" s="1956"/>
      <c r="HPO313" s="1956"/>
      <c r="HPP313" s="1956"/>
      <c r="HPQ313" s="1956"/>
      <c r="HPR313" s="1956"/>
      <c r="HPS313" s="1956"/>
      <c r="HPT313" s="1956"/>
      <c r="HPU313" s="1956"/>
      <c r="HPV313" s="1956"/>
      <c r="HPW313" s="1956"/>
      <c r="HPX313" s="1956"/>
      <c r="HPY313" s="1956"/>
      <c r="HPZ313" s="1956"/>
      <c r="HQA313" s="1956"/>
      <c r="HQB313" s="1956"/>
      <c r="HQC313" s="1956"/>
      <c r="HQD313" s="1956"/>
      <c r="HQE313" s="1956"/>
      <c r="HQF313" s="1956"/>
      <c r="HQG313" s="1956"/>
      <c r="HQH313" s="1956"/>
      <c r="HQI313" s="1956"/>
      <c r="HQJ313" s="1956"/>
      <c r="HQK313" s="1956"/>
      <c r="HQL313" s="1956"/>
      <c r="HQM313" s="1956"/>
      <c r="HQN313" s="1956"/>
      <c r="HQO313" s="1956"/>
      <c r="HQP313" s="1956"/>
      <c r="HQQ313" s="1956"/>
      <c r="HQR313" s="1956"/>
      <c r="HQS313" s="1956"/>
      <c r="HQT313" s="1956"/>
      <c r="HQU313" s="1956"/>
      <c r="HQV313" s="1956"/>
      <c r="HQW313" s="1956"/>
      <c r="HQX313" s="1956"/>
      <c r="HQY313" s="1956"/>
      <c r="HQZ313" s="1956"/>
      <c r="HRA313" s="1956"/>
      <c r="HRB313" s="1956"/>
      <c r="HRC313" s="1956"/>
      <c r="HRD313" s="1956"/>
      <c r="HRE313" s="1956"/>
      <c r="HRF313" s="1956"/>
      <c r="HRG313" s="1956"/>
      <c r="HRH313" s="1956"/>
      <c r="HRI313" s="1956"/>
      <c r="HRJ313" s="1956"/>
      <c r="HRK313" s="1956"/>
      <c r="HRL313" s="1956"/>
      <c r="HRM313" s="1956"/>
      <c r="HRN313" s="1956"/>
      <c r="HRO313" s="1956"/>
      <c r="HRP313" s="1956"/>
      <c r="HRQ313" s="1956"/>
      <c r="HRR313" s="1956"/>
      <c r="HRS313" s="1956"/>
      <c r="HRT313" s="1956"/>
      <c r="HRU313" s="1956"/>
      <c r="HRV313" s="1956"/>
      <c r="HRW313" s="1956"/>
      <c r="HRX313" s="1956"/>
      <c r="HRY313" s="1956"/>
      <c r="HRZ313" s="1956"/>
      <c r="HSA313" s="1956"/>
      <c r="HSB313" s="1956"/>
      <c r="HSC313" s="1956"/>
      <c r="HSD313" s="1956"/>
      <c r="HSE313" s="1956"/>
      <c r="HSF313" s="1956"/>
      <c r="HSG313" s="1956"/>
      <c r="HSH313" s="1956"/>
      <c r="HSI313" s="1956"/>
      <c r="HSJ313" s="1956"/>
      <c r="HSK313" s="1956"/>
      <c r="HSL313" s="1956"/>
      <c r="HSM313" s="1956"/>
      <c r="HSN313" s="1956"/>
      <c r="HSO313" s="1956"/>
      <c r="HSP313" s="1956"/>
      <c r="HSQ313" s="1956"/>
      <c r="HSR313" s="1956"/>
      <c r="HSS313" s="1956"/>
      <c r="HST313" s="1956"/>
      <c r="HSU313" s="1956"/>
      <c r="HSV313" s="1956"/>
      <c r="HSW313" s="1956"/>
      <c r="HSX313" s="1956"/>
      <c r="HSY313" s="1956"/>
      <c r="HSZ313" s="1956"/>
      <c r="HTA313" s="1956"/>
      <c r="HTB313" s="1956"/>
      <c r="HTC313" s="1956"/>
      <c r="HTD313" s="1956"/>
      <c r="HTE313" s="1956"/>
      <c r="HTF313" s="1956"/>
      <c r="HTG313" s="1956"/>
      <c r="HTH313" s="1956"/>
      <c r="HTI313" s="1956"/>
      <c r="HTJ313" s="1956"/>
      <c r="HTK313" s="1956"/>
      <c r="HTL313" s="1956"/>
      <c r="HTM313" s="1956"/>
      <c r="HTN313" s="1956"/>
      <c r="HTO313" s="1956"/>
      <c r="HTP313" s="1956"/>
      <c r="HTQ313" s="1956"/>
      <c r="HTR313" s="1956"/>
      <c r="HTS313" s="1956"/>
      <c r="HTT313" s="1956"/>
      <c r="HTU313" s="1956"/>
      <c r="HTV313" s="1956"/>
      <c r="HTW313" s="1956"/>
      <c r="HTX313" s="1956"/>
      <c r="HTY313" s="1956"/>
      <c r="HTZ313" s="1956"/>
      <c r="HUA313" s="1956"/>
      <c r="HUB313" s="1956"/>
      <c r="HUC313" s="1956"/>
      <c r="HUD313" s="1956"/>
      <c r="HUE313" s="1956"/>
      <c r="HUF313" s="1956"/>
      <c r="HUG313" s="1956"/>
      <c r="HUH313" s="1956"/>
      <c r="HUI313" s="1956"/>
      <c r="HUJ313" s="1956"/>
      <c r="HUK313" s="1956"/>
      <c r="HUL313" s="1956"/>
      <c r="HUM313" s="1956"/>
      <c r="HUN313" s="1956"/>
      <c r="HUO313" s="1956"/>
      <c r="HUP313" s="1956"/>
      <c r="HUQ313" s="1956"/>
      <c r="HUR313" s="1956"/>
      <c r="HUS313" s="1956"/>
      <c r="HUT313" s="1956"/>
      <c r="HUU313" s="1956"/>
      <c r="HUV313" s="1956"/>
      <c r="HUW313" s="1956"/>
      <c r="HUX313" s="1956"/>
      <c r="HUY313" s="1956"/>
      <c r="HUZ313" s="1956"/>
      <c r="HVA313" s="1956"/>
      <c r="HVB313" s="1956"/>
      <c r="HVC313" s="1956"/>
      <c r="HVD313" s="1956"/>
      <c r="HVE313" s="1956"/>
      <c r="HVF313" s="1956"/>
      <c r="HVG313" s="1956"/>
      <c r="HVH313" s="1956"/>
      <c r="HVI313" s="1956"/>
      <c r="HVJ313" s="1956"/>
      <c r="HVK313" s="1956"/>
      <c r="HVL313" s="1956"/>
      <c r="HVM313" s="1956"/>
      <c r="HVN313" s="1956"/>
      <c r="HVO313" s="1956"/>
      <c r="HVP313" s="1956"/>
      <c r="HVQ313" s="1956"/>
      <c r="HVR313" s="1956"/>
      <c r="HVS313" s="1956"/>
      <c r="HVT313" s="1956"/>
      <c r="HVU313" s="1956"/>
      <c r="HVV313" s="1956"/>
      <c r="HVW313" s="1956"/>
      <c r="HVX313" s="1956"/>
      <c r="HVY313" s="1956"/>
      <c r="HVZ313" s="1956"/>
      <c r="HWA313" s="1956"/>
      <c r="HWB313" s="1956"/>
      <c r="HWC313" s="1956"/>
      <c r="HWD313" s="1956"/>
      <c r="HWE313" s="1956"/>
      <c r="HWF313" s="1956"/>
      <c r="HWG313" s="1956"/>
      <c r="HWH313" s="1956"/>
      <c r="HWI313" s="1956"/>
      <c r="HWJ313" s="1956"/>
      <c r="HWK313" s="1956"/>
      <c r="HWL313" s="1956"/>
      <c r="HWM313" s="1956"/>
      <c r="HWN313" s="1956"/>
      <c r="HWO313" s="1956"/>
      <c r="HWP313" s="1956"/>
      <c r="HWQ313" s="1956"/>
      <c r="HWR313" s="1956"/>
      <c r="HWS313" s="1956"/>
      <c r="HWT313" s="1956"/>
      <c r="HWU313" s="1956"/>
      <c r="HWV313" s="1956"/>
      <c r="HWW313" s="1956"/>
      <c r="HWX313" s="1956"/>
      <c r="HWY313" s="1956"/>
      <c r="HWZ313" s="1956"/>
      <c r="HXA313" s="1956"/>
      <c r="HXB313" s="1956"/>
      <c r="HXC313" s="1956"/>
      <c r="HXD313" s="1956"/>
      <c r="HXE313" s="1956"/>
      <c r="HXF313" s="1956"/>
      <c r="HXG313" s="1956"/>
      <c r="HXH313" s="1956"/>
      <c r="HXI313" s="1956"/>
      <c r="HXJ313" s="1956"/>
      <c r="HXK313" s="1956"/>
      <c r="HXL313" s="1956"/>
      <c r="HXM313" s="1956"/>
      <c r="HXN313" s="1956"/>
      <c r="HXO313" s="1956"/>
      <c r="HXP313" s="1956"/>
      <c r="HXQ313" s="1956"/>
      <c r="HXR313" s="1956"/>
      <c r="HXS313" s="1956"/>
      <c r="HXT313" s="1956"/>
      <c r="HXU313" s="1956"/>
      <c r="HXV313" s="1956"/>
      <c r="HXW313" s="1956"/>
      <c r="HXX313" s="1956"/>
      <c r="HXY313" s="1956"/>
      <c r="HXZ313" s="1956"/>
      <c r="HYA313" s="1956"/>
      <c r="HYB313" s="1956"/>
      <c r="HYC313" s="1956"/>
      <c r="HYD313" s="1956"/>
      <c r="HYE313" s="1956"/>
      <c r="HYF313" s="1956"/>
      <c r="HYG313" s="1956"/>
      <c r="HYH313" s="1956"/>
      <c r="HYI313" s="1956"/>
      <c r="HYJ313" s="1956"/>
      <c r="HYK313" s="1956"/>
      <c r="HYL313" s="1956"/>
      <c r="HYM313" s="1956"/>
      <c r="HYN313" s="1956"/>
      <c r="HYO313" s="1956"/>
      <c r="HYP313" s="1956"/>
      <c r="HYQ313" s="1956"/>
      <c r="HYR313" s="1956"/>
      <c r="HYS313" s="1956"/>
      <c r="HYT313" s="1956"/>
      <c r="HYU313" s="1956"/>
      <c r="HYV313" s="1956"/>
      <c r="HYW313" s="1956"/>
      <c r="HYX313" s="1956"/>
      <c r="HYY313" s="1956"/>
      <c r="HYZ313" s="1956"/>
      <c r="HZA313" s="1956"/>
      <c r="HZB313" s="1956"/>
      <c r="HZC313" s="1956"/>
      <c r="HZD313" s="1956"/>
      <c r="HZE313" s="1956"/>
      <c r="HZF313" s="1956"/>
      <c r="HZG313" s="1956"/>
      <c r="HZH313" s="1956"/>
      <c r="HZI313" s="1956"/>
      <c r="HZJ313" s="1956"/>
      <c r="HZK313" s="1956"/>
      <c r="HZL313" s="1956"/>
      <c r="HZM313" s="1956"/>
      <c r="HZN313" s="1956"/>
      <c r="HZO313" s="1956"/>
      <c r="HZP313" s="1956"/>
      <c r="HZQ313" s="1956"/>
      <c r="HZR313" s="1956"/>
      <c r="HZS313" s="1956"/>
      <c r="HZT313" s="1956"/>
      <c r="HZU313" s="1956"/>
      <c r="HZV313" s="1956"/>
      <c r="HZW313" s="1956"/>
      <c r="HZX313" s="1956"/>
      <c r="HZY313" s="1956"/>
      <c r="HZZ313" s="1956"/>
      <c r="IAA313" s="1956"/>
      <c r="IAB313" s="1956"/>
      <c r="IAC313" s="1956"/>
      <c r="IAD313" s="1956"/>
      <c r="IAE313" s="1956"/>
      <c r="IAF313" s="1956"/>
      <c r="IAG313" s="1956"/>
      <c r="IAH313" s="1956"/>
      <c r="IAI313" s="1956"/>
      <c r="IAJ313" s="1956"/>
      <c r="IAK313" s="1956"/>
      <c r="IAL313" s="1956"/>
      <c r="IAM313" s="1956"/>
      <c r="IAN313" s="1956"/>
      <c r="IAO313" s="1956"/>
      <c r="IAP313" s="1956"/>
      <c r="IAQ313" s="1956"/>
      <c r="IAR313" s="1956"/>
      <c r="IAS313" s="1956"/>
      <c r="IAT313" s="1956"/>
      <c r="IAU313" s="1956"/>
      <c r="IAV313" s="1956"/>
      <c r="IAW313" s="1956"/>
      <c r="IAX313" s="1956"/>
      <c r="IAY313" s="1956"/>
      <c r="IAZ313" s="1956"/>
      <c r="IBA313" s="1956"/>
      <c r="IBB313" s="1956"/>
      <c r="IBC313" s="1956"/>
      <c r="IBD313" s="1956"/>
      <c r="IBE313" s="1956"/>
      <c r="IBF313" s="1956"/>
      <c r="IBG313" s="1956"/>
      <c r="IBH313" s="1956"/>
      <c r="IBI313" s="1956"/>
      <c r="IBJ313" s="1956"/>
      <c r="IBK313" s="1956"/>
      <c r="IBL313" s="1956"/>
      <c r="IBM313" s="1956"/>
      <c r="IBN313" s="1956"/>
      <c r="IBO313" s="1956"/>
      <c r="IBP313" s="1956"/>
      <c r="IBQ313" s="1956"/>
      <c r="IBR313" s="1956"/>
      <c r="IBS313" s="1956"/>
      <c r="IBT313" s="1956"/>
      <c r="IBU313" s="1956"/>
      <c r="IBV313" s="1956"/>
      <c r="IBW313" s="1956"/>
      <c r="IBX313" s="1956"/>
      <c r="IBY313" s="1956"/>
      <c r="IBZ313" s="1956"/>
      <c r="ICA313" s="1956"/>
      <c r="ICB313" s="1956"/>
      <c r="ICC313" s="1956"/>
      <c r="ICD313" s="1956"/>
      <c r="ICE313" s="1956"/>
      <c r="ICF313" s="1956"/>
      <c r="ICG313" s="1956"/>
      <c r="ICH313" s="1956"/>
      <c r="ICI313" s="1956"/>
      <c r="ICJ313" s="1956"/>
      <c r="ICK313" s="1956"/>
      <c r="ICL313" s="1956"/>
      <c r="ICM313" s="1956"/>
      <c r="ICN313" s="1956"/>
      <c r="ICO313" s="1956"/>
      <c r="ICP313" s="1956"/>
      <c r="ICQ313" s="1956"/>
      <c r="ICR313" s="1956"/>
      <c r="ICS313" s="1956"/>
      <c r="ICT313" s="1956"/>
      <c r="ICU313" s="1956"/>
      <c r="ICV313" s="1956"/>
      <c r="ICW313" s="1956"/>
      <c r="ICX313" s="1956"/>
      <c r="ICY313" s="1956"/>
      <c r="ICZ313" s="1956"/>
      <c r="IDA313" s="1956"/>
      <c r="IDB313" s="1956"/>
      <c r="IDC313" s="1956"/>
      <c r="IDD313" s="1956"/>
      <c r="IDE313" s="1956"/>
      <c r="IDF313" s="1956"/>
      <c r="IDG313" s="1956"/>
      <c r="IDH313" s="1956"/>
      <c r="IDI313" s="1956"/>
      <c r="IDJ313" s="1956"/>
      <c r="IDK313" s="1956"/>
      <c r="IDL313" s="1956"/>
      <c r="IDM313" s="1956"/>
      <c r="IDN313" s="1956"/>
      <c r="IDO313" s="1956"/>
      <c r="IDP313" s="1956"/>
      <c r="IDQ313" s="1956"/>
      <c r="IDR313" s="1956"/>
      <c r="IDS313" s="1956"/>
      <c r="IDT313" s="1956"/>
      <c r="IDU313" s="1956"/>
      <c r="IDV313" s="1956"/>
      <c r="IDW313" s="1956"/>
      <c r="IDX313" s="1956"/>
      <c r="IDY313" s="1956"/>
      <c r="IDZ313" s="1956"/>
      <c r="IEA313" s="1956"/>
      <c r="IEB313" s="1956"/>
      <c r="IEC313" s="1956"/>
      <c r="IED313" s="1956"/>
      <c r="IEE313" s="1956"/>
      <c r="IEF313" s="1956"/>
      <c r="IEG313" s="1956"/>
      <c r="IEH313" s="1956"/>
      <c r="IEI313" s="1956"/>
      <c r="IEJ313" s="1956"/>
      <c r="IEK313" s="1956"/>
      <c r="IEL313" s="1956"/>
      <c r="IEM313" s="1956"/>
      <c r="IEN313" s="1956"/>
      <c r="IEO313" s="1956"/>
      <c r="IEP313" s="1956"/>
      <c r="IEQ313" s="1956"/>
      <c r="IER313" s="1956"/>
      <c r="IES313" s="1956"/>
      <c r="IET313" s="1956"/>
      <c r="IEU313" s="1956"/>
      <c r="IEV313" s="1956"/>
      <c r="IEW313" s="1956"/>
      <c r="IEX313" s="1956"/>
      <c r="IEY313" s="1956"/>
      <c r="IEZ313" s="1956"/>
      <c r="IFA313" s="1956"/>
      <c r="IFB313" s="1956"/>
      <c r="IFC313" s="1956"/>
      <c r="IFD313" s="1956"/>
      <c r="IFE313" s="1956"/>
      <c r="IFF313" s="1956"/>
      <c r="IFG313" s="1956"/>
      <c r="IFH313" s="1956"/>
      <c r="IFI313" s="1956"/>
      <c r="IFJ313" s="1956"/>
      <c r="IFK313" s="1956"/>
      <c r="IFL313" s="1956"/>
      <c r="IFM313" s="1956"/>
      <c r="IFN313" s="1956"/>
      <c r="IFO313" s="1956"/>
      <c r="IFP313" s="1956"/>
      <c r="IFQ313" s="1956"/>
      <c r="IFR313" s="1956"/>
      <c r="IFS313" s="1956"/>
      <c r="IFT313" s="1956"/>
      <c r="IFU313" s="1956"/>
      <c r="IFV313" s="1956"/>
      <c r="IFW313" s="1956"/>
      <c r="IFX313" s="1956"/>
      <c r="IFY313" s="1956"/>
      <c r="IFZ313" s="1956"/>
      <c r="IGA313" s="1956"/>
      <c r="IGB313" s="1956"/>
      <c r="IGC313" s="1956"/>
      <c r="IGD313" s="1956"/>
      <c r="IGE313" s="1956"/>
      <c r="IGF313" s="1956"/>
      <c r="IGG313" s="1956"/>
      <c r="IGH313" s="1956"/>
      <c r="IGI313" s="1956"/>
      <c r="IGJ313" s="1956"/>
      <c r="IGK313" s="1956"/>
      <c r="IGL313" s="1956"/>
      <c r="IGM313" s="1956"/>
      <c r="IGN313" s="1956"/>
      <c r="IGO313" s="1956"/>
      <c r="IGP313" s="1956"/>
      <c r="IGQ313" s="1956"/>
      <c r="IGR313" s="1956"/>
      <c r="IGS313" s="1956"/>
      <c r="IGT313" s="1956"/>
      <c r="IGU313" s="1956"/>
      <c r="IGV313" s="1956"/>
      <c r="IGW313" s="1956"/>
      <c r="IGX313" s="1956"/>
      <c r="IGY313" s="1956"/>
      <c r="IGZ313" s="1956"/>
      <c r="IHA313" s="1956"/>
      <c r="IHB313" s="1956"/>
      <c r="IHC313" s="1956"/>
      <c r="IHD313" s="1956"/>
      <c r="IHE313" s="1956"/>
      <c r="IHF313" s="1956"/>
      <c r="IHG313" s="1956"/>
      <c r="IHH313" s="1956"/>
      <c r="IHI313" s="1956"/>
      <c r="IHJ313" s="1956"/>
      <c r="IHK313" s="1956"/>
      <c r="IHL313" s="1956"/>
      <c r="IHM313" s="1956"/>
      <c r="IHN313" s="1956"/>
      <c r="IHO313" s="1956"/>
      <c r="IHP313" s="1956"/>
      <c r="IHQ313" s="1956"/>
      <c r="IHR313" s="1956"/>
      <c r="IHS313" s="1956"/>
      <c r="IHT313" s="1956"/>
      <c r="IHU313" s="1956"/>
      <c r="IHV313" s="1956"/>
      <c r="IHW313" s="1956"/>
      <c r="IHX313" s="1956"/>
      <c r="IHY313" s="1956"/>
      <c r="IHZ313" s="1956"/>
      <c r="IIA313" s="1956"/>
      <c r="IIB313" s="1956"/>
      <c r="IIC313" s="1956"/>
      <c r="IID313" s="1956"/>
      <c r="IIE313" s="1956"/>
      <c r="IIF313" s="1956"/>
      <c r="IIG313" s="1956"/>
      <c r="IIH313" s="1956"/>
      <c r="III313" s="1956"/>
      <c r="IIJ313" s="1956"/>
      <c r="IIK313" s="1956"/>
      <c r="IIL313" s="1956"/>
      <c r="IIM313" s="1956"/>
      <c r="IIN313" s="1956"/>
      <c r="IIO313" s="1956"/>
      <c r="IIP313" s="1956"/>
      <c r="IIQ313" s="1956"/>
      <c r="IIR313" s="1956"/>
      <c r="IIS313" s="1956"/>
      <c r="IIT313" s="1956"/>
      <c r="IIU313" s="1956"/>
      <c r="IIV313" s="1956"/>
      <c r="IIW313" s="1956"/>
      <c r="IIX313" s="1956"/>
      <c r="IIY313" s="1956"/>
      <c r="IIZ313" s="1956"/>
      <c r="IJA313" s="1956"/>
      <c r="IJB313" s="1956"/>
      <c r="IJC313" s="1956"/>
      <c r="IJD313" s="1956"/>
      <c r="IJE313" s="1956"/>
      <c r="IJF313" s="1956"/>
      <c r="IJG313" s="1956"/>
      <c r="IJH313" s="1956"/>
      <c r="IJI313" s="1956"/>
      <c r="IJJ313" s="1956"/>
      <c r="IJK313" s="1956"/>
      <c r="IJL313" s="1956"/>
      <c r="IJM313" s="1956"/>
      <c r="IJN313" s="1956"/>
      <c r="IJO313" s="1956"/>
      <c r="IJP313" s="1956"/>
      <c r="IJQ313" s="1956"/>
      <c r="IJR313" s="1956"/>
      <c r="IJS313" s="1956"/>
      <c r="IJT313" s="1956"/>
      <c r="IJU313" s="1956"/>
      <c r="IJV313" s="1956"/>
      <c r="IJW313" s="1956"/>
      <c r="IJX313" s="1956"/>
      <c r="IJY313" s="1956"/>
      <c r="IJZ313" s="1956"/>
      <c r="IKA313" s="1956"/>
      <c r="IKB313" s="1956"/>
      <c r="IKC313" s="1956"/>
      <c r="IKD313" s="1956"/>
      <c r="IKE313" s="1956"/>
      <c r="IKF313" s="1956"/>
      <c r="IKG313" s="1956"/>
      <c r="IKH313" s="1956"/>
      <c r="IKI313" s="1956"/>
      <c r="IKJ313" s="1956"/>
      <c r="IKK313" s="1956"/>
      <c r="IKL313" s="1956"/>
      <c r="IKM313" s="1956"/>
      <c r="IKN313" s="1956"/>
      <c r="IKO313" s="1956"/>
      <c r="IKP313" s="1956"/>
      <c r="IKQ313" s="1956"/>
      <c r="IKR313" s="1956"/>
      <c r="IKS313" s="1956"/>
      <c r="IKT313" s="1956"/>
      <c r="IKU313" s="1956"/>
      <c r="IKV313" s="1956"/>
      <c r="IKW313" s="1956"/>
      <c r="IKX313" s="1956"/>
      <c r="IKY313" s="1956"/>
      <c r="IKZ313" s="1956"/>
      <c r="ILA313" s="1956"/>
      <c r="ILB313" s="1956"/>
      <c r="ILC313" s="1956"/>
      <c r="ILD313" s="1956"/>
      <c r="ILE313" s="1956"/>
      <c r="ILF313" s="1956"/>
      <c r="ILG313" s="1956"/>
      <c r="ILH313" s="1956"/>
      <c r="ILI313" s="1956"/>
      <c r="ILJ313" s="1956"/>
      <c r="ILK313" s="1956"/>
      <c r="ILL313" s="1956"/>
      <c r="ILM313" s="1956"/>
      <c r="ILN313" s="1956"/>
      <c r="ILO313" s="1956"/>
      <c r="ILP313" s="1956"/>
      <c r="ILQ313" s="1956"/>
      <c r="ILR313" s="1956"/>
      <c r="ILS313" s="1956"/>
      <c r="ILT313" s="1956"/>
      <c r="ILU313" s="1956"/>
      <c r="ILV313" s="1956"/>
      <c r="ILW313" s="1956"/>
      <c r="ILX313" s="1956"/>
      <c r="ILY313" s="1956"/>
      <c r="ILZ313" s="1956"/>
      <c r="IMA313" s="1956"/>
      <c r="IMB313" s="1956"/>
      <c r="IMC313" s="1956"/>
      <c r="IMD313" s="1956"/>
      <c r="IME313" s="1956"/>
      <c r="IMF313" s="1956"/>
      <c r="IMG313" s="1956"/>
      <c r="IMH313" s="1956"/>
      <c r="IMI313" s="1956"/>
      <c r="IMJ313" s="1956"/>
      <c r="IMK313" s="1956"/>
      <c r="IML313" s="1956"/>
      <c r="IMM313" s="1956"/>
      <c r="IMN313" s="1956"/>
      <c r="IMO313" s="1956"/>
      <c r="IMP313" s="1956"/>
      <c r="IMQ313" s="1956"/>
      <c r="IMR313" s="1956"/>
      <c r="IMS313" s="1956"/>
      <c r="IMT313" s="1956"/>
      <c r="IMU313" s="1956"/>
      <c r="IMV313" s="1956"/>
      <c r="IMW313" s="1956"/>
      <c r="IMX313" s="1956"/>
      <c r="IMY313" s="1956"/>
      <c r="IMZ313" s="1956"/>
      <c r="INA313" s="1956"/>
      <c r="INB313" s="1956"/>
      <c r="INC313" s="1956"/>
      <c r="IND313" s="1956"/>
      <c r="INE313" s="1956"/>
      <c r="INF313" s="1956"/>
      <c r="ING313" s="1956"/>
      <c r="INH313" s="1956"/>
      <c r="INI313" s="1956"/>
      <c r="INJ313" s="1956"/>
      <c r="INK313" s="1956"/>
      <c r="INL313" s="1956"/>
      <c r="INM313" s="1956"/>
      <c r="INN313" s="1956"/>
      <c r="INO313" s="1956"/>
      <c r="INP313" s="1956"/>
      <c r="INQ313" s="1956"/>
      <c r="INR313" s="1956"/>
      <c r="INS313" s="1956"/>
      <c r="INT313" s="1956"/>
      <c r="INU313" s="1956"/>
      <c r="INV313" s="1956"/>
      <c r="INW313" s="1956"/>
      <c r="INX313" s="1956"/>
      <c r="INY313" s="1956"/>
      <c r="INZ313" s="1956"/>
      <c r="IOA313" s="1956"/>
      <c r="IOB313" s="1956"/>
      <c r="IOC313" s="1956"/>
      <c r="IOD313" s="1956"/>
      <c r="IOE313" s="1956"/>
      <c r="IOF313" s="1956"/>
      <c r="IOG313" s="1956"/>
      <c r="IOH313" s="1956"/>
      <c r="IOI313" s="1956"/>
      <c r="IOJ313" s="1956"/>
      <c r="IOK313" s="1956"/>
      <c r="IOL313" s="1956"/>
      <c r="IOM313" s="1956"/>
      <c r="ION313" s="1956"/>
      <c r="IOO313" s="1956"/>
      <c r="IOP313" s="1956"/>
      <c r="IOQ313" s="1956"/>
      <c r="IOR313" s="1956"/>
      <c r="IOS313" s="1956"/>
      <c r="IOT313" s="1956"/>
      <c r="IOU313" s="1956"/>
      <c r="IOV313" s="1956"/>
      <c r="IOW313" s="1956"/>
      <c r="IOX313" s="1956"/>
      <c r="IOY313" s="1956"/>
      <c r="IOZ313" s="1956"/>
      <c r="IPA313" s="1956"/>
      <c r="IPB313" s="1956"/>
      <c r="IPC313" s="1956"/>
      <c r="IPD313" s="1956"/>
      <c r="IPE313" s="1956"/>
      <c r="IPF313" s="1956"/>
      <c r="IPG313" s="1956"/>
      <c r="IPH313" s="1956"/>
      <c r="IPI313" s="1956"/>
      <c r="IPJ313" s="1956"/>
      <c r="IPK313" s="1956"/>
      <c r="IPL313" s="1956"/>
      <c r="IPM313" s="1956"/>
      <c r="IPN313" s="1956"/>
      <c r="IPO313" s="1956"/>
      <c r="IPP313" s="1956"/>
      <c r="IPQ313" s="1956"/>
      <c r="IPR313" s="1956"/>
      <c r="IPS313" s="1956"/>
      <c r="IPT313" s="1956"/>
      <c r="IPU313" s="1956"/>
      <c r="IPV313" s="1956"/>
      <c r="IPW313" s="1956"/>
      <c r="IPX313" s="1956"/>
      <c r="IPY313" s="1956"/>
      <c r="IPZ313" s="1956"/>
      <c r="IQA313" s="1956"/>
      <c r="IQB313" s="1956"/>
      <c r="IQC313" s="1956"/>
      <c r="IQD313" s="1956"/>
      <c r="IQE313" s="1956"/>
      <c r="IQF313" s="1956"/>
      <c r="IQG313" s="1956"/>
      <c r="IQH313" s="1956"/>
      <c r="IQI313" s="1956"/>
      <c r="IQJ313" s="1956"/>
      <c r="IQK313" s="1956"/>
      <c r="IQL313" s="1956"/>
      <c r="IQM313" s="1956"/>
      <c r="IQN313" s="1956"/>
      <c r="IQO313" s="1956"/>
      <c r="IQP313" s="1956"/>
      <c r="IQQ313" s="1956"/>
      <c r="IQR313" s="1956"/>
      <c r="IQS313" s="1956"/>
      <c r="IQT313" s="1956"/>
      <c r="IQU313" s="1956"/>
      <c r="IQV313" s="1956"/>
      <c r="IQW313" s="1956"/>
      <c r="IQX313" s="1956"/>
      <c r="IQY313" s="1956"/>
      <c r="IQZ313" s="1956"/>
      <c r="IRA313" s="1956"/>
      <c r="IRB313" s="1956"/>
      <c r="IRC313" s="1956"/>
      <c r="IRD313" s="1956"/>
      <c r="IRE313" s="1956"/>
      <c r="IRF313" s="1956"/>
      <c r="IRG313" s="1956"/>
      <c r="IRH313" s="1956"/>
      <c r="IRI313" s="1956"/>
      <c r="IRJ313" s="1956"/>
      <c r="IRK313" s="1956"/>
      <c r="IRL313" s="1956"/>
      <c r="IRM313" s="1956"/>
      <c r="IRN313" s="1956"/>
      <c r="IRO313" s="1956"/>
      <c r="IRP313" s="1956"/>
      <c r="IRQ313" s="1956"/>
      <c r="IRR313" s="1956"/>
      <c r="IRS313" s="1956"/>
      <c r="IRT313" s="1956"/>
      <c r="IRU313" s="1956"/>
      <c r="IRV313" s="1956"/>
      <c r="IRW313" s="1956"/>
      <c r="IRX313" s="1956"/>
      <c r="IRY313" s="1956"/>
      <c r="IRZ313" s="1956"/>
      <c r="ISA313" s="1956"/>
      <c r="ISB313" s="1956"/>
      <c r="ISC313" s="1956"/>
      <c r="ISD313" s="1956"/>
      <c r="ISE313" s="1956"/>
      <c r="ISF313" s="1956"/>
      <c r="ISG313" s="1956"/>
      <c r="ISH313" s="1956"/>
      <c r="ISI313" s="1956"/>
      <c r="ISJ313" s="1956"/>
      <c r="ISK313" s="1956"/>
      <c r="ISL313" s="1956"/>
      <c r="ISM313" s="1956"/>
      <c r="ISN313" s="1956"/>
      <c r="ISO313" s="1956"/>
      <c r="ISP313" s="1956"/>
      <c r="ISQ313" s="1956"/>
      <c r="ISR313" s="1956"/>
      <c r="ISS313" s="1956"/>
      <c r="IST313" s="1956"/>
      <c r="ISU313" s="1956"/>
      <c r="ISV313" s="1956"/>
      <c r="ISW313" s="1956"/>
      <c r="ISX313" s="1956"/>
      <c r="ISY313" s="1956"/>
      <c r="ISZ313" s="1956"/>
      <c r="ITA313" s="1956"/>
      <c r="ITB313" s="1956"/>
      <c r="ITC313" s="1956"/>
      <c r="ITD313" s="1956"/>
      <c r="ITE313" s="1956"/>
      <c r="ITF313" s="1956"/>
      <c r="ITG313" s="1956"/>
      <c r="ITH313" s="1956"/>
      <c r="ITI313" s="1956"/>
      <c r="ITJ313" s="1956"/>
      <c r="ITK313" s="1956"/>
      <c r="ITL313" s="1956"/>
      <c r="ITM313" s="1956"/>
      <c r="ITN313" s="1956"/>
      <c r="ITO313" s="1956"/>
      <c r="ITP313" s="1956"/>
      <c r="ITQ313" s="1956"/>
      <c r="ITR313" s="1956"/>
      <c r="ITS313" s="1956"/>
      <c r="ITT313" s="1956"/>
      <c r="ITU313" s="1956"/>
      <c r="ITV313" s="1956"/>
      <c r="ITW313" s="1956"/>
      <c r="ITX313" s="1956"/>
      <c r="ITY313" s="1956"/>
      <c r="ITZ313" s="1956"/>
      <c r="IUA313" s="1956"/>
      <c r="IUB313" s="1956"/>
      <c r="IUC313" s="1956"/>
      <c r="IUD313" s="1956"/>
      <c r="IUE313" s="1956"/>
      <c r="IUF313" s="1956"/>
      <c r="IUG313" s="1956"/>
      <c r="IUH313" s="1956"/>
      <c r="IUI313" s="1956"/>
      <c r="IUJ313" s="1956"/>
      <c r="IUK313" s="1956"/>
      <c r="IUL313" s="1956"/>
      <c r="IUM313" s="1956"/>
      <c r="IUN313" s="1956"/>
      <c r="IUO313" s="1956"/>
      <c r="IUP313" s="1956"/>
      <c r="IUQ313" s="1956"/>
      <c r="IUR313" s="1956"/>
      <c r="IUS313" s="1956"/>
      <c r="IUT313" s="1956"/>
      <c r="IUU313" s="1956"/>
      <c r="IUV313" s="1956"/>
      <c r="IUW313" s="1956"/>
      <c r="IUX313" s="1956"/>
      <c r="IUY313" s="1956"/>
      <c r="IUZ313" s="1956"/>
      <c r="IVA313" s="1956"/>
      <c r="IVB313" s="1956"/>
      <c r="IVC313" s="1956"/>
      <c r="IVD313" s="1956"/>
      <c r="IVE313" s="1956"/>
      <c r="IVF313" s="1956"/>
      <c r="IVG313" s="1956"/>
      <c r="IVH313" s="1956"/>
      <c r="IVI313" s="1956"/>
      <c r="IVJ313" s="1956"/>
      <c r="IVK313" s="1956"/>
      <c r="IVL313" s="1956"/>
      <c r="IVM313" s="1956"/>
      <c r="IVN313" s="1956"/>
      <c r="IVO313" s="1956"/>
      <c r="IVP313" s="1956"/>
      <c r="IVQ313" s="1956"/>
      <c r="IVR313" s="1956"/>
      <c r="IVS313" s="1956"/>
      <c r="IVT313" s="1956"/>
      <c r="IVU313" s="1956"/>
      <c r="IVV313" s="1956"/>
      <c r="IVW313" s="1956"/>
      <c r="IVX313" s="1956"/>
      <c r="IVY313" s="1956"/>
      <c r="IVZ313" s="1956"/>
      <c r="IWA313" s="1956"/>
      <c r="IWB313" s="1956"/>
      <c r="IWC313" s="1956"/>
      <c r="IWD313" s="1956"/>
      <c r="IWE313" s="1956"/>
      <c r="IWF313" s="1956"/>
      <c r="IWG313" s="1956"/>
      <c r="IWH313" s="1956"/>
      <c r="IWI313" s="1956"/>
      <c r="IWJ313" s="1956"/>
      <c r="IWK313" s="1956"/>
      <c r="IWL313" s="1956"/>
      <c r="IWM313" s="1956"/>
      <c r="IWN313" s="1956"/>
      <c r="IWO313" s="1956"/>
      <c r="IWP313" s="1956"/>
      <c r="IWQ313" s="1956"/>
      <c r="IWR313" s="1956"/>
      <c r="IWS313" s="1956"/>
      <c r="IWT313" s="1956"/>
      <c r="IWU313" s="1956"/>
      <c r="IWV313" s="1956"/>
      <c r="IWW313" s="1956"/>
      <c r="IWX313" s="1956"/>
      <c r="IWY313" s="1956"/>
      <c r="IWZ313" s="1956"/>
      <c r="IXA313" s="1956"/>
      <c r="IXB313" s="1956"/>
      <c r="IXC313" s="1956"/>
      <c r="IXD313" s="1956"/>
      <c r="IXE313" s="1956"/>
      <c r="IXF313" s="1956"/>
      <c r="IXG313" s="1956"/>
      <c r="IXH313" s="1956"/>
      <c r="IXI313" s="1956"/>
      <c r="IXJ313" s="1956"/>
      <c r="IXK313" s="1956"/>
      <c r="IXL313" s="1956"/>
      <c r="IXM313" s="1956"/>
      <c r="IXN313" s="1956"/>
      <c r="IXO313" s="1956"/>
      <c r="IXP313" s="1956"/>
      <c r="IXQ313" s="1956"/>
      <c r="IXR313" s="1956"/>
      <c r="IXS313" s="1956"/>
      <c r="IXT313" s="1956"/>
      <c r="IXU313" s="1956"/>
      <c r="IXV313" s="1956"/>
      <c r="IXW313" s="1956"/>
      <c r="IXX313" s="1956"/>
      <c r="IXY313" s="1956"/>
      <c r="IXZ313" s="1956"/>
      <c r="IYA313" s="1956"/>
      <c r="IYB313" s="1956"/>
      <c r="IYC313" s="1956"/>
      <c r="IYD313" s="1956"/>
      <c r="IYE313" s="1956"/>
      <c r="IYF313" s="1956"/>
      <c r="IYG313" s="1956"/>
      <c r="IYH313" s="1956"/>
      <c r="IYI313" s="1956"/>
      <c r="IYJ313" s="1956"/>
      <c r="IYK313" s="1956"/>
      <c r="IYL313" s="1956"/>
      <c r="IYM313" s="1956"/>
      <c r="IYN313" s="1956"/>
      <c r="IYO313" s="1956"/>
      <c r="IYP313" s="1956"/>
      <c r="IYQ313" s="1956"/>
      <c r="IYR313" s="1956"/>
      <c r="IYS313" s="1956"/>
      <c r="IYT313" s="1956"/>
      <c r="IYU313" s="1956"/>
      <c r="IYV313" s="1956"/>
      <c r="IYW313" s="1956"/>
      <c r="IYX313" s="1956"/>
      <c r="IYY313" s="1956"/>
      <c r="IYZ313" s="1956"/>
      <c r="IZA313" s="1956"/>
      <c r="IZB313" s="1956"/>
      <c r="IZC313" s="1956"/>
      <c r="IZD313" s="1956"/>
      <c r="IZE313" s="1956"/>
      <c r="IZF313" s="1956"/>
      <c r="IZG313" s="1956"/>
      <c r="IZH313" s="1956"/>
      <c r="IZI313" s="1956"/>
      <c r="IZJ313" s="1956"/>
      <c r="IZK313" s="1956"/>
      <c r="IZL313" s="1956"/>
      <c r="IZM313" s="1956"/>
      <c r="IZN313" s="1956"/>
      <c r="IZO313" s="1956"/>
      <c r="IZP313" s="1956"/>
      <c r="IZQ313" s="1956"/>
      <c r="IZR313" s="1956"/>
      <c r="IZS313" s="1956"/>
      <c r="IZT313" s="1956"/>
      <c r="IZU313" s="1956"/>
      <c r="IZV313" s="1956"/>
      <c r="IZW313" s="1956"/>
      <c r="IZX313" s="1956"/>
      <c r="IZY313" s="1956"/>
      <c r="IZZ313" s="1956"/>
      <c r="JAA313" s="1956"/>
      <c r="JAB313" s="1956"/>
      <c r="JAC313" s="1956"/>
      <c r="JAD313" s="1956"/>
      <c r="JAE313" s="1956"/>
      <c r="JAF313" s="1956"/>
      <c r="JAG313" s="1956"/>
      <c r="JAH313" s="1956"/>
      <c r="JAI313" s="1956"/>
      <c r="JAJ313" s="1956"/>
      <c r="JAK313" s="1956"/>
      <c r="JAL313" s="1956"/>
      <c r="JAM313" s="1956"/>
      <c r="JAN313" s="1956"/>
      <c r="JAO313" s="1956"/>
      <c r="JAP313" s="1956"/>
      <c r="JAQ313" s="1956"/>
      <c r="JAR313" s="1956"/>
      <c r="JAS313" s="1956"/>
      <c r="JAT313" s="1956"/>
      <c r="JAU313" s="1956"/>
      <c r="JAV313" s="1956"/>
      <c r="JAW313" s="1956"/>
      <c r="JAX313" s="1956"/>
      <c r="JAY313" s="1956"/>
      <c r="JAZ313" s="1956"/>
      <c r="JBA313" s="1956"/>
      <c r="JBB313" s="1956"/>
      <c r="JBC313" s="1956"/>
      <c r="JBD313" s="1956"/>
      <c r="JBE313" s="1956"/>
      <c r="JBF313" s="1956"/>
      <c r="JBG313" s="1956"/>
      <c r="JBH313" s="1956"/>
      <c r="JBI313" s="1956"/>
      <c r="JBJ313" s="1956"/>
      <c r="JBK313" s="1956"/>
      <c r="JBL313" s="1956"/>
      <c r="JBM313" s="1956"/>
      <c r="JBN313" s="1956"/>
      <c r="JBO313" s="1956"/>
      <c r="JBP313" s="1956"/>
      <c r="JBQ313" s="1956"/>
      <c r="JBR313" s="1956"/>
      <c r="JBS313" s="1956"/>
      <c r="JBT313" s="1956"/>
      <c r="JBU313" s="1956"/>
      <c r="JBV313" s="1956"/>
      <c r="JBW313" s="1956"/>
      <c r="JBX313" s="1956"/>
      <c r="JBY313" s="1956"/>
      <c r="JBZ313" s="1956"/>
      <c r="JCA313" s="1956"/>
      <c r="JCB313" s="1956"/>
      <c r="JCC313" s="1956"/>
      <c r="JCD313" s="1956"/>
      <c r="JCE313" s="1956"/>
      <c r="JCF313" s="1956"/>
      <c r="JCG313" s="1956"/>
      <c r="JCH313" s="1956"/>
      <c r="JCI313" s="1956"/>
      <c r="JCJ313" s="1956"/>
      <c r="JCK313" s="1956"/>
      <c r="JCL313" s="1956"/>
      <c r="JCM313" s="1956"/>
      <c r="JCN313" s="1956"/>
      <c r="JCO313" s="1956"/>
      <c r="JCP313" s="1956"/>
      <c r="JCQ313" s="1956"/>
      <c r="JCR313" s="1956"/>
      <c r="JCS313" s="1956"/>
      <c r="JCT313" s="1956"/>
      <c r="JCU313" s="1956"/>
      <c r="JCV313" s="1956"/>
      <c r="JCW313" s="1956"/>
      <c r="JCX313" s="1956"/>
      <c r="JCY313" s="1956"/>
      <c r="JCZ313" s="1956"/>
      <c r="JDA313" s="1956"/>
      <c r="JDB313" s="1956"/>
      <c r="JDC313" s="1956"/>
      <c r="JDD313" s="1956"/>
      <c r="JDE313" s="1956"/>
      <c r="JDF313" s="1956"/>
      <c r="JDG313" s="1956"/>
      <c r="JDH313" s="1956"/>
      <c r="JDI313" s="1956"/>
      <c r="JDJ313" s="1956"/>
      <c r="JDK313" s="1956"/>
      <c r="JDL313" s="1956"/>
      <c r="JDM313" s="1956"/>
      <c r="JDN313" s="1956"/>
      <c r="JDO313" s="1956"/>
      <c r="JDP313" s="1956"/>
      <c r="JDQ313" s="1956"/>
      <c r="JDR313" s="1956"/>
      <c r="JDS313" s="1956"/>
      <c r="JDT313" s="1956"/>
      <c r="JDU313" s="1956"/>
      <c r="JDV313" s="1956"/>
      <c r="JDW313" s="1956"/>
      <c r="JDX313" s="1956"/>
      <c r="JDY313" s="1956"/>
      <c r="JDZ313" s="1956"/>
      <c r="JEA313" s="1956"/>
      <c r="JEB313" s="1956"/>
      <c r="JEC313" s="1956"/>
      <c r="JED313" s="1956"/>
      <c r="JEE313" s="1956"/>
      <c r="JEF313" s="1956"/>
      <c r="JEG313" s="1956"/>
      <c r="JEH313" s="1956"/>
      <c r="JEI313" s="1956"/>
      <c r="JEJ313" s="1956"/>
      <c r="JEK313" s="1956"/>
      <c r="JEL313" s="1956"/>
      <c r="JEM313" s="1956"/>
      <c r="JEN313" s="1956"/>
      <c r="JEO313" s="1956"/>
      <c r="JEP313" s="1956"/>
      <c r="JEQ313" s="1956"/>
      <c r="JER313" s="1956"/>
      <c r="JES313" s="1956"/>
      <c r="JET313" s="1956"/>
      <c r="JEU313" s="1956"/>
      <c r="JEV313" s="1956"/>
      <c r="JEW313" s="1956"/>
      <c r="JEX313" s="1956"/>
      <c r="JEY313" s="1956"/>
      <c r="JEZ313" s="1956"/>
      <c r="JFA313" s="1956"/>
      <c r="JFB313" s="1956"/>
      <c r="JFC313" s="1956"/>
      <c r="JFD313" s="1956"/>
      <c r="JFE313" s="1956"/>
      <c r="JFF313" s="1956"/>
      <c r="JFG313" s="1956"/>
      <c r="JFH313" s="1956"/>
      <c r="JFI313" s="1956"/>
      <c r="JFJ313" s="1956"/>
      <c r="JFK313" s="1956"/>
      <c r="JFL313" s="1956"/>
      <c r="JFM313" s="1956"/>
      <c r="JFN313" s="1956"/>
      <c r="JFO313" s="1956"/>
      <c r="JFP313" s="1956"/>
      <c r="JFQ313" s="1956"/>
      <c r="JFR313" s="1956"/>
      <c r="JFS313" s="1956"/>
      <c r="JFT313" s="1956"/>
      <c r="JFU313" s="1956"/>
      <c r="JFV313" s="1956"/>
      <c r="JFW313" s="1956"/>
      <c r="JFX313" s="1956"/>
      <c r="JFY313" s="1956"/>
      <c r="JFZ313" s="1956"/>
      <c r="JGA313" s="1956"/>
      <c r="JGB313" s="1956"/>
      <c r="JGC313" s="1956"/>
      <c r="JGD313" s="1956"/>
      <c r="JGE313" s="1956"/>
      <c r="JGF313" s="1956"/>
      <c r="JGG313" s="1956"/>
      <c r="JGH313" s="1956"/>
      <c r="JGI313" s="1956"/>
      <c r="JGJ313" s="1956"/>
      <c r="JGK313" s="1956"/>
      <c r="JGL313" s="1956"/>
      <c r="JGM313" s="1956"/>
      <c r="JGN313" s="1956"/>
      <c r="JGO313" s="1956"/>
      <c r="JGP313" s="1956"/>
      <c r="JGQ313" s="1956"/>
      <c r="JGR313" s="1956"/>
      <c r="JGS313" s="1956"/>
      <c r="JGT313" s="1956"/>
      <c r="JGU313" s="1956"/>
      <c r="JGV313" s="1956"/>
      <c r="JGW313" s="1956"/>
      <c r="JGX313" s="1956"/>
      <c r="JGY313" s="1956"/>
      <c r="JGZ313" s="1956"/>
      <c r="JHA313" s="1956"/>
      <c r="JHB313" s="1956"/>
      <c r="JHC313" s="1956"/>
      <c r="JHD313" s="1956"/>
      <c r="JHE313" s="1956"/>
      <c r="JHF313" s="1956"/>
      <c r="JHG313" s="1956"/>
      <c r="JHH313" s="1956"/>
      <c r="JHI313" s="1956"/>
      <c r="JHJ313" s="1956"/>
      <c r="JHK313" s="1956"/>
      <c r="JHL313" s="1956"/>
      <c r="JHM313" s="1956"/>
      <c r="JHN313" s="1956"/>
      <c r="JHO313" s="1956"/>
      <c r="JHP313" s="1956"/>
      <c r="JHQ313" s="1956"/>
      <c r="JHR313" s="1956"/>
      <c r="JHS313" s="1956"/>
      <c r="JHT313" s="1956"/>
      <c r="JHU313" s="1956"/>
      <c r="JHV313" s="1956"/>
      <c r="JHW313" s="1956"/>
      <c r="JHX313" s="1956"/>
      <c r="JHY313" s="1956"/>
      <c r="JHZ313" s="1956"/>
      <c r="JIA313" s="1956"/>
      <c r="JIB313" s="1956"/>
      <c r="JIC313" s="1956"/>
      <c r="JID313" s="1956"/>
      <c r="JIE313" s="1956"/>
      <c r="JIF313" s="1956"/>
      <c r="JIG313" s="1956"/>
      <c r="JIH313" s="1956"/>
      <c r="JII313" s="1956"/>
      <c r="JIJ313" s="1956"/>
      <c r="JIK313" s="1956"/>
      <c r="JIL313" s="1956"/>
      <c r="JIM313" s="1956"/>
      <c r="JIN313" s="1956"/>
      <c r="JIO313" s="1956"/>
      <c r="JIP313" s="1956"/>
      <c r="JIQ313" s="1956"/>
      <c r="JIR313" s="1956"/>
      <c r="JIS313" s="1956"/>
      <c r="JIT313" s="1956"/>
      <c r="JIU313" s="1956"/>
      <c r="JIV313" s="1956"/>
      <c r="JIW313" s="1956"/>
      <c r="JIX313" s="1956"/>
      <c r="JIY313" s="1956"/>
      <c r="JIZ313" s="1956"/>
      <c r="JJA313" s="1956"/>
      <c r="JJB313" s="1956"/>
      <c r="JJC313" s="1956"/>
      <c r="JJD313" s="1956"/>
      <c r="JJE313" s="1956"/>
      <c r="JJF313" s="1956"/>
      <c r="JJG313" s="1956"/>
      <c r="JJH313" s="1956"/>
      <c r="JJI313" s="1956"/>
      <c r="JJJ313" s="1956"/>
      <c r="JJK313" s="1956"/>
      <c r="JJL313" s="1956"/>
      <c r="JJM313" s="1956"/>
      <c r="JJN313" s="1956"/>
      <c r="JJO313" s="1956"/>
      <c r="JJP313" s="1956"/>
      <c r="JJQ313" s="1956"/>
      <c r="JJR313" s="1956"/>
      <c r="JJS313" s="1956"/>
      <c r="JJT313" s="1956"/>
      <c r="JJU313" s="1956"/>
      <c r="JJV313" s="1956"/>
      <c r="JJW313" s="1956"/>
      <c r="JJX313" s="1956"/>
      <c r="JJY313" s="1956"/>
      <c r="JJZ313" s="1956"/>
      <c r="JKA313" s="1956"/>
      <c r="JKB313" s="1956"/>
      <c r="JKC313" s="1956"/>
      <c r="JKD313" s="1956"/>
      <c r="JKE313" s="1956"/>
      <c r="JKF313" s="1956"/>
      <c r="JKG313" s="1956"/>
      <c r="JKH313" s="1956"/>
      <c r="JKI313" s="1956"/>
      <c r="JKJ313" s="1956"/>
      <c r="JKK313" s="1956"/>
      <c r="JKL313" s="1956"/>
      <c r="JKM313" s="1956"/>
      <c r="JKN313" s="1956"/>
      <c r="JKO313" s="1956"/>
      <c r="JKP313" s="1956"/>
      <c r="JKQ313" s="1956"/>
      <c r="JKR313" s="1956"/>
      <c r="JKS313" s="1956"/>
      <c r="JKT313" s="1956"/>
      <c r="JKU313" s="1956"/>
      <c r="JKV313" s="1956"/>
      <c r="JKW313" s="1956"/>
      <c r="JKX313" s="1956"/>
      <c r="JKY313" s="1956"/>
      <c r="JKZ313" s="1956"/>
      <c r="JLA313" s="1956"/>
      <c r="JLB313" s="1956"/>
      <c r="JLC313" s="1956"/>
      <c r="JLD313" s="1956"/>
      <c r="JLE313" s="1956"/>
      <c r="JLF313" s="1956"/>
      <c r="JLG313" s="1956"/>
      <c r="JLH313" s="1956"/>
      <c r="JLI313" s="1956"/>
      <c r="JLJ313" s="1956"/>
      <c r="JLK313" s="1956"/>
      <c r="JLL313" s="1956"/>
      <c r="JLM313" s="1956"/>
      <c r="JLN313" s="1956"/>
      <c r="JLO313" s="1956"/>
      <c r="JLP313" s="1956"/>
      <c r="JLQ313" s="1956"/>
      <c r="JLR313" s="1956"/>
      <c r="JLS313" s="1956"/>
      <c r="JLT313" s="1956"/>
      <c r="JLU313" s="1956"/>
      <c r="JLV313" s="1956"/>
      <c r="JLW313" s="1956"/>
      <c r="JLX313" s="1956"/>
      <c r="JLY313" s="1956"/>
      <c r="JLZ313" s="1956"/>
      <c r="JMA313" s="1956"/>
      <c r="JMB313" s="1956"/>
      <c r="JMC313" s="1956"/>
      <c r="JMD313" s="1956"/>
      <c r="JME313" s="1956"/>
      <c r="JMF313" s="1956"/>
      <c r="JMG313" s="1956"/>
      <c r="JMH313" s="1956"/>
      <c r="JMI313" s="1956"/>
      <c r="JMJ313" s="1956"/>
      <c r="JMK313" s="1956"/>
      <c r="JML313" s="1956"/>
      <c r="JMM313" s="1956"/>
      <c r="JMN313" s="1956"/>
      <c r="JMO313" s="1956"/>
      <c r="JMP313" s="1956"/>
      <c r="JMQ313" s="1956"/>
      <c r="JMR313" s="1956"/>
      <c r="JMS313" s="1956"/>
      <c r="JMT313" s="1956"/>
      <c r="JMU313" s="1956"/>
      <c r="JMV313" s="1956"/>
      <c r="JMW313" s="1956"/>
      <c r="JMX313" s="1956"/>
      <c r="JMY313" s="1956"/>
      <c r="JMZ313" s="1956"/>
      <c r="JNA313" s="1956"/>
      <c r="JNB313" s="1956"/>
      <c r="JNC313" s="1956"/>
      <c r="JND313" s="1956"/>
      <c r="JNE313" s="1956"/>
      <c r="JNF313" s="1956"/>
      <c r="JNG313" s="1956"/>
      <c r="JNH313" s="1956"/>
      <c r="JNI313" s="1956"/>
      <c r="JNJ313" s="1956"/>
      <c r="JNK313" s="1956"/>
      <c r="JNL313" s="1956"/>
      <c r="JNM313" s="1956"/>
      <c r="JNN313" s="1956"/>
      <c r="JNO313" s="1956"/>
      <c r="JNP313" s="1956"/>
      <c r="JNQ313" s="1956"/>
      <c r="JNR313" s="1956"/>
      <c r="JNS313" s="1956"/>
      <c r="JNT313" s="1956"/>
      <c r="JNU313" s="1956"/>
      <c r="JNV313" s="1956"/>
      <c r="JNW313" s="1956"/>
      <c r="JNX313" s="1956"/>
      <c r="JNY313" s="1956"/>
      <c r="JNZ313" s="1956"/>
      <c r="JOA313" s="1956"/>
      <c r="JOB313" s="1956"/>
      <c r="JOC313" s="1956"/>
      <c r="JOD313" s="1956"/>
      <c r="JOE313" s="1956"/>
      <c r="JOF313" s="1956"/>
      <c r="JOG313" s="1956"/>
      <c r="JOH313" s="1956"/>
      <c r="JOI313" s="1956"/>
      <c r="JOJ313" s="1956"/>
      <c r="JOK313" s="1956"/>
      <c r="JOL313" s="1956"/>
      <c r="JOM313" s="1956"/>
      <c r="JON313" s="1956"/>
      <c r="JOO313" s="1956"/>
      <c r="JOP313" s="1956"/>
      <c r="JOQ313" s="1956"/>
      <c r="JOR313" s="1956"/>
      <c r="JOS313" s="1956"/>
      <c r="JOT313" s="1956"/>
      <c r="JOU313" s="1956"/>
      <c r="JOV313" s="1956"/>
      <c r="JOW313" s="1956"/>
      <c r="JOX313" s="1956"/>
      <c r="JOY313" s="1956"/>
      <c r="JOZ313" s="1956"/>
      <c r="JPA313" s="1956"/>
      <c r="JPB313" s="1956"/>
      <c r="JPC313" s="1956"/>
      <c r="JPD313" s="1956"/>
      <c r="JPE313" s="1956"/>
      <c r="JPF313" s="1956"/>
      <c r="JPG313" s="1956"/>
      <c r="JPH313" s="1956"/>
      <c r="JPI313" s="1956"/>
      <c r="JPJ313" s="1956"/>
      <c r="JPK313" s="1956"/>
      <c r="JPL313" s="1956"/>
      <c r="JPM313" s="1956"/>
      <c r="JPN313" s="1956"/>
      <c r="JPO313" s="1956"/>
      <c r="JPP313" s="1956"/>
      <c r="JPQ313" s="1956"/>
      <c r="JPR313" s="1956"/>
      <c r="JPS313" s="1956"/>
      <c r="JPT313" s="1956"/>
      <c r="JPU313" s="1956"/>
      <c r="JPV313" s="1956"/>
      <c r="JPW313" s="1956"/>
      <c r="JPX313" s="1956"/>
      <c r="JPY313" s="1956"/>
      <c r="JPZ313" s="1956"/>
      <c r="JQA313" s="1956"/>
      <c r="JQB313" s="1956"/>
      <c r="JQC313" s="1956"/>
      <c r="JQD313" s="1956"/>
      <c r="JQE313" s="1956"/>
      <c r="JQF313" s="1956"/>
      <c r="JQG313" s="1956"/>
      <c r="JQH313" s="1956"/>
      <c r="JQI313" s="1956"/>
      <c r="JQJ313" s="1956"/>
      <c r="JQK313" s="1956"/>
      <c r="JQL313" s="1956"/>
      <c r="JQM313" s="1956"/>
      <c r="JQN313" s="1956"/>
      <c r="JQO313" s="1956"/>
      <c r="JQP313" s="1956"/>
      <c r="JQQ313" s="1956"/>
      <c r="JQR313" s="1956"/>
      <c r="JQS313" s="1956"/>
      <c r="JQT313" s="1956"/>
      <c r="JQU313" s="1956"/>
      <c r="JQV313" s="1956"/>
      <c r="JQW313" s="1956"/>
      <c r="JQX313" s="1956"/>
      <c r="JQY313" s="1956"/>
      <c r="JQZ313" s="1956"/>
      <c r="JRA313" s="1956"/>
      <c r="JRB313" s="1956"/>
      <c r="JRC313" s="1956"/>
      <c r="JRD313" s="1956"/>
      <c r="JRE313" s="1956"/>
      <c r="JRF313" s="1956"/>
      <c r="JRG313" s="1956"/>
      <c r="JRH313" s="1956"/>
      <c r="JRI313" s="1956"/>
      <c r="JRJ313" s="1956"/>
      <c r="JRK313" s="1956"/>
      <c r="JRL313" s="1956"/>
      <c r="JRM313" s="1956"/>
      <c r="JRN313" s="1956"/>
      <c r="JRO313" s="1956"/>
      <c r="JRP313" s="1956"/>
      <c r="JRQ313" s="1956"/>
      <c r="JRR313" s="1956"/>
      <c r="JRS313" s="1956"/>
      <c r="JRT313" s="1956"/>
      <c r="JRU313" s="1956"/>
      <c r="JRV313" s="1956"/>
      <c r="JRW313" s="1956"/>
      <c r="JRX313" s="1956"/>
      <c r="JRY313" s="1956"/>
      <c r="JRZ313" s="1956"/>
      <c r="JSA313" s="1956"/>
      <c r="JSB313" s="1956"/>
      <c r="JSC313" s="1956"/>
      <c r="JSD313" s="1956"/>
      <c r="JSE313" s="1956"/>
      <c r="JSF313" s="1956"/>
      <c r="JSG313" s="1956"/>
      <c r="JSH313" s="1956"/>
      <c r="JSI313" s="1956"/>
      <c r="JSJ313" s="1956"/>
      <c r="JSK313" s="1956"/>
      <c r="JSL313" s="1956"/>
      <c r="JSM313" s="1956"/>
      <c r="JSN313" s="1956"/>
      <c r="JSO313" s="1956"/>
      <c r="JSP313" s="1956"/>
      <c r="JSQ313" s="1956"/>
      <c r="JSR313" s="1956"/>
      <c r="JSS313" s="1956"/>
      <c r="JST313" s="1956"/>
      <c r="JSU313" s="1956"/>
      <c r="JSV313" s="1956"/>
      <c r="JSW313" s="1956"/>
      <c r="JSX313" s="1956"/>
      <c r="JSY313" s="1956"/>
      <c r="JSZ313" s="1956"/>
      <c r="JTA313" s="1956"/>
      <c r="JTB313" s="1956"/>
      <c r="JTC313" s="1956"/>
      <c r="JTD313" s="1956"/>
      <c r="JTE313" s="1956"/>
      <c r="JTF313" s="1956"/>
      <c r="JTG313" s="1956"/>
      <c r="JTH313" s="1956"/>
      <c r="JTI313" s="1956"/>
      <c r="JTJ313" s="1956"/>
      <c r="JTK313" s="1956"/>
      <c r="JTL313" s="1956"/>
      <c r="JTM313" s="1956"/>
      <c r="JTN313" s="1956"/>
      <c r="JTO313" s="1956"/>
      <c r="JTP313" s="1956"/>
      <c r="JTQ313" s="1956"/>
      <c r="JTR313" s="1956"/>
      <c r="JTS313" s="1956"/>
      <c r="JTT313" s="1956"/>
      <c r="JTU313" s="1956"/>
      <c r="JTV313" s="1956"/>
      <c r="JTW313" s="1956"/>
      <c r="JTX313" s="1956"/>
      <c r="JTY313" s="1956"/>
      <c r="JTZ313" s="1956"/>
      <c r="JUA313" s="1956"/>
      <c r="JUB313" s="1956"/>
      <c r="JUC313" s="1956"/>
      <c r="JUD313" s="1956"/>
      <c r="JUE313" s="1956"/>
      <c r="JUF313" s="1956"/>
      <c r="JUG313" s="1956"/>
      <c r="JUH313" s="1956"/>
      <c r="JUI313" s="1956"/>
      <c r="JUJ313" s="1956"/>
      <c r="JUK313" s="1956"/>
      <c r="JUL313" s="1956"/>
      <c r="JUM313" s="1956"/>
      <c r="JUN313" s="1956"/>
      <c r="JUO313" s="1956"/>
      <c r="JUP313" s="1956"/>
      <c r="JUQ313" s="1956"/>
      <c r="JUR313" s="1956"/>
      <c r="JUS313" s="1956"/>
      <c r="JUT313" s="1956"/>
      <c r="JUU313" s="1956"/>
      <c r="JUV313" s="1956"/>
      <c r="JUW313" s="1956"/>
      <c r="JUX313" s="1956"/>
      <c r="JUY313" s="1956"/>
      <c r="JUZ313" s="1956"/>
      <c r="JVA313" s="1956"/>
      <c r="JVB313" s="1956"/>
      <c r="JVC313" s="1956"/>
      <c r="JVD313" s="1956"/>
      <c r="JVE313" s="1956"/>
      <c r="JVF313" s="1956"/>
      <c r="JVG313" s="1956"/>
      <c r="JVH313" s="1956"/>
      <c r="JVI313" s="1956"/>
      <c r="JVJ313" s="1956"/>
      <c r="JVK313" s="1956"/>
      <c r="JVL313" s="1956"/>
      <c r="JVM313" s="1956"/>
      <c r="JVN313" s="1956"/>
      <c r="JVO313" s="1956"/>
      <c r="JVP313" s="1956"/>
      <c r="JVQ313" s="1956"/>
      <c r="JVR313" s="1956"/>
      <c r="JVS313" s="1956"/>
      <c r="JVT313" s="1956"/>
      <c r="JVU313" s="1956"/>
      <c r="JVV313" s="1956"/>
      <c r="JVW313" s="1956"/>
      <c r="JVX313" s="1956"/>
      <c r="JVY313" s="1956"/>
      <c r="JVZ313" s="1956"/>
      <c r="JWA313" s="1956"/>
      <c r="JWB313" s="1956"/>
      <c r="JWC313" s="1956"/>
      <c r="JWD313" s="1956"/>
      <c r="JWE313" s="1956"/>
      <c r="JWF313" s="1956"/>
      <c r="JWG313" s="1956"/>
      <c r="JWH313" s="1956"/>
      <c r="JWI313" s="1956"/>
      <c r="JWJ313" s="1956"/>
      <c r="JWK313" s="1956"/>
      <c r="JWL313" s="1956"/>
      <c r="JWM313" s="1956"/>
      <c r="JWN313" s="1956"/>
      <c r="JWO313" s="1956"/>
      <c r="JWP313" s="1956"/>
      <c r="JWQ313" s="1956"/>
      <c r="JWR313" s="1956"/>
      <c r="JWS313" s="1956"/>
      <c r="JWT313" s="1956"/>
      <c r="JWU313" s="1956"/>
      <c r="JWV313" s="1956"/>
      <c r="JWW313" s="1956"/>
      <c r="JWX313" s="1956"/>
      <c r="JWY313" s="1956"/>
      <c r="JWZ313" s="1956"/>
      <c r="JXA313" s="1956"/>
      <c r="JXB313" s="1956"/>
      <c r="JXC313" s="1956"/>
      <c r="JXD313" s="1956"/>
      <c r="JXE313" s="1956"/>
      <c r="JXF313" s="1956"/>
      <c r="JXG313" s="1956"/>
      <c r="JXH313" s="1956"/>
      <c r="JXI313" s="1956"/>
      <c r="JXJ313" s="1956"/>
      <c r="JXK313" s="1956"/>
      <c r="JXL313" s="1956"/>
      <c r="JXM313" s="1956"/>
      <c r="JXN313" s="1956"/>
      <c r="JXO313" s="1956"/>
      <c r="JXP313" s="1956"/>
      <c r="JXQ313" s="1956"/>
      <c r="JXR313" s="1956"/>
      <c r="JXS313" s="1956"/>
      <c r="JXT313" s="1956"/>
      <c r="JXU313" s="1956"/>
      <c r="JXV313" s="1956"/>
      <c r="JXW313" s="1956"/>
      <c r="JXX313" s="1956"/>
      <c r="JXY313" s="1956"/>
      <c r="JXZ313" s="1956"/>
      <c r="JYA313" s="1956"/>
      <c r="JYB313" s="1956"/>
      <c r="JYC313" s="1956"/>
      <c r="JYD313" s="1956"/>
      <c r="JYE313" s="1956"/>
      <c r="JYF313" s="1956"/>
      <c r="JYG313" s="1956"/>
      <c r="JYH313" s="1956"/>
      <c r="JYI313" s="1956"/>
      <c r="JYJ313" s="1956"/>
      <c r="JYK313" s="1956"/>
      <c r="JYL313" s="1956"/>
      <c r="JYM313" s="1956"/>
      <c r="JYN313" s="1956"/>
      <c r="JYO313" s="1956"/>
      <c r="JYP313" s="1956"/>
      <c r="JYQ313" s="1956"/>
      <c r="JYR313" s="1956"/>
      <c r="JYS313" s="1956"/>
      <c r="JYT313" s="1956"/>
      <c r="JYU313" s="1956"/>
      <c r="JYV313" s="1956"/>
      <c r="JYW313" s="1956"/>
      <c r="JYX313" s="1956"/>
      <c r="JYY313" s="1956"/>
      <c r="JYZ313" s="1956"/>
      <c r="JZA313" s="1956"/>
      <c r="JZB313" s="1956"/>
      <c r="JZC313" s="1956"/>
      <c r="JZD313" s="1956"/>
      <c r="JZE313" s="1956"/>
      <c r="JZF313" s="1956"/>
      <c r="JZG313" s="1956"/>
      <c r="JZH313" s="1956"/>
      <c r="JZI313" s="1956"/>
      <c r="JZJ313" s="1956"/>
      <c r="JZK313" s="1956"/>
      <c r="JZL313" s="1956"/>
      <c r="JZM313" s="1956"/>
      <c r="JZN313" s="1956"/>
      <c r="JZO313" s="1956"/>
      <c r="JZP313" s="1956"/>
      <c r="JZQ313" s="1956"/>
      <c r="JZR313" s="1956"/>
      <c r="JZS313" s="1956"/>
      <c r="JZT313" s="1956"/>
      <c r="JZU313" s="1956"/>
      <c r="JZV313" s="1956"/>
      <c r="JZW313" s="1956"/>
      <c r="JZX313" s="1956"/>
      <c r="JZY313" s="1956"/>
      <c r="JZZ313" s="1956"/>
      <c r="KAA313" s="1956"/>
      <c r="KAB313" s="1956"/>
      <c r="KAC313" s="1956"/>
      <c r="KAD313" s="1956"/>
      <c r="KAE313" s="1956"/>
      <c r="KAF313" s="1956"/>
      <c r="KAG313" s="1956"/>
      <c r="KAH313" s="1956"/>
      <c r="KAI313" s="1956"/>
      <c r="KAJ313" s="1956"/>
      <c r="KAK313" s="1956"/>
      <c r="KAL313" s="1956"/>
      <c r="KAM313" s="1956"/>
      <c r="KAN313" s="1956"/>
      <c r="KAO313" s="1956"/>
      <c r="KAP313" s="1956"/>
      <c r="KAQ313" s="1956"/>
      <c r="KAR313" s="1956"/>
      <c r="KAS313" s="1956"/>
      <c r="KAT313" s="1956"/>
      <c r="KAU313" s="1956"/>
      <c r="KAV313" s="1956"/>
      <c r="KAW313" s="1956"/>
      <c r="KAX313" s="1956"/>
      <c r="KAY313" s="1956"/>
      <c r="KAZ313" s="1956"/>
      <c r="KBA313" s="1956"/>
      <c r="KBB313" s="1956"/>
      <c r="KBC313" s="1956"/>
      <c r="KBD313" s="1956"/>
      <c r="KBE313" s="1956"/>
      <c r="KBF313" s="1956"/>
      <c r="KBG313" s="1956"/>
      <c r="KBH313" s="1956"/>
      <c r="KBI313" s="1956"/>
      <c r="KBJ313" s="1956"/>
      <c r="KBK313" s="1956"/>
      <c r="KBL313" s="1956"/>
      <c r="KBM313" s="1956"/>
      <c r="KBN313" s="1956"/>
      <c r="KBO313" s="1956"/>
      <c r="KBP313" s="1956"/>
      <c r="KBQ313" s="1956"/>
      <c r="KBR313" s="1956"/>
      <c r="KBS313" s="1956"/>
      <c r="KBT313" s="1956"/>
      <c r="KBU313" s="1956"/>
      <c r="KBV313" s="1956"/>
      <c r="KBW313" s="1956"/>
      <c r="KBX313" s="1956"/>
      <c r="KBY313" s="1956"/>
      <c r="KBZ313" s="1956"/>
      <c r="KCA313" s="1956"/>
      <c r="KCB313" s="1956"/>
      <c r="KCC313" s="1956"/>
      <c r="KCD313" s="1956"/>
      <c r="KCE313" s="1956"/>
      <c r="KCF313" s="1956"/>
      <c r="KCG313" s="1956"/>
      <c r="KCH313" s="1956"/>
      <c r="KCI313" s="1956"/>
      <c r="KCJ313" s="1956"/>
      <c r="KCK313" s="1956"/>
      <c r="KCL313" s="1956"/>
      <c r="KCM313" s="1956"/>
      <c r="KCN313" s="1956"/>
      <c r="KCO313" s="1956"/>
      <c r="KCP313" s="1956"/>
      <c r="KCQ313" s="1956"/>
      <c r="KCR313" s="1956"/>
      <c r="KCS313" s="1956"/>
      <c r="KCT313" s="1956"/>
      <c r="KCU313" s="1956"/>
      <c r="KCV313" s="1956"/>
      <c r="KCW313" s="1956"/>
      <c r="KCX313" s="1956"/>
      <c r="KCY313" s="1956"/>
      <c r="KCZ313" s="1956"/>
      <c r="KDA313" s="1956"/>
      <c r="KDB313" s="1956"/>
      <c r="KDC313" s="1956"/>
      <c r="KDD313" s="1956"/>
      <c r="KDE313" s="1956"/>
      <c r="KDF313" s="1956"/>
      <c r="KDG313" s="1956"/>
      <c r="KDH313" s="1956"/>
      <c r="KDI313" s="1956"/>
      <c r="KDJ313" s="1956"/>
      <c r="KDK313" s="1956"/>
      <c r="KDL313" s="1956"/>
      <c r="KDM313" s="1956"/>
      <c r="KDN313" s="1956"/>
      <c r="KDO313" s="1956"/>
      <c r="KDP313" s="1956"/>
      <c r="KDQ313" s="1956"/>
      <c r="KDR313" s="1956"/>
      <c r="KDS313" s="1956"/>
      <c r="KDT313" s="1956"/>
      <c r="KDU313" s="1956"/>
      <c r="KDV313" s="1956"/>
      <c r="KDW313" s="1956"/>
      <c r="KDX313" s="1956"/>
      <c r="KDY313" s="1956"/>
      <c r="KDZ313" s="1956"/>
      <c r="KEA313" s="1956"/>
      <c r="KEB313" s="1956"/>
      <c r="KEC313" s="1956"/>
      <c r="KED313" s="1956"/>
      <c r="KEE313" s="1956"/>
      <c r="KEF313" s="1956"/>
      <c r="KEG313" s="1956"/>
      <c r="KEH313" s="1956"/>
      <c r="KEI313" s="1956"/>
      <c r="KEJ313" s="1956"/>
      <c r="KEK313" s="1956"/>
      <c r="KEL313" s="1956"/>
      <c r="KEM313" s="1956"/>
      <c r="KEN313" s="1956"/>
      <c r="KEO313" s="1956"/>
      <c r="KEP313" s="1956"/>
      <c r="KEQ313" s="1956"/>
      <c r="KER313" s="1956"/>
      <c r="KES313" s="1956"/>
      <c r="KET313" s="1956"/>
      <c r="KEU313" s="1956"/>
      <c r="KEV313" s="1956"/>
      <c r="KEW313" s="1956"/>
      <c r="KEX313" s="1956"/>
      <c r="KEY313" s="1956"/>
      <c r="KEZ313" s="1956"/>
      <c r="KFA313" s="1956"/>
      <c r="KFB313" s="1956"/>
      <c r="KFC313" s="1956"/>
      <c r="KFD313" s="1956"/>
      <c r="KFE313" s="1956"/>
      <c r="KFF313" s="1956"/>
      <c r="KFG313" s="1956"/>
      <c r="KFH313" s="1956"/>
      <c r="KFI313" s="1956"/>
      <c r="KFJ313" s="1956"/>
      <c r="KFK313" s="1956"/>
      <c r="KFL313" s="1956"/>
      <c r="KFM313" s="1956"/>
      <c r="KFN313" s="1956"/>
      <c r="KFO313" s="1956"/>
      <c r="KFP313" s="1956"/>
      <c r="KFQ313" s="1956"/>
      <c r="KFR313" s="1956"/>
      <c r="KFS313" s="1956"/>
      <c r="KFT313" s="1956"/>
      <c r="KFU313" s="1956"/>
      <c r="KFV313" s="1956"/>
      <c r="KFW313" s="1956"/>
      <c r="KFX313" s="1956"/>
      <c r="KFY313" s="1956"/>
      <c r="KFZ313" s="1956"/>
      <c r="KGA313" s="1956"/>
      <c r="KGB313" s="1956"/>
      <c r="KGC313" s="1956"/>
      <c r="KGD313" s="1956"/>
      <c r="KGE313" s="1956"/>
      <c r="KGF313" s="1956"/>
      <c r="KGG313" s="1956"/>
      <c r="KGH313" s="1956"/>
      <c r="KGI313" s="1956"/>
      <c r="KGJ313" s="1956"/>
      <c r="KGK313" s="1956"/>
      <c r="KGL313" s="1956"/>
      <c r="KGM313" s="1956"/>
      <c r="KGN313" s="1956"/>
      <c r="KGO313" s="1956"/>
      <c r="KGP313" s="1956"/>
      <c r="KGQ313" s="1956"/>
      <c r="KGR313" s="1956"/>
      <c r="KGS313" s="1956"/>
      <c r="KGT313" s="1956"/>
      <c r="KGU313" s="1956"/>
      <c r="KGV313" s="1956"/>
      <c r="KGW313" s="1956"/>
      <c r="KGX313" s="1956"/>
      <c r="KGY313" s="1956"/>
      <c r="KGZ313" s="1956"/>
      <c r="KHA313" s="1956"/>
      <c r="KHB313" s="1956"/>
      <c r="KHC313" s="1956"/>
      <c r="KHD313" s="1956"/>
      <c r="KHE313" s="1956"/>
      <c r="KHF313" s="1956"/>
      <c r="KHG313" s="1956"/>
      <c r="KHH313" s="1956"/>
      <c r="KHI313" s="1956"/>
      <c r="KHJ313" s="1956"/>
      <c r="KHK313" s="1956"/>
      <c r="KHL313" s="1956"/>
      <c r="KHM313" s="1956"/>
      <c r="KHN313" s="1956"/>
      <c r="KHO313" s="1956"/>
      <c r="KHP313" s="1956"/>
      <c r="KHQ313" s="1956"/>
      <c r="KHR313" s="1956"/>
      <c r="KHS313" s="1956"/>
      <c r="KHT313" s="1956"/>
      <c r="KHU313" s="1956"/>
      <c r="KHV313" s="1956"/>
      <c r="KHW313" s="1956"/>
      <c r="KHX313" s="1956"/>
      <c r="KHY313" s="1956"/>
      <c r="KHZ313" s="1956"/>
      <c r="KIA313" s="1956"/>
      <c r="KIB313" s="1956"/>
      <c r="KIC313" s="1956"/>
      <c r="KID313" s="1956"/>
      <c r="KIE313" s="1956"/>
      <c r="KIF313" s="1956"/>
      <c r="KIG313" s="1956"/>
      <c r="KIH313" s="1956"/>
      <c r="KII313" s="1956"/>
      <c r="KIJ313" s="1956"/>
      <c r="KIK313" s="1956"/>
      <c r="KIL313" s="1956"/>
      <c r="KIM313" s="1956"/>
      <c r="KIN313" s="1956"/>
      <c r="KIO313" s="1956"/>
      <c r="KIP313" s="1956"/>
      <c r="KIQ313" s="1956"/>
      <c r="KIR313" s="1956"/>
      <c r="KIS313" s="1956"/>
      <c r="KIT313" s="1956"/>
      <c r="KIU313" s="1956"/>
      <c r="KIV313" s="1956"/>
      <c r="KIW313" s="1956"/>
      <c r="KIX313" s="1956"/>
      <c r="KIY313" s="1956"/>
      <c r="KIZ313" s="1956"/>
      <c r="KJA313" s="1956"/>
      <c r="KJB313" s="1956"/>
      <c r="KJC313" s="1956"/>
      <c r="KJD313" s="1956"/>
      <c r="KJE313" s="1956"/>
      <c r="KJF313" s="1956"/>
      <c r="KJG313" s="1956"/>
      <c r="KJH313" s="1956"/>
      <c r="KJI313" s="1956"/>
      <c r="KJJ313" s="1956"/>
      <c r="KJK313" s="1956"/>
      <c r="KJL313" s="1956"/>
      <c r="KJM313" s="1956"/>
      <c r="KJN313" s="1956"/>
      <c r="KJO313" s="1956"/>
      <c r="KJP313" s="1956"/>
      <c r="KJQ313" s="1956"/>
      <c r="KJR313" s="1956"/>
      <c r="KJS313" s="1956"/>
      <c r="KJT313" s="1956"/>
      <c r="KJU313" s="1956"/>
      <c r="KJV313" s="1956"/>
      <c r="KJW313" s="1956"/>
      <c r="KJX313" s="1956"/>
      <c r="KJY313" s="1956"/>
      <c r="KJZ313" s="1956"/>
      <c r="KKA313" s="1956"/>
      <c r="KKB313" s="1956"/>
      <c r="KKC313" s="1956"/>
      <c r="KKD313" s="1956"/>
      <c r="KKE313" s="1956"/>
      <c r="KKF313" s="1956"/>
      <c r="KKG313" s="1956"/>
      <c r="KKH313" s="1956"/>
      <c r="KKI313" s="1956"/>
      <c r="KKJ313" s="1956"/>
      <c r="KKK313" s="1956"/>
      <c r="KKL313" s="1956"/>
      <c r="KKM313" s="1956"/>
      <c r="KKN313" s="1956"/>
      <c r="KKO313" s="1956"/>
      <c r="KKP313" s="1956"/>
      <c r="KKQ313" s="1956"/>
      <c r="KKR313" s="1956"/>
      <c r="KKS313" s="1956"/>
      <c r="KKT313" s="1956"/>
      <c r="KKU313" s="1956"/>
      <c r="KKV313" s="1956"/>
      <c r="KKW313" s="1956"/>
      <c r="KKX313" s="1956"/>
      <c r="KKY313" s="1956"/>
      <c r="KKZ313" s="1956"/>
      <c r="KLA313" s="1956"/>
      <c r="KLB313" s="1956"/>
      <c r="KLC313" s="1956"/>
      <c r="KLD313" s="1956"/>
      <c r="KLE313" s="1956"/>
      <c r="KLF313" s="1956"/>
      <c r="KLG313" s="1956"/>
      <c r="KLH313" s="1956"/>
      <c r="KLI313" s="1956"/>
      <c r="KLJ313" s="1956"/>
      <c r="KLK313" s="1956"/>
      <c r="KLL313" s="1956"/>
      <c r="KLM313" s="1956"/>
      <c r="KLN313" s="1956"/>
      <c r="KLO313" s="1956"/>
      <c r="KLP313" s="1956"/>
      <c r="KLQ313" s="1956"/>
      <c r="KLR313" s="1956"/>
      <c r="KLS313" s="1956"/>
      <c r="KLT313" s="1956"/>
      <c r="KLU313" s="1956"/>
      <c r="KLV313" s="1956"/>
      <c r="KLW313" s="1956"/>
      <c r="KLX313" s="1956"/>
      <c r="KLY313" s="1956"/>
      <c r="KLZ313" s="1956"/>
      <c r="KMA313" s="1956"/>
      <c r="KMB313" s="1956"/>
      <c r="KMC313" s="1956"/>
      <c r="KMD313" s="1956"/>
      <c r="KME313" s="1956"/>
      <c r="KMF313" s="1956"/>
      <c r="KMG313" s="1956"/>
      <c r="KMH313" s="1956"/>
      <c r="KMI313" s="1956"/>
      <c r="KMJ313" s="1956"/>
      <c r="KMK313" s="1956"/>
      <c r="KML313" s="1956"/>
      <c r="KMM313" s="1956"/>
      <c r="KMN313" s="1956"/>
      <c r="KMO313" s="1956"/>
      <c r="KMP313" s="1956"/>
      <c r="KMQ313" s="1956"/>
      <c r="KMR313" s="1956"/>
      <c r="KMS313" s="1956"/>
      <c r="KMT313" s="1956"/>
      <c r="KMU313" s="1956"/>
      <c r="KMV313" s="1956"/>
      <c r="KMW313" s="1956"/>
      <c r="KMX313" s="1956"/>
      <c r="KMY313" s="1956"/>
      <c r="KMZ313" s="1956"/>
      <c r="KNA313" s="1956"/>
      <c r="KNB313" s="1956"/>
      <c r="KNC313" s="1956"/>
      <c r="KND313" s="1956"/>
      <c r="KNE313" s="1956"/>
      <c r="KNF313" s="1956"/>
      <c r="KNG313" s="1956"/>
      <c r="KNH313" s="1956"/>
      <c r="KNI313" s="1956"/>
      <c r="KNJ313" s="1956"/>
      <c r="KNK313" s="1956"/>
      <c r="KNL313" s="1956"/>
      <c r="KNM313" s="1956"/>
      <c r="KNN313" s="1956"/>
      <c r="KNO313" s="1956"/>
      <c r="KNP313" s="1956"/>
      <c r="KNQ313" s="1956"/>
      <c r="KNR313" s="1956"/>
      <c r="KNS313" s="1956"/>
      <c r="KNT313" s="1956"/>
      <c r="KNU313" s="1956"/>
      <c r="KNV313" s="1956"/>
      <c r="KNW313" s="1956"/>
      <c r="KNX313" s="1956"/>
      <c r="KNY313" s="1956"/>
      <c r="KNZ313" s="1956"/>
      <c r="KOA313" s="1956"/>
      <c r="KOB313" s="1956"/>
      <c r="KOC313" s="1956"/>
      <c r="KOD313" s="1956"/>
      <c r="KOE313" s="1956"/>
      <c r="KOF313" s="1956"/>
      <c r="KOG313" s="1956"/>
      <c r="KOH313" s="1956"/>
      <c r="KOI313" s="1956"/>
      <c r="KOJ313" s="1956"/>
      <c r="KOK313" s="1956"/>
      <c r="KOL313" s="1956"/>
      <c r="KOM313" s="1956"/>
      <c r="KON313" s="1956"/>
      <c r="KOO313" s="1956"/>
      <c r="KOP313" s="1956"/>
      <c r="KOQ313" s="1956"/>
      <c r="KOR313" s="1956"/>
      <c r="KOS313" s="1956"/>
      <c r="KOT313" s="1956"/>
      <c r="KOU313" s="1956"/>
      <c r="KOV313" s="1956"/>
      <c r="KOW313" s="1956"/>
      <c r="KOX313" s="1956"/>
      <c r="KOY313" s="1956"/>
      <c r="KOZ313" s="1956"/>
      <c r="KPA313" s="1956"/>
      <c r="KPB313" s="1956"/>
      <c r="KPC313" s="1956"/>
      <c r="KPD313" s="1956"/>
      <c r="KPE313" s="1956"/>
      <c r="KPF313" s="1956"/>
      <c r="KPG313" s="1956"/>
      <c r="KPH313" s="1956"/>
      <c r="KPI313" s="1956"/>
      <c r="KPJ313" s="1956"/>
      <c r="KPK313" s="1956"/>
      <c r="KPL313" s="1956"/>
      <c r="KPM313" s="1956"/>
      <c r="KPN313" s="1956"/>
      <c r="KPO313" s="1956"/>
      <c r="KPP313" s="1956"/>
      <c r="KPQ313" s="1956"/>
      <c r="KPR313" s="1956"/>
      <c r="KPS313" s="1956"/>
      <c r="KPT313" s="1956"/>
      <c r="KPU313" s="1956"/>
      <c r="KPV313" s="1956"/>
      <c r="KPW313" s="1956"/>
      <c r="KPX313" s="1956"/>
      <c r="KPY313" s="1956"/>
      <c r="KPZ313" s="1956"/>
      <c r="KQA313" s="1956"/>
      <c r="KQB313" s="1956"/>
      <c r="KQC313" s="1956"/>
      <c r="KQD313" s="1956"/>
      <c r="KQE313" s="1956"/>
      <c r="KQF313" s="1956"/>
      <c r="KQG313" s="1956"/>
      <c r="KQH313" s="1956"/>
      <c r="KQI313" s="1956"/>
      <c r="KQJ313" s="1956"/>
      <c r="KQK313" s="1956"/>
      <c r="KQL313" s="1956"/>
      <c r="KQM313" s="1956"/>
      <c r="KQN313" s="1956"/>
      <c r="KQO313" s="1956"/>
      <c r="KQP313" s="1956"/>
      <c r="KQQ313" s="1956"/>
      <c r="KQR313" s="1956"/>
      <c r="KQS313" s="1956"/>
      <c r="KQT313" s="1956"/>
      <c r="KQU313" s="1956"/>
      <c r="KQV313" s="1956"/>
      <c r="KQW313" s="1956"/>
      <c r="KQX313" s="1956"/>
      <c r="KQY313" s="1956"/>
      <c r="KQZ313" s="1956"/>
      <c r="KRA313" s="1956"/>
      <c r="KRB313" s="1956"/>
      <c r="KRC313" s="1956"/>
      <c r="KRD313" s="1956"/>
      <c r="KRE313" s="1956"/>
      <c r="KRF313" s="1956"/>
      <c r="KRG313" s="1956"/>
      <c r="KRH313" s="1956"/>
      <c r="KRI313" s="1956"/>
      <c r="KRJ313" s="1956"/>
      <c r="KRK313" s="1956"/>
      <c r="KRL313" s="1956"/>
      <c r="KRM313" s="1956"/>
      <c r="KRN313" s="1956"/>
      <c r="KRO313" s="1956"/>
      <c r="KRP313" s="1956"/>
      <c r="KRQ313" s="1956"/>
      <c r="KRR313" s="1956"/>
      <c r="KRS313" s="1956"/>
      <c r="KRT313" s="1956"/>
      <c r="KRU313" s="1956"/>
      <c r="KRV313" s="1956"/>
      <c r="KRW313" s="1956"/>
      <c r="KRX313" s="1956"/>
      <c r="KRY313" s="1956"/>
      <c r="KRZ313" s="1956"/>
      <c r="KSA313" s="1956"/>
      <c r="KSB313" s="1956"/>
      <c r="KSC313" s="1956"/>
      <c r="KSD313" s="1956"/>
      <c r="KSE313" s="1956"/>
      <c r="KSF313" s="1956"/>
      <c r="KSG313" s="1956"/>
      <c r="KSH313" s="1956"/>
      <c r="KSI313" s="1956"/>
      <c r="KSJ313" s="1956"/>
      <c r="KSK313" s="1956"/>
      <c r="KSL313" s="1956"/>
      <c r="KSM313" s="1956"/>
      <c r="KSN313" s="1956"/>
      <c r="KSO313" s="1956"/>
      <c r="KSP313" s="1956"/>
      <c r="KSQ313" s="1956"/>
      <c r="KSR313" s="1956"/>
      <c r="KSS313" s="1956"/>
      <c r="KST313" s="1956"/>
      <c r="KSU313" s="1956"/>
      <c r="KSV313" s="1956"/>
      <c r="KSW313" s="1956"/>
      <c r="KSX313" s="1956"/>
      <c r="KSY313" s="1956"/>
      <c r="KSZ313" s="1956"/>
      <c r="KTA313" s="1956"/>
      <c r="KTB313" s="1956"/>
      <c r="KTC313" s="1956"/>
      <c r="KTD313" s="1956"/>
      <c r="KTE313" s="1956"/>
      <c r="KTF313" s="1956"/>
      <c r="KTG313" s="1956"/>
      <c r="KTH313" s="1956"/>
      <c r="KTI313" s="1956"/>
      <c r="KTJ313" s="1956"/>
      <c r="KTK313" s="1956"/>
      <c r="KTL313" s="1956"/>
      <c r="KTM313" s="1956"/>
      <c r="KTN313" s="1956"/>
      <c r="KTO313" s="1956"/>
      <c r="KTP313" s="1956"/>
      <c r="KTQ313" s="1956"/>
      <c r="KTR313" s="1956"/>
      <c r="KTS313" s="1956"/>
      <c r="KTT313" s="1956"/>
      <c r="KTU313" s="1956"/>
      <c r="KTV313" s="1956"/>
      <c r="KTW313" s="1956"/>
      <c r="KTX313" s="1956"/>
      <c r="KTY313" s="1956"/>
      <c r="KTZ313" s="1956"/>
      <c r="KUA313" s="1956"/>
      <c r="KUB313" s="1956"/>
      <c r="KUC313" s="1956"/>
      <c r="KUD313" s="1956"/>
      <c r="KUE313" s="1956"/>
      <c r="KUF313" s="1956"/>
      <c r="KUG313" s="1956"/>
      <c r="KUH313" s="1956"/>
      <c r="KUI313" s="1956"/>
      <c r="KUJ313" s="1956"/>
      <c r="KUK313" s="1956"/>
      <c r="KUL313" s="1956"/>
      <c r="KUM313" s="1956"/>
      <c r="KUN313" s="1956"/>
      <c r="KUO313" s="1956"/>
      <c r="KUP313" s="1956"/>
      <c r="KUQ313" s="1956"/>
      <c r="KUR313" s="1956"/>
      <c r="KUS313" s="1956"/>
      <c r="KUT313" s="1956"/>
      <c r="KUU313" s="1956"/>
      <c r="KUV313" s="1956"/>
      <c r="KUW313" s="1956"/>
      <c r="KUX313" s="1956"/>
      <c r="KUY313" s="1956"/>
      <c r="KUZ313" s="1956"/>
      <c r="KVA313" s="1956"/>
      <c r="KVB313" s="1956"/>
      <c r="KVC313" s="1956"/>
      <c r="KVD313" s="1956"/>
      <c r="KVE313" s="1956"/>
      <c r="KVF313" s="1956"/>
      <c r="KVG313" s="1956"/>
      <c r="KVH313" s="1956"/>
      <c r="KVI313" s="1956"/>
      <c r="KVJ313" s="1956"/>
      <c r="KVK313" s="1956"/>
      <c r="KVL313" s="1956"/>
      <c r="KVM313" s="1956"/>
      <c r="KVN313" s="1956"/>
      <c r="KVO313" s="1956"/>
      <c r="KVP313" s="1956"/>
      <c r="KVQ313" s="1956"/>
      <c r="KVR313" s="1956"/>
      <c r="KVS313" s="1956"/>
      <c r="KVT313" s="1956"/>
      <c r="KVU313" s="1956"/>
      <c r="KVV313" s="1956"/>
      <c r="KVW313" s="1956"/>
      <c r="KVX313" s="1956"/>
      <c r="KVY313" s="1956"/>
      <c r="KVZ313" s="1956"/>
      <c r="KWA313" s="1956"/>
      <c r="KWB313" s="1956"/>
      <c r="KWC313" s="1956"/>
      <c r="KWD313" s="1956"/>
      <c r="KWE313" s="1956"/>
      <c r="KWF313" s="1956"/>
      <c r="KWG313" s="1956"/>
      <c r="KWH313" s="1956"/>
      <c r="KWI313" s="1956"/>
      <c r="KWJ313" s="1956"/>
      <c r="KWK313" s="1956"/>
      <c r="KWL313" s="1956"/>
      <c r="KWM313" s="1956"/>
      <c r="KWN313" s="1956"/>
      <c r="KWO313" s="1956"/>
      <c r="KWP313" s="1956"/>
      <c r="KWQ313" s="1956"/>
      <c r="KWR313" s="1956"/>
      <c r="KWS313" s="1956"/>
      <c r="KWT313" s="1956"/>
      <c r="KWU313" s="1956"/>
      <c r="KWV313" s="1956"/>
      <c r="KWW313" s="1956"/>
      <c r="KWX313" s="1956"/>
      <c r="KWY313" s="1956"/>
      <c r="KWZ313" s="1956"/>
      <c r="KXA313" s="1956"/>
      <c r="KXB313" s="1956"/>
      <c r="KXC313" s="1956"/>
      <c r="KXD313" s="1956"/>
      <c r="KXE313" s="1956"/>
      <c r="KXF313" s="1956"/>
      <c r="KXG313" s="1956"/>
      <c r="KXH313" s="1956"/>
      <c r="KXI313" s="1956"/>
      <c r="KXJ313" s="1956"/>
      <c r="KXK313" s="1956"/>
      <c r="KXL313" s="1956"/>
      <c r="KXM313" s="1956"/>
      <c r="KXN313" s="1956"/>
      <c r="KXO313" s="1956"/>
      <c r="KXP313" s="1956"/>
      <c r="KXQ313" s="1956"/>
      <c r="KXR313" s="1956"/>
      <c r="KXS313" s="1956"/>
      <c r="KXT313" s="1956"/>
      <c r="KXU313" s="1956"/>
      <c r="KXV313" s="1956"/>
      <c r="KXW313" s="1956"/>
      <c r="KXX313" s="1956"/>
      <c r="KXY313" s="1956"/>
      <c r="KXZ313" s="1956"/>
      <c r="KYA313" s="1956"/>
      <c r="KYB313" s="1956"/>
      <c r="KYC313" s="1956"/>
      <c r="KYD313" s="1956"/>
      <c r="KYE313" s="1956"/>
      <c r="KYF313" s="1956"/>
      <c r="KYG313" s="1956"/>
      <c r="KYH313" s="1956"/>
      <c r="KYI313" s="1956"/>
      <c r="KYJ313" s="1956"/>
      <c r="KYK313" s="1956"/>
      <c r="KYL313" s="1956"/>
      <c r="KYM313" s="1956"/>
      <c r="KYN313" s="1956"/>
      <c r="KYO313" s="1956"/>
      <c r="KYP313" s="1956"/>
      <c r="KYQ313" s="1956"/>
      <c r="KYR313" s="1956"/>
      <c r="KYS313" s="1956"/>
      <c r="KYT313" s="1956"/>
      <c r="KYU313" s="1956"/>
      <c r="KYV313" s="1956"/>
      <c r="KYW313" s="1956"/>
      <c r="KYX313" s="1956"/>
      <c r="KYY313" s="1956"/>
      <c r="KYZ313" s="1956"/>
      <c r="KZA313" s="1956"/>
      <c r="KZB313" s="1956"/>
      <c r="KZC313" s="1956"/>
      <c r="KZD313" s="1956"/>
      <c r="KZE313" s="1956"/>
      <c r="KZF313" s="1956"/>
      <c r="KZG313" s="1956"/>
      <c r="KZH313" s="1956"/>
      <c r="KZI313" s="1956"/>
      <c r="KZJ313" s="1956"/>
      <c r="KZK313" s="1956"/>
      <c r="KZL313" s="1956"/>
      <c r="KZM313" s="1956"/>
      <c r="KZN313" s="1956"/>
      <c r="KZO313" s="1956"/>
      <c r="KZP313" s="1956"/>
      <c r="KZQ313" s="1956"/>
      <c r="KZR313" s="1956"/>
      <c r="KZS313" s="1956"/>
      <c r="KZT313" s="1956"/>
      <c r="KZU313" s="1956"/>
      <c r="KZV313" s="1956"/>
      <c r="KZW313" s="1956"/>
      <c r="KZX313" s="1956"/>
      <c r="KZY313" s="1956"/>
      <c r="KZZ313" s="1956"/>
      <c r="LAA313" s="1956"/>
      <c r="LAB313" s="1956"/>
      <c r="LAC313" s="1956"/>
      <c r="LAD313" s="1956"/>
      <c r="LAE313" s="1956"/>
      <c r="LAF313" s="1956"/>
      <c r="LAG313" s="1956"/>
      <c r="LAH313" s="1956"/>
      <c r="LAI313" s="1956"/>
      <c r="LAJ313" s="1956"/>
      <c r="LAK313" s="1956"/>
      <c r="LAL313" s="1956"/>
      <c r="LAM313" s="1956"/>
      <c r="LAN313" s="1956"/>
      <c r="LAO313" s="1956"/>
      <c r="LAP313" s="1956"/>
      <c r="LAQ313" s="1956"/>
      <c r="LAR313" s="1956"/>
      <c r="LAS313" s="1956"/>
      <c r="LAT313" s="1956"/>
      <c r="LAU313" s="1956"/>
      <c r="LAV313" s="1956"/>
      <c r="LAW313" s="1956"/>
      <c r="LAX313" s="1956"/>
      <c r="LAY313" s="1956"/>
      <c r="LAZ313" s="1956"/>
      <c r="LBA313" s="1956"/>
      <c r="LBB313" s="1956"/>
      <c r="LBC313" s="1956"/>
      <c r="LBD313" s="1956"/>
      <c r="LBE313" s="1956"/>
      <c r="LBF313" s="1956"/>
      <c r="LBG313" s="1956"/>
      <c r="LBH313" s="1956"/>
      <c r="LBI313" s="1956"/>
      <c r="LBJ313" s="1956"/>
      <c r="LBK313" s="1956"/>
      <c r="LBL313" s="1956"/>
      <c r="LBM313" s="1956"/>
      <c r="LBN313" s="1956"/>
      <c r="LBO313" s="1956"/>
      <c r="LBP313" s="1956"/>
      <c r="LBQ313" s="1956"/>
      <c r="LBR313" s="1956"/>
      <c r="LBS313" s="1956"/>
      <c r="LBT313" s="1956"/>
      <c r="LBU313" s="1956"/>
      <c r="LBV313" s="1956"/>
      <c r="LBW313" s="1956"/>
      <c r="LBX313" s="1956"/>
      <c r="LBY313" s="1956"/>
      <c r="LBZ313" s="1956"/>
      <c r="LCA313" s="1956"/>
      <c r="LCB313" s="1956"/>
      <c r="LCC313" s="1956"/>
      <c r="LCD313" s="1956"/>
      <c r="LCE313" s="1956"/>
      <c r="LCF313" s="1956"/>
      <c r="LCG313" s="1956"/>
      <c r="LCH313" s="1956"/>
      <c r="LCI313" s="1956"/>
      <c r="LCJ313" s="1956"/>
      <c r="LCK313" s="1956"/>
      <c r="LCL313" s="1956"/>
      <c r="LCM313" s="1956"/>
      <c r="LCN313" s="1956"/>
      <c r="LCO313" s="1956"/>
      <c r="LCP313" s="1956"/>
      <c r="LCQ313" s="1956"/>
      <c r="LCR313" s="1956"/>
      <c r="LCS313" s="1956"/>
      <c r="LCT313" s="1956"/>
      <c r="LCU313" s="1956"/>
      <c r="LCV313" s="1956"/>
      <c r="LCW313" s="1956"/>
      <c r="LCX313" s="1956"/>
      <c r="LCY313" s="1956"/>
      <c r="LCZ313" s="1956"/>
      <c r="LDA313" s="1956"/>
      <c r="LDB313" s="1956"/>
      <c r="LDC313" s="1956"/>
      <c r="LDD313" s="1956"/>
      <c r="LDE313" s="1956"/>
      <c r="LDF313" s="1956"/>
      <c r="LDG313" s="1956"/>
      <c r="LDH313" s="1956"/>
      <c r="LDI313" s="1956"/>
      <c r="LDJ313" s="1956"/>
      <c r="LDK313" s="1956"/>
      <c r="LDL313" s="1956"/>
      <c r="LDM313" s="1956"/>
      <c r="LDN313" s="1956"/>
      <c r="LDO313" s="1956"/>
      <c r="LDP313" s="1956"/>
      <c r="LDQ313" s="1956"/>
      <c r="LDR313" s="1956"/>
      <c r="LDS313" s="1956"/>
      <c r="LDT313" s="1956"/>
      <c r="LDU313" s="1956"/>
      <c r="LDV313" s="1956"/>
      <c r="LDW313" s="1956"/>
      <c r="LDX313" s="1956"/>
      <c r="LDY313" s="1956"/>
      <c r="LDZ313" s="1956"/>
      <c r="LEA313" s="1956"/>
      <c r="LEB313" s="1956"/>
      <c r="LEC313" s="1956"/>
      <c r="LED313" s="1956"/>
      <c r="LEE313" s="1956"/>
      <c r="LEF313" s="1956"/>
      <c r="LEG313" s="1956"/>
      <c r="LEH313" s="1956"/>
      <c r="LEI313" s="1956"/>
      <c r="LEJ313" s="1956"/>
      <c r="LEK313" s="1956"/>
      <c r="LEL313" s="1956"/>
      <c r="LEM313" s="1956"/>
      <c r="LEN313" s="1956"/>
      <c r="LEO313" s="1956"/>
      <c r="LEP313" s="1956"/>
      <c r="LEQ313" s="1956"/>
      <c r="LER313" s="1956"/>
      <c r="LES313" s="1956"/>
      <c r="LET313" s="1956"/>
      <c r="LEU313" s="1956"/>
      <c r="LEV313" s="1956"/>
      <c r="LEW313" s="1956"/>
      <c r="LEX313" s="1956"/>
      <c r="LEY313" s="1956"/>
      <c r="LEZ313" s="1956"/>
      <c r="LFA313" s="1956"/>
      <c r="LFB313" s="1956"/>
      <c r="LFC313" s="1956"/>
      <c r="LFD313" s="1956"/>
      <c r="LFE313" s="1956"/>
      <c r="LFF313" s="1956"/>
      <c r="LFG313" s="1956"/>
      <c r="LFH313" s="1956"/>
      <c r="LFI313" s="1956"/>
      <c r="LFJ313" s="1956"/>
      <c r="LFK313" s="1956"/>
      <c r="LFL313" s="1956"/>
      <c r="LFM313" s="1956"/>
      <c r="LFN313" s="1956"/>
      <c r="LFO313" s="1956"/>
      <c r="LFP313" s="1956"/>
      <c r="LFQ313" s="1956"/>
      <c r="LFR313" s="1956"/>
      <c r="LFS313" s="1956"/>
      <c r="LFT313" s="1956"/>
      <c r="LFU313" s="1956"/>
      <c r="LFV313" s="1956"/>
      <c r="LFW313" s="1956"/>
      <c r="LFX313" s="1956"/>
      <c r="LFY313" s="1956"/>
      <c r="LFZ313" s="1956"/>
      <c r="LGA313" s="1956"/>
      <c r="LGB313" s="1956"/>
      <c r="LGC313" s="1956"/>
      <c r="LGD313" s="1956"/>
      <c r="LGE313" s="1956"/>
      <c r="LGF313" s="1956"/>
      <c r="LGG313" s="1956"/>
      <c r="LGH313" s="1956"/>
      <c r="LGI313" s="1956"/>
      <c r="LGJ313" s="1956"/>
      <c r="LGK313" s="1956"/>
      <c r="LGL313" s="1956"/>
      <c r="LGM313" s="1956"/>
      <c r="LGN313" s="1956"/>
      <c r="LGO313" s="1956"/>
      <c r="LGP313" s="1956"/>
      <c r="LGQ313" s="1956"/>
      <c r="LGR313" s="1956"/>
      <c r="LGS313" s="1956"/>
      <c r="LGT313" s="1956"/>
      <c r="LGU313" s="1956"/>
      <c r="LGV313" s="1956"/>
      <c r="LGW313" s="1956"/>
      <c r="LGX313" s="1956"/>
      <c r="LGY313" s="1956"/>
      <c r="LGZ313" s="1956"/>
      <c r="LHA313" s="1956"/>
      <c r="LHB313" s="1956"/>
      <c r="LHC313" s="1956"/>
      <c r="LHD313" s="1956"/>
      <c r="LHE313" s="1956"/>
      <c r="LHF313" s="1956"/>
      <c r="LHG313" s="1956"/>
      <c r="LHH313" s="1956"/>
      <c r="LHI313" s="1956"/>
      <c r="LHJ313" s="1956"/>
      <c r="LHK313" s="1956"/>
      <c r="LHL313" s="1956"/>
      <c r="LHM313" s="1956"/>
      <c r="LHN313" s="1956"/>
      <c r="LHO313" s="1956"/>
      <c r="LHP313" s="1956"/>
      <c r="LHQ313" s="1956"/>
      <c r="LHR313" s="1956"/>
      <c r="LHS313" s="1956"/>
      <c r="LHT313" s="1956"/>
      <c r="LHU313" s="1956"/>
      <c r="LHV313" s="1956"/>
      <c r="LHW313" s="1956"/>
      <c r="LHX313" s="1956"/>
      <c r="LHY313" s="1956"/>
      <c r="LHZ313" s="1956"/>
      <c r="LIA313" s="1956"/>
      <c r="LIB313" s="1956"/>
      <c r="LIC313" s="1956"/>
      <c r="LID313" s="1956"/>
      <c r="LIE313" s="1956"/>
      <c r="LIF313" s="1956"/>
      <c r="LIG313" s="1956"/>
      <c r="LIH313" s="1956"/>
      <c r="LII313" s="1956"/>
      <c r="LIJ313" s="1956"/>
      <c r="LIK313" s="1956"/>
      <c r="LIL313" s="1956"/>
      <c r="LIM313" s="1956"/>
      <c r="LIN313" s="1956"/>
      <c r="LIO313" s="1956"/>
      <c r="LIP313" s="1956"/>
      <c r="LIQ313" s="1956"/>
      <c r="LIR313" s="1956"/>
      <c r="LIS313" s="1956"/>
      <c r="LIT313" s="1956"/>
      <c r="LIU313" s="1956"/>
      <c r="LIV313" s="1956"/>
      <c r="LIW313" s="1956"/>
      <c r="LIX313" s="1956"/>
      <c r="LIY313" s="1956"/>
      <c r="LIZ313" s="1956"/>
      <c r="LJA313" s="1956"/>
      <c r="LJB313" s="1956"/>
      <c r="LJC313" s="1956"/>
      <c r="LJD313" s="1956"/>
      <c r="LJE313" s="1956"/>
      <c r="LJF313" s="1956"/>
      <c r="LJG313" s="1956"/>
      <c r="LJH313" s="1956"/>
      <c r="LJI313" s="1956"/>
      <c r="LJJ313" s="1956"/>
      <c r="LJK313" s="1956"/>
      <c r="LJL313" s="1956"/>
      <c r="LJM313" s="1956"/>
      <c r="LJN313" s="1956"/>
      <c r="LJO313" s="1956"/>
      <c r="LJP313" s="1956"/>
      <c r="LJQ313" s="1956"/>
      <c r="LJR313" s="1956"/>
      <c r="LJS313" s="1956"/>
      <c r="LJT313" s="1956"/>
      <c r="LJU313" s="1956"/>
      <c r="LJV313" s="1956"/>
      <c r="LJW313" s="1956"/>
      <c r="LJX313" s="1956"/>
      <c r="LJY313" s="1956"/>
      <c r="LJZ313" s="1956"/>
      <c r="LKA313" s="1956"/>
      <c r="LKB313" s="1956"/>
      <c r="LKC313" s="1956"/>
      <c r="LKD313" s="1956"/>
      <c r="LKE313" s="1956"/>
      <c r="LKF313" s="1956"/>
      <c r="LKG313" s="1956"/>
      <c r="LKH313" s="1956"/>
      <c r="LKI313" s="1956"/>
      <c r="LKJ313" s="1956"/>
      <c r="LKK313" s="1956"/>
      <c r="LKL313" s="1956"/>
      <c r="LKM313" s="1956"/>
      <c r="LKN313" s="1956"/>
      <c r="LKO313" s="1956"/>
      <c r="LKP313" s="1956"/>
      <c r="LKQ313" s="1956"/>
      <c r="LKR313" s="1956"/>
      <c r="LKS313" s="1956"/>
      <c r="LKT313" s="1956"/>
      <c r="LKU313" s="1956"/>
      <c r="LKV313" s="1956"/>
      <c r="LKW313" s="1956"/>
      <c r="LKX313" s="1956"/>
      <c r="LKY313" s="1956"/>
      <c r="LKZ313" s="1956"/>
      <c r="LLA313" s="1956"/>
      <c r="LLB313" s="1956"/>
      <c r="LLC313" s="1956"/>
      <c r="LLD313" s="1956"/>
      <c r="LLE313" s="1956"/>
      <c r="LLF313" s="1956"/>
      <c r="LLG313" s="1956"/>
      <c r="LLH313" s="1956"/>
      <c r="LLI313" s="1956"/>
      <c r="LLJ313" s="1956"/>
      <c r="LLK313" s="1956"/>
      <c r="LLL313" s="1956"/>
      <c r="LLM313" s="1956"/>
      <c r="LLN313" s="1956"/>
      <c r="LLO313" s="1956"/>
      <c r="LLP313" s="1956"/>
      <c r="LLQ313" s="1956"/>
      <c r="LLR313" s="1956"/>
      <c r="LLS313" s="1956"/>
      <c r="LLT313" s="1956"/>
      <c r="LLU313" s="1956"/>
      <c r="LLV313" s="1956"/>
      <c r="LLW313" s="1956"/>
      <c r="LLX313" s="1956"/>
      <c r="LLY313" s="1956"/>
      <c r="LLZ313" s="1956"/>
      <c r="LMA313" s="1956"/>
      <c r="LMB313" s="1956"/>
      <c r="LMC313" s="1956"/>
      <c r="LMD313" s="1956"/>
      <c r="LME313" s="1956"/>
      <c r="LMF313" s="1956"/>
      <c r="LMG313" s="1956"/>
      <c r="LMH313" s="1956"/>
      <c r="LMI313" s="1956"/>
      <c r="LMJ313" s="1956"/>
      <c r="LMK313" s="1956"/>
      <c r="LML313" s="1956"/>
      <c r="LMM313" s="1956"/>
      <c r="LMN313" s="1956"/>
      <c r="LMO313" s="1956"/>
      <c r="LMP313" s="1956"/>
      <c r="LMQ313" s="1956"/>
      <c r="LMR313" s="1956"/>
      <c r="LMS313" s="1956"/>
      <c r="LMT313" s="1956"/>
      <c r="LMU313" s="1956"/>
      <c r="LMV313" s="1956"/>
      <c r="LMW313" s="1956"/>
      <c r="LMX313" s="1956"/>
      <c r="LMY313" s="1956"/>
      <c r="LMZ313" s="1956"/>
      <c r="LNA313" s="1956"/>
      <c r="LNB313" s="1956"/>
      <c r="LNC313" s="1956"/>
      <c r="LND313" s="1956"/>
      <c r="LNE313" s="1956"/>
      <c r="LNF313" s="1956"/>
      <c r="LNG313" s="1956"/>
      <c r="LNH313" s="1956"/>
      <c r="LNI313" s="1956"/>
      <c r="LNJ313" s="1956"/>
      <c r="LNK313" s="1956"/>
      <c r="LNL313" s="1956"/>
      <c r="LNM313" s="1956"/>
      <c r="LNN313" s="1956"/>
      <c r="LNO313" s="1956"/>
      <c r="LNP313" s="1956"/>
      <c r="LNQ313" s="1956"/>
      <c r="LNR313" s="1956"/>
      <c r="LNS313" s="1956"/>
      <c r="LNT313" s="1956"/>
      <c r="LNU313" s="1956"/>
      <c r="LNV313" s="1956"/>
      <c r="LNW313" s="1956"/>
      <c r="LNX313" s="1956"/>
      <c r="LNY313" s="1956"/>
      <c r="LNZ313" s="1956"/>
      <c r="LOA313" s="1956"/>
      <c r="LOB313" s="1956"/>
      <c r="LOC313" s="1956"/>
      <c r="LOD313" s="1956"/>
      <c r="LOE313" s="1956"/>
      <c r="LOF313" s="1956"/>
      <c r="LOG313" s="1956"/>
      <c r="LOH313" s="1956"/>
      <c r="LOI313" s="1956"/>
      <c r="LOJ313" s="1956"/>
      <c r="LOK313" s="1956"/>
      <c r="LOL313" s="1956"/>
      <c r="LOM313" s="1956"/>
      <c r="LON313" s="1956"/>
      <c r="LOO313" s="1956"/>
      <c r="LOP313" s="1956"/>
      <c r="LOQ313" s="1956"/>
      <c r="LOR313" s="1956"/>
      <c r="LOS313" s="1956"/>
      <c r="LOT313" s="1956"/>
      <c r="LOU313" s="1956"/>
      <c r="LOV313" s="1956"/>
      <c r="LOW313" s="1956"/>
      <c r="LOX313" s="1956"/>
      <c r="LOY313" s="1956"/>
      <c r="LOZ313" s="1956"/>
      <c r="LPA313" s="1956"/>
      <c r="LPB313" s="1956"/>
      <c r="LPC313" s="1956"/>
      <c r="LPD313" s="1956"/>
      <c r="LPE313" s="1956"/>
      <c r="LPF313" s="1956"/>
      <c r="LPG313" s="1956"/>
      <c r="LPH313" s="1956"/>
      <c r="LPI313" s="1956"/>
      <c r="LPJ313" s="1956"/>
      <c r="LPK313" s="1956"/>
      <c r="LPL313" s="1956"/>
      <c r="LPM313" s="1956"/>
      <c r="LPN313" s="1956"/>
      <c r="LPO313" s="1956"/>
      <c r="LPP313" s="1956"/>
      <c r="LPQ313" s="1956"/>
      <c r="LPR313" s="1956"/>
      <c r="LPS313" s="1956"/>
      <c r="LPT313" s="1956"/>
      <c r="LPU313" s="1956"/>
      <c r="LPV313" s="1956"/>
      <c r="LPW313" s="1956"/>
      <c r="LPX313" s="1956"/>
      <c r="LPY313" s="1956"/>
      <c r="LPZ313" s="1956"/>
      <c r="LQA313" s="1956"/>
      <c r="LQB313" s="1956"/>
      <c r="LQC313" s="1956"/>
      <c r="LQD313" s="1956"/>
      <c r="LQE313" s="1956"/>
      <c r="LQF313" s="1956"/>
      <c r="LQG313" s="1956"/>
      <c r="LQH313" s="1956"/>
      <c r="LQI313" s="1956"/>
      <c r="LQJ313" s="1956"/>
      <c r="LQK313" s="1956"/>
      <c r="LQL313" s="1956"/>
      <c r="LQM313" s="1956"/>
      <c r="LQN313" s="1956"/>
      <c r="LQO313" s="1956"/>
      <c r="LQP313" s="1956"/>
      <c r="LQQ313" s="1956"/>
      <c r="LQR313" s="1956"/>
      <c r="LQS313" s="1956"/>
      <c r="LQT313" s="1956"/>
      <c r="LQU313" s="1956"/>
      <c r="LQV313" s="1956"/>
      <c r="LQW313" s="1956"/>
      <c r="LQX313" s="1956"/>
      <c r="LQY313" s="1956"/>
      <c r="LQZ313" s="1956"/>
      <c r="LRA313" s="1956"/>
      <c r="LRB313" s="1956"/>
      <c r="LRC313" s="1956"/>
      <c r="LRD313" s="1956"/>
      <c r="LRE313" s="1956"/>
      <c r="LRF313" s="1956"/>
      <c r="LRG313" s="1956"/>
      <c r="LRH313" s="1956"/>
      <c r="LRI313" s="1956"/>
      <c r="LRJ313" s="1956"/>
      <c r="LRK313" s="1956"/>
      <c r="LRL313" s="1956"/>
      <c r="LRM313" s="1956"/>
      <c r="LRN313" s="1956"/>
      <c r="LRO313" s="1956"/>
      <c r="LRP313" s="1956"/>
      <c r="LRQ313" s="1956"/>
      <c r="LRR313" s="1956"/>
      <c r="LRS313" s="1956"/>
      <c r="LRT313" s="1956"/>
      <c r="LRU313" s="1956"/>
      <c r="LRV313" s="1956"/>
      <c r="LRW313" s="1956"/>
      <c r="LRX313" s="1956"/>
      <c r="LRY313" s="1956"/>
      <c r="LRZ313" s="1956"/>
      <c r="LSA313" s="1956"/>
      <c r="LSB313" s="1956"/>
      <c r="LSC313" s="1956"/>
      <c r="LSD313" s="1956"/>
      <c r="LSE313" s="1956"/>
      <c r="LSF313" s="1956"/>
      <c r="LSG313" s="1956"/>
      <c r="LSH313" s="1956"/>
      <c r="LSI313" s="1956"/>
      <c r="LSJ313" s="1956"/>
      <c r="LSK313" s="1956"/>
      <c r="LSL313" s="1956"/>
      <c r="LSM313" s="1956"/>
      <c r="LSN313" s="1956"/>
      <c r="LSO313" s="1956"/>
      <c r="LSP313" s="1956"/>
      <c r="LSQ313" s="1956"/>
      <c r="LSR313" s="1956"/>
      <c r="LSS313" s="1956"/>
      <c r="LST313" s="1956"/>
      <c r="LSU313" s="1956"/>
      <c r="LSV313" s="1956"/>
      <c r="LSW313" s="1956"/>
      <c r="LSX313" s="1956"/>
      <c r="LSY313" s="1956"/>
      <c r="LSZ313" s="1956"/>
      <c r="LTA313" s="1956"/>
      <c r="LTB313" s="1956"/>
      <c r="LTC313" s="1956"/>
      <c r="LTD313" s="1956"/>
      <c r="LTE313" s="1956"/>
      <c r="LTF313" s="1956"/>
      <c r="LTG313" s="1956"/>
      <c r="LTH313" s="1956"/>
      <c r="LTI313" s="1956"/>
      <c r="LTJ313" s="1956"/>
      <c r="LTK313" s="1956"/>
      <c r="LTL313" s="1956"/>
      <c r="LTM313" s="1956"/>
      <c r="LTN313" s="1956"/>
      <c r="LTO313" s="1956"/>
      <c r="LTP313" s="1956"/>
      <c r="LTQ313" s="1956"/>
      <c r="LTR313" s="1956"/>
      <c r="LTS313" s="1956"/>
      <c r="LTT313" s="1956"/>
      <c r="LTU313" s="1956"/>
      <c r="LTV313" s="1956"/>
      <c r="LTW313" s="1956"/>
      <c r="LTX313" s="1956"/>
      <c r="LTY313" s="1956"/>
      <c r="LTZ313" s="1956"/>
      <c r="LUA313" s="1956"/>
      <c r="LUB313" s="1956"/>
      <c r="LUC313" s="1956"/>
      <c r="LUD313" s="1956"/>
      <c r="LUE313" s="1956"/>
      <c r="LUF313" s="1956"/>
      <c r="LUG313" s="1956"/>
      <c r="LUH313" s="1956"/>
      <c r="LUI313" s="1956"/>
      <c r="LUJ313" s="1956"/>
      <c r="LUK313" s="1956"/>
      <c r="LUL313" s="1956"/>
      <c r="LUM313" s="1956"/>
      <c r="LUN313" s="1956"/>
      <c r="LUO313" s="1956"/>
      <c r="LUP313" s="1956"/>
      <c r="LUQ313" s="1956"/>
      <c r="LUR313" s="1956"/>
      <c r="LUS313" s="1956"/>
      <c r="LUT313" s="1956"/>
      <c r="LUU313" s="1956"/>
      <c r="LUV313" s="1956"/>
      <c r="LUW313" s="1956"/>
      <c r="LUX313" s="1956"/>
      <c r="LUY313" s="1956"/>
      <c r="LUZ313" s="1956"/>
      <c r="LVA313" s="1956"/>
      <c r="LVB313" s="1956"/>
      <c r="LVC313" s="1956"/>
      <c r="LVD313" s="1956"/>
      <c r="LVE313" s="1956"/>
      <c r="LVF313" s="1956"/>
      <c r="LVG313" s="1956"/>
      <c r="LVH313" s="1956"/>
      <c r="LVI313" s="1956"/>
      <c r="LVJ313" s="1956"/>
      <c r="LVK313" s="1956"/>
      <c r="LVL313" s="1956"/>
      <c r="LVM313" s="1956"/>
      <c r="LVN313" s="1956"/>
      <c r="LVO313" s="1956"/>
      <c r="LVP313" s="1956"/>
      <c r="LVQ313" s="1956"/>
      <c r="LVR313" s="1956"/>
      <c r="LVS313" s="1956"/>
      <c r="LVT313" s="1956"/>
      <c r="LVU313" s="1956"/>
      <c r="LVV313" s="1956"/>
      <c r="LVW313" s="1956"/>
      <c r="LVX313" s="1956"/>
      <c r="LVY313" s="1956"/>
      <c r="LVZ313" s="1956"/>
      <c r="LWA313" s="1956"/>
      <c r="LWB313" s="1956"/>
      <c r="LWC313" s="1956"/>
      <c r="LWD313" s="1956"/>
      <c r="LWE313" s="1956"/>
      <c r="LWF313" s="1956"/>
      <c r="LWG313" s="1956"/>
      <c r="LWH313" s="1956"/>
      <c r="LWI313" s="1956"/>
      <c r="LWJ313" s="1956"/>
      <c r="LWK313" s="1956"/>
      <c r="LWL313" s="1956"/>
      <c r="LWM313" s="1956"/>
      <c r="LWN313" s="1956"/>
      <c r="LWO313" s="1956"/>
      <c r="LWP313" s="1956"/>
      <c r="LWQ313" s="1956"/>
      <c r="LWR313" s="1956"/>
      <c r="LWS313" s="1956"/>
      <c r="LWT313" s="1956"/>
      <c r="LWU313" s="1956"/>
      <c r="LWV313" s="1956"/>
      <c r="LWW313" s="1956"/>
      <c r="LWX313" s="1956"/>
      <c r="LWY313" s="1956"/>
      <c r="LWZ313" s="1956"/>
      <c r="LXA313" s="1956"/>
      <c r="LXB313" s="1956"/>
      <c r="LXC313" s="1956"/>
      <c r="LXD313" s="1956"/>
      <c r="LXE313" s="1956"/>
      <c r="LXF313" s="1956"/>
      <c r="LXG313" s="1956"/>
      <c r="LXH313" s="1956"/>
      <c r="LXI313" s="1956"/>
      <c r="LXJ313" s="1956"/>
      <c r="LXK313" s="1956"/>
      <c r="LXL313" s="1956"/>
      <c r="LXM313" s="1956"/>
      <c r="LXN313" s="1956"/>
      <c r="LXO313" s="1956"/>
      <c r="LXP313" s="1956"/>
      <c r="LXQ313" s="1956"/>
      <c r="LXR313" s="1956"/>
      <c r="LXS313" s="1956"/>
      <c r="LXT313" s="1956"/>
      <c r="LXU313" s="1956"/>
      <c r="LXV313" s="1956"/>
      <c r="LXW313" s="1956"/>
      <c r="LXX313" s="1956"/>
      <c r="LXY313" s="1956"/>
      <c r="LXZ313" s="1956"/>
      <c r="LYA313" s="1956"/>
      <c r="LYB313" s="1956"/>
      <c r="LYC313" s="1956"/>
      <c r="LYD313" s="1956"/>
      <c r="LYE313" s="1956"/>
      <c r="LYF313" s="1956"/>
      <c r="LYG313" s="1956"/>
      <c r="LYH313" s="1956"/>
      <c r="LYI313" s="1956"/>
      <c r="LYJ313" s="1956"/>
      <c r="LYK313" s="1956"/>
      <c r="LYL313" s="1956"/>
      <c r="LYM313" s="1956"/>
      <c r="LYN313" s="1956"/>
      <c r="LYO313" s="1956"/>
      <c r="LYP313" s="1956"/>
      <c r="LYQ313" s="1956"/>
      <c r="LYR313" s="1956"/>
      <c r="LYS313" s="1956"/>
      <c r="LYT313" s="1956"/>
      <c r="LYU313" s="1956"/>
      <c r="LYV313" s="1956"/>
      <c r="LYW313" s="1956"/>
      <c r="LYX313" s="1956"/>
      <c r="LYY313" s="1956"/>
      <c r="LYZ313" s="1956"/>
      <c r="LZA313" s="1956"/>
      <c r="LZB313" s="1956"/>
      <c r="LZC313" s="1956"/>
      <c r="LZD313" s="1956"/>
      <c r="LZE313" s="1956"/>
      <c r="LZF313" s="1956"/>
      <c r="LZG313" s="1956"/>
      <c r="LZH313" s="1956"/>
      <c r="LZI313" s="1956"/>
      <c r="LZJ313" s="1956"/>
      <c r="LZK313" s="1956"/>
      <c r="LZL313" s="1956"/>
      <c r="LZM313" s="1956"/>
      <c r="LZN313" s="1956"/>
      <c r="LZO313" s="1956"/>
      <c r="LZP313" s="1956"/>
      <c r="LZQ313" s="1956"/>
      <c r="LZR313" s="1956"/>
      <c r="LZS313" s="1956"/>
      <c r="LZT313" s="1956"/>
      <c r="LZU313" s="1956"/>
      <c r="LZV313" s="1956"/>
      <c r="LZW313" s="1956"/>
      <c r="LZX313" s="1956"/>
      <c r="LZY313" s="1956"/>
      <c r="LZZ313" s="1956"/>
      <c r="MAA313" s="1956"/>
      <c r="MAB313" s="1956"/>
      <c r="MAC313" s="1956"/>
      <c r="MAD313" s="1956"/>
      <c r="MAE313" s="1956"/>
      <c r="MAF313" s="1956"/>
      <c r="MAG313" s="1956"/>
      <c r="MAH313" s="1956"/>
      <c r="MAI313" s="1956"/>
      <c r="MAJ313" s="1956"/>
      <c r="MAK313" s="1956"/>
      <c r="MAL313" s="1956"/>
      <c r="MAM313" s="1956"/>
      <c r="MAN313" s="1956"/>
      <c r="MAO313" s="1956"/>
      <c r="MAP313" s="1956"/>
      <c r="MAQ313" s="1956"/>
      <c r="MAR313" s="1956"/>
      <c r="MAS313" s="1956"/>
      <c r="MAT313" s="1956"/>
      <c r="MAU313" s="1956"/>
      <c r="MAV313" s="1956"/>
      <c r="MAW313" s="1956"/>
      <c r="MAX313" s="1956"/>
      <c r="MAY313" s="1956"/>
      <c r="MAZ313" s="1956"/>
      <c r="MBA313" s="1956"/>
      <c r="MBB313" s="1956"/>
      <c r="MBC313" s="1956"/>
      <c r="MBD313" s="1956"/>
      <c r="MBE313" s="1956"/>
      <c r="MBF313" s="1956"/>
      <c r="MBG313" s="1956"/>
      <c r="MBH313" s="1956"/>
      <c r="MBI313" s="1956"/>
      <c r="MBJ313" s="1956"/>
      <c r="MBK313" s="1956"/>
      <c r="MBL313" s="1956"/>
      <c r="MBM313" s="1956"/>
      <c r="MBN313" s="1956"/>
      <c r="MBO313" s="1956"/>
      <c r="MBP313" s="1956"/>
      <c r="MBQ313" s="1956"/>
      <c r="MBR313" s="1956"/>
      <c r="MBS313" s="1956"/>
      <c r="MBT313" s="1956"/>
      <c r="MBU313" s="1956"/>
      <c r="MBV313" s="1956"/>
      <c r="MBW313" s="1956"/>
      <c r="MBX313" s="1956"/>
      <c r="MBY313" s="1956"/>
      <c r="MBZ313" s="1956"/>
      <c r="MCA313" s="1956"/>
      <c r="MCB313" s="1956"/>
      <c r="MCC313" s="1956"/>
      <c r="MCD313" s="1956"/>
      <c r="MCE313" s="1956"/>
      <c r="MCF313" s="1956"/>
      <c r="MCG313" s="1956"/>
      <c r="MCH313" s="1956"/>
      <c r="MCI313" s="1956"/>
      <c r="MCJ313" s="1956"/>
      <c r="MCK313" s="1956"/>
      <c r="MCL313" s="1956"/>
      <c r="MCM313" s="1956"/>
      <c r="MCN313" s="1956"/>
      <c r="MCO313" s="1956"/>
      <c r="MCP313" s="1956"/>
      <c r="MCQ313" s="1956"/>
      <c r="MCR313" s="1956"/>
      <c r="MCS313" s="1956"/>
      <c r="MCT313" s="1956"/>
      <c r="MCU313" s="1956"/>
      <c r="MCV313" s="1956"/>
      <c r="MCW313" s="1956"/>
      <c r="MCX313" s="1956"/>
      <c r="MCY313" s="1956"/>
      <c r="MCZ313" s="1956"/>
      <c r="MDA313" s="1956"/>
      <c r="MDB313" s="1956"/>
      <c r="MDC313" s="1956"/>
      <c r="MDD313" s="1956"/>
      <c r="MDE313" s="1956"/>
      <c r="MDF313" s="1956"/>
      <c r="MDG313" s="1956"/>
      <c r="MDH313" s="1956"/>
      <c r="MDI313" s="1956"/>
      <c r="MDJ313" s="1956"/>
      <c r="MDK313" s="1956"/>
      <c r="MDL313" s="1956"/>
      <c r="MDM313" s="1956"/>
      <c r="MDN313" s="1956"/>
      <c r="MDO313" s="1956"/>
      <c r="MDP313" s="1956"/>
      <c r="MDQ313" s="1956"/>
      <c r="MDR313" s="1956"/>
      <c r="MDS313" s="1956"/>
      <c r="MDT313" s="1956"/>
      <c r="MDU313" s="1956"/>
      <c r="MDV313" s="1956"/>
      <c r="MDW313" s="1956"/>
      <c r="MDX313" s="1956"/>
      <c r="MDY313" s="1956"/>
      <c r="MDZ313" s="1956"/>
      <c r="MEA313" s="1956"/>
      <c r="MEB313" s="1956"/>
      <c r="MEC313" s="1956"/>
      <c r="MED313" s="1956"/>
      <c r="MEE313" s="1956"/>
      <c r="MEF313" s="1956"/>
      <c r="MEG313" s="1956"/>
      <c r="MEH313" s="1956"/>
      <c r="MEI313" s="1956"/>
      <c r="MEJ313" s="1956"/>
      <c r="MEK313" s="1956"/>
      <c r="MEL313" s="1956"/>
      <c r="MEM313" s="1956"/>
      <c r="MEN313" s="1956"/>
      <c r="MEO313" s="1956"/>
      <c r="MEP313" s="1956"/>
      <c r="MEQ313" s="1956"/>
      <c r="MER313" s="1956"/>
      <c r="MES313" s="1956"/>
      <c r="MET313" s="1956"/>
      <c r="MEU313" s="1956"/>
      <c r="MEV313" s="1956"/>
      <c r="MEW313" s="1956"/>
      <c r="MEX313" s="1956"/>
      <c r="MEY313" s="1956"/>
      <c r="MEZ313" s="1956"/>
      <c r="MFA313" s="1956"/>
      <c r="MFB313" s="1956"/>
      <c r="MFC313" s="1956"/>
      <c r="MFD313" s="1956"/>
      <c r="MFE313" s="1956"/>
      <c r="MFF313" s="1956"/>
      <c r="MFG313" s="1956"/>
      <c r="MFH313" s="1956"/>
      <c r="MFI313" s="1956"/>
      <c r="MFJ313" s="1956"/>
      <c r="MFK313" s="1956"/>
      <c r="MFL313" s="1956"/>
      <c r="MFM313" s="1956"/>
      <c r="MFN313" s="1956"/>
      <c r="MFO313" s="1956"/>
      <c r="MFP313" s="1956"/>
      <c r="MFQ313" s="1956"/>
      <c r="MFR313" s="1956"/>
      <c r="MFS313" s="1956"/>
      <c r="MFT313" s="1956"/>
      <c r="MFU313" s="1956"/>
      <c r="MFV313" s="1956"/>
      <c r="MFW313" s="1956"/>
      <c r="MFX313" s="1956"/>
      <c r="MFY313" s="1956"/>
      <c r="MFZ313" s="1956"/>
      <c r="MGA313" s="1956"/>
      <c r="MGB313" s="1956"/>
      <c r="MGC313" s="1956"/>
      <c r="MGD313" s="1956"/>
      <c r="MGE313" s="1956"/>
      <c r="MGF313" s="1956"/>
      <c r="MGG313" s="1956"/>
      <c r="MGH313" s="1956"/>
      <c r="MGI313" s="1956"/>
      <c r="MGJ313" s="1956"/>
      <c r="MGK313" s="1956"/>
      <c r="MGL313" s="1956"/>
      <c r="MGM313" s="1956"/>
      <c r="MGN313" s="1956"/>
      <c r="MGO313" s="1956"/>
      <c r="MGP313" s="1956"/>
      <c r="MGQ313" s="1956"/>
      <c r="MGR313" s="1956"/>
      <c r="MGS313" s="1956"/>
      <c r="MGT313" s="1956"/>
      <c r="MGU313" s="1956"/>
      <c r="MGV313" s="1956"/>
      <c r="MGW313" s="1956"/>
      <c r="MGX313" s="1956"/>
      <c r="MGY313" s="1956"/>
      <c r="MGZ313" s="1956"/>
      <c r="MHA313" s="1956"/>
      <c r="MHB313" s="1956"/>
      <c r="MHC313" s="1956"/>
      <c r="MHD313" s="1956"/>
      <c r="MHE313" s="1956"/>
      <c r="MHF313" s="1956"/>
      <c r="MHG313" s="1956"/>
      <c r="MHH313" s="1956"/>
      <c r="MHI313" s="1956"/>
      <c r="MHJ313" s="1956"/>
      <c r="MHK313" s="1956"/>
      <c r="MHL313" s="1956"/>
      <c r="MHM313" s="1956"/>
      <c r="MHN313" s="1956"/>
      <c r="MHO313" s="1956"/>
      <c r="MHP313" s="1956"/>
      <c r="MHQ313" s="1956"/>
      <c r="MHR313" s="1956"/>
      <c r="MHS313" s="1956"/>
      <c r="MHT313" s="1956"/>
      <c r="MHU313" s="1956"/>
      <c r="MHV313" s="1956"/>
      <c r="MHW313" s="1956"/>
      <c r="MHX313" s="1956"/>
      <c r="MHY313" s="1956"/>
      <c r="MHZ313" s="1956"/>
      <c r="MIA313" s="1956"/>
      <c r="MIB313" s="1956"/>
      <c r="MIC313" s="1956"/>
      <c r="MID313" s="1956"/>
      <c r="MIE313" s="1956"/>
      <c r="MIF313" s="1956"/>
      <c r="MIG313" s="1956"/>
      <c r="MIH313" s="1956"/>
      <c r="MII313" s="1956"/>
      <c r="MIJ313" s="1956"/>
      <c r="MIK313" s="1956"/>
      <c r="MIL313" s="1956"/>
      <c r="MIM313" s="1956"/>
      <c r="MIN313" s="1956"/>
      <c r="MIO313" s="1956"/>
      <c r="MIP313" s="1956"/>
      <c r="MIQ313" s="1956"/>
      <c r="MIR313" s="1956"/>
      <c r="MIS313" s="1956"/>
      <c r="MIT313" s="1956"/>
      <c r="MIU313" s="1956"/>
      <c r="MIV313" s="1956"/>
      <c r="MIW313" s="1956"/>
      <c r="MIX313" s="1956"/>
      <c r="MIY313" s="1956"/>
      <c r="MIZ313" s="1956"/>
      <c r="MJA313" s="1956"/>
      <c r="MJB313" s="1956"/>
      <c r="MJC313" s="1956"/>
      <c r="MJD313" s="1956"/>
      <c r="MJE313" s="1956"/>
      <c r="MJF313" s="1956"/>
      <c r="MJG313" s="1956"/>
      <c r="MJH313" s="1956"/>
      <c r="MJI313" s="1956"/>
      <c r="MJJ313" s="1956"/>
      <c r="MJK313" s="1956"/>
      <c r="MJL313" s="1956"/>
      <c r="MJM313" s="1956"/>
      <c r="MJN313" s="1956"/>
      <c r="MJO313" s="1956"/>
      <c r="MJP313" s="1956"/>
      <c r="MJQ313" s="1956"/>
      <c r="MJR313" s="1956"/>
      <c r="MJS313" s="1956"/>
      <c r="MJT313" s="1956"/>
      <c r="MJU313" s="1956"/>
      <c r="MJV313" s="1956"/>
      <c r="MJW313" s="1956"/>
      <c r="MJX313" s="1956"/>
      <c r="MJY313" s="1956"/>
      <c r="MJZ313" s="1956"/>
      <c r="MKA313" s="1956"/>
      <c r="MKB313" s="1956"/>
      <c r="MKC313" s="1956"/>
      <c r="MKD313" s="1956"/>
      <c r="MKE313" s="1956"/>
      <c r="MKF313" s="1956"/>
      <c r="MKG313" s="1956"/>
      <c r="MKH313" s="1956"/>
      <c r="MKI313" s="1956"/>
      <c r="MKJ313" s="1956"/>
      <c r="MKK313" s="1956"/>
      <c r="MKL313" s="1956"/>
      <c r="MKM313" s="1956"/>
      <c r="MKN313" s="1956"/>
      <c r="MKO313" s="1956"/>
      <c r="MKP313" s="1956"/>
      <c r="MKQ313" s="1956"/>
      <c r="MKR313" s="1956"/>
      <c r="MKS313" s="1956"/>
      <c r="MKT313" s="1956"/>
      <c r="MKU313" s="1956"/>
      <c r="MKV313" s="1956"/>
      <c r="MKW313" s="1956"/>
      <c r="MKX313" s="1956"/>
      <c r="MKY313" s="1956"/>
      <c r="MKZ313" s="1956"/>
      <c r="MLA313" s="1956"/>
      <c r="MLB313" s="1956"/>
      <c r="MLC313" s="1956"/>
      <c r="MLD313" s="1956"/>
      <c r="MLE313" s="1956"/>
      <c r="MLF313" s="1956"/>
      <c r="MLG313" s="1956"/>
      <c r="MLH313" s="1956"/>
      <c r="MLI313" s="1956"/>
      <c r="MLJ313" s="1956"/>
      <c r="MLK313" s="1956"/>
      <c r="MLL313" s="1956"/>
      <c r="MLM313" s="1956"/>
      <c r="MLN313" s="1956"/>
      <c r="MLO313" s="1956"/>
      <c r="MLP313" s="1956"/>
      <c r="MLQ313" s="1956"/>
      <c r="MLR313" s="1956"/>
      <c r="MLS313" s="1956"/>
      <c r="MLT313" s="1956"/>
      <c r="MLU313" s="1956"/>
      <c r="MLV313" s="1956"/>
      <c r="MLW313" s="1956"/>
      <c r="MLX313" s="1956"/>
      <c r="MLY313" s="1956"/>
      <c r="MLZ313" s="1956"/>
      <c r="MMA313" s="1956"/>
      <c r="MMB313" s="1956"/>
      <c r="MMC313" s="1956"/>
      <c r="MMD313" s="1956"/>
      <c r="MME313" s="1956"/>
      <c r="MMF313" s="1956"/>
      <c r="MMG313" s="1956"/>
      <c r="MMH313" s="1956"/>
      <c r="MMI313" s="1956"/>
      <c r="MMJ313" s="1956"/>
      <c r="MMK313" s="1956"/>
      <c r="MML313" s="1956"/>
      <c r="MMM313" s="1956"/>
      <c r="MMN313" s="1956"/>
      <c r="MMO313" s="1956"/>
      <c r="MMP313" s="1956"/>
      <c r="MMQ313" s="1956"/>
      <c r="MMR313" s="1956"/>
      <c r="MMS313" s="1956"/>
      <c r="MMT313" s="1956"/>
      <c r="MMU313" s="1956"/>
      <c r="MMV313" s="1956"/>
      <c r="MMW313" s="1956"/>
      <c r="MMX313" s="1956"/>
      <c r="MMY313" s="1956"/>
      <c r="MMZ313" s="1956"/>
      <c r="MNA313" s="1956"/>
      <c r="MNB313" s="1956"/>
      <c r="MNC313" s="1956"/>
      <c r="MND313" s="1956"/>
      <c r="MNE313" s="1956"/>
      <c r="MNF313" s="1956"/>
      <c r="MNG313" s="1956"/>
      <c r="MNH313" s="1956"/>
      <c r="MNI313" s="1956"/>
      <c r="MNJ313" s="1956"/>
      <c r="MNK313" s="1956"/>
      <c r="MNL313" s="1956"/>
      <c r="MNM313" s="1956"/>
      <c r="MNN313" s="1956"/>
      <c r="MNO313" s="1956"/>
      <c r="MNP313" s="1956"/>
      <c r="MNQ313" s="1956"/>
      <c r="MNR313" s="1956"/>
      <c r="MNS313" s="1956"/>
      <c r="MNT313" s="1956"/>
      <c r="MNU313" s="1956"/>
      <c r="MNV313" s="1956"/>
      <c r="MNW313" s="1956"/>
      <c r="MNX313" s="1956"/>
      <c r="MNY313" s="1956"/>
      <c r="MNZ313" s="1956"/>
      <c r="MOA313" s="1956"/>
      <c r="MOB313" s="1956"/>
      <c r="MOC313" s="1956"/>
      <c r="MOD313" s="1956"/>
      <c r="MOE313" s="1956"/>
      <c r="MOF313" s="1956"/>
      <c r="MOG313" s="1956"/>
      <c r="MOH313" s="1956"/>
      <c r="MOI313" s="1956"/>
      <c r="MOJ313" s="1956"/>
      <c r="MOK313" s="1956"/>
      <c r="MOL313" s="1956"/>
      <c r="MOM313" s="1956"/>
      <c r="MON313" s="1956"/>
      <c r="MOO313" s="1956"/>
      <c r="MOP313" s="1956"/>
      <c r="MOQ313" s="1956"/>
      <c r="MOR313" s="1956"/>
      <c r="MOS313" s="1956"/>
      <c r="MOT313" s="1956"/>
      <c r="MOU313" s="1956"/>
      <c r="MOV313" s="1956"/>
      <c r="MOW313" s="1956"/>
      <c r="MOX313" s="1956"/>
      <c r="MOY313" s="1956"/>
      <c r="MOZ313" s="1956"/>
      <c r="MPA313" s="1956"/>
      <c r="MPB313" s="1956"/>
      <c r="MPC313" s="1956"/>
      <c r="MPD313" s="1956"/>
      <c r="MPE313" s="1956"/>
      <c r="MPF313" s="1956"/>
      <c r="MPG313" s="1956"/>
      <c r="MPH313" s="1956"/>
      <c r="MPI313" s="1956"/>
      <c r="MPJ313" s="1956"/>
      <c r="MPK313" s="1956"/>
      <c r="MPL313" s="1956"/>
      <c r="MPM313" s="1956"/>
      <c r="MPN313" s="1956"/>
      <c r="MPO313" s="1956"/>
      <c r="MPP313" s="1956"/>
      <c r="MPQ313" s="1956"/>
      <c r="MPR313" s="1956"/>
      <c r="MPS313" s="1956"/>
      <c r="MPT313" s="1956"/>
      <c r="MPU313" s="1956"/>
      <c r="MPV313" s="1956"/>
      <c r="MPW313" s="1956"/>
      <c r="MPX313" s="1956"/>
      <c r="MPY313" s="1956"/>
      <c r="MPZ313" s="1956"/>
      <c r="MQA313" s="1956"/>
      <c r="MQB313" s="1956"/>
      <c r="MQC313" s="1956"/>
      <c r="MQD313" s="1956"/>
      <c r="MQE313" s="1956"/>
      <c r="MQF313" s="1956"/>
      <c r="MQG313" s="1956"/>
      <c r="MQH313" s="1956"/>
      <c r="MQI313" s="1956"/>
      <c r="MQJ313" s="1956"/>
      <c r="MQK313" s="1956"/>
      <c r="MQL313" s="1956"/>
      <c r="MQM313" s="1956"/>
      <c r="MQN313" s="1956"/>
      <c r="MQO313" s="1956"/>
      <c r="MQP313" s="1956"/>
      <c r="MQQ313" s="1956"/>
      <c r="MQR313" s="1956"/>
      <c r="MQS313" s="1956"/>
      <c r="MQT313" s="1956"/>
      <c r="MQU313" s="1956"/>
      <c r="MQV313" s="1956"/>
      <c r="MQW313" s="1956"/>
      <c r="MQX313" s="1956"/>
      <c r="MQY313" s="1956"/>
      <c r="MQZ313" s="1956"/>
      <c r="MRA313" s="1956"/>
      <c r="MRB313" s="1956"/>
      <c r="MRC313" s="1956"/>
      <c r="MRD313" s="1956"/>
      <c r="MRE313" s="1956"/>
      <c r="MRF313" s="1956"/>
      <c r="MRG313" s="1956"/>
      <c r="MRH313" s="1956"/>
      <c r="MRI313" s="1956"/>
      <c r="MRJ313" s="1956"/>
      <c r="MRK313" s="1956"/>
      <c r="MRL313" s="1956"/>
      <c r="MRM313" s="1956"/>
      <c r="MRN313" s="1956"/>
      <c r="MRO313" s="1956"/>
      <c r="MRP313" s="1956"/>
      <c r="MRQ313" s="1956"/>
      <c r="MRR313" s="1956"/>
      <c r="MRS313" s="1956"/>
      <c r="MRT313" s="1956"/>
      <c r="MRU313" s="1956"/>
      <c r="MRV313" s="1956"/>
      <c r="MRW313" s="1956"/>
      <c r="MRX313" s="1956"/>
      <c r="MRY313" s="1956"/>
      <c r="MRZ313" s="1956"/>
      <c r="MSA313" s="1956"/>
      <c r="MSB313" s="1956"/>
      <c r="MSC313" s="1956"/>
      <c r="MSD313" s="1956"/>
      <c r="MSE313" s="1956"/>
      <c r="MSF313" s="1956"/>
      <c r="MSG313" s="1956"/>
      <c r="MSH313" s="1956"/>
      <c r="MSI313" s="1956"/>
      <c r="MSJ313" s="1956"/>
      <c r="MSK313" s="1956"/>
      <c r="MSL313" s="1956"/>
      <c r="MSM313" s="1956"/>
      <c r="MSN313" s="1956"/>
      <c r="MSO313" s="1956"/>
      <c r="MSP313" s="1956"/>
      <c r="MSQ313" s="1956"/>
      <c r="MSR313" s="1956"/>
      <c r="MSS313" s="1956"/>
      <c r="MST313" s="1956"/>
      <c r="MSU313" s="1956"/>
      <c r="MSV313" s="1956"/>
      <c r="MSW313" s="1956"/>
      <c r="MSX313" s="1956"/>
      <c r="MSY313" s="1956"/>
      <c r="MSZ313" s="1956"/>
      <c r="MTA313" s="1956"/>
      <c r="MTB313" s="1956"/>
      <c r="MTC313" s="1956"/>
      <c r="MTD313" s="1956"/>
      <c r="MTE313" s="1956"/>
      <c r="MTF313" s="1956"/>
      <c r="MTG313" s="1956"/>
      <c r="MTH313" s="1956"/>
      <c r="MTI313" s="1956"/>
      <c r="MTJ313" s="1956"/>
      <c r="MTK313" s="1956"/>
      <c r="MTL313" s="1956"/>
      <c r="MTM313" s="1956"/>
      <c r="MTN313" s="1956"/>
      <c r="MTO313" s="1956"/>
      <c r="MTP313" s="1956"/>
      <c r="MTQ313" s="1956"/>
      <c r="MTR313" s="1956"/>
      <c r="MTS313" s="1956"/>
      <c r="MTT313" s="1956"/>
      <c r="MTU313" s="1956"/>
      <c r="MTV313" s="1956"/>
      <c r="MTW313" s="1956"/>
      <c r="MTX313" s="1956"/>
      <c r="MTY313" s="1956"/>
      <c r="MTZ313" s="1956"/>
      <c r="MUA313" s="1956"/>
      <c r="MUB313" s="1956"/>
      <c r="MUC313" s="1956"/>
      <c r="MUD313" s="1956"/>
      <c r="MUE313" s="1956"/>
      <c r="MUF313" s="1956"/>
      <c r="MUG313" s="1956"/>
      <c r="MUH313" s="1956"/>
      <c r="MUI313" s="1956"/>
      <c r="MUJ313" s="1956"/>
      <c r="MUK313" s="1956"/>
      <c r="MUL313" s="1956"/>
      <c r="MUM313" s="1956"/>
      <c r="MUN313" s="1956"/>
      <c r="MUO313" s="1956"/>
      <c r="MUP313" s="1956"/>
      <c r="MUQ313" s="1956"/>
      <c r="MUR313" s="1956"/>
      <c r="MUS313" s="1956"/>
      <c r="MUT313" s="1956"/>
      <c r="MUU313" s="1956"/>
      <c r="MUV313" s="1956"/>
      <c r="MUW313" s="1956"/>
      <c r="MUX313" s="1956"/>
      <c r="MUY313" s="1956"/>
      <c r="MUZ313" s="1956"/>
      <c r="MVA313" s="1956"/>
      <c r="MVB313" s="1956"/>
      <c r="MVC313" s="1956"/>
      <c r="MVD313" s="1956"/>
      <c r="MVE313" s="1956"/>
      <c r="MVF313" s="1956"/>
      <c r="MVG313" s="1956"/>
      <c r="MVH313" s="1956"/>
      <c r="MVI313" s="1956"/>
      <c r="MVJ313" s="1956"/>
      <c r="MVK313" s="1956"/>
      <c r="MVL313" s="1956"/>
      <c r="MVM313" s="1956"/>
      <c r="MVN313" s="1956"/>
      <c r="MVO313" s="1956"/>
      <c r="MVP313" s="1956"/>
      <c r="MVQ313" s="1956"/>
      <c r="MVR313" s="1956"/>
      <c r="MVS313" s="1956"/>
      <c r="MVT313" s="1956"/>
      <c r="MVU313" s="1956"/>
      <c r="MVV313" s="1956"/>
      <c r="MVW313" s="1956"/>
      <c r="MVX313" s="1956"/>
      <c r="MVY313" s="1956"/>
      <c r="MVZ313" s="1956"/>
      <c r="MWA313" s="1956"/>
      <c r="MWB313" s="1956"/>
      <c r="MWC313" s="1956"/>
      <c r="MWD313" s="1956"/>
      <c r="MWE313" s="1956"/>
      <c r="MWF313" s="1956"/>
      <c r="MWG313" s="1956"/>
      <c r="MWH313" s="1956"/>
      <c r="MWI313" s="1956"/>
      <c r="MWJ313" s="1956"/>
      <c r="MWK313" s="1956"/>
      <c r="MWL313" s="1956"/>
      <c r="MWM313" s="1956"/>
      <c r="MWN313" s="1956"/>
      <c r="MWO313" s="1956"/>
      <c r="MWP313" s="1956"/>
      <c r="MWQ313" s="1956"/>
      <c r="MWR313" s="1956"/>
      <c r="MWS313" s="1956"/>
      <c r="MWT313" s="1956"/>
      <c r="MWU313" s="1956"/>
      <c r="MWV313" s="1956"/>
      <c r="MWW313" s="1956"/>
      <c r="MWX313" s="1956"/>
      <c r="MWY313" s="1956"/>
      <c r="MWZ313" s="1956"/>
      <c r="MXA313" s="1956"/>
      <c r="MXB313" s="1956"/>
      <c r="MXC313" s="1956"/>
      <c r="MXD313" s="1956"/>
      <c r="MXE313" s="1956"/>
      <c r="MXF313" s="1956"/>
      <c r="MXG313" s="1956"/>
      <c r="MXH313" s="1956"/>
      <c r="MXI313" s="1956"/>
      <c r="MXJ313" s="1956"/>
      <c r="MXK313" s="1956"/>
      <c r="MXL313" s="1956"/>
      <c r="MXM313" s="1956"/>
      <c r="MXN313" s="1956"/>
      <c r="MXO313" s="1956"/>
      <c r="MXP313" s="1956"/>
      <c r="MXQ313" s="1956"/>
      <c r="MXR313" s="1956"/>
      <c r="MXS313" s="1956"/>
      <c r="MXT313" s="1956"/>
      <c r="MXU313" s="1956"/>
      <c r="MXV313" s="1956"/>
      <c r="MXW313" s="1956"/>
      <c r="MXX313" s="1956"/>
      <c r="MXY313" s="1956"/>
      <c r="MXZ313" s="1956"/>
      <c r="MYA313" s="1956"/>
      <c r="MYB313" s="1956"/>
      <c r="MYC313" s="1956"/>
      <c r="MYD313" s="1956"/>
      <c r="MYE313" s="1956"/>
      <c r="MYF313" s="1956"/>
      <c r="MYG313" s="1956"/>
      <c r="MYH313" s="1956"/>
      <c r="MYI313" s="1956"/>
      <c r="MYJ313" s="1956"/>
      <c r="MYK313" s="1956"/>
      <c r="MYL313" s="1956"/>
      <c r="MYM313" s="1956"/>
      <c r="MYN313" s="1956"/>
      <c r="MYO313" s="1956"/>
      <c r="MYP313" s="1956"/>
      <c r="MYQ313" s="1956"/>
      <c r="MYR313" s="1956"/>
      <c r="MYS313" s="1956"/>
      <c r="MYT313" s="1956"/>
      <c r="MYU313" s="1956"/>
      <c r="MYV313" s="1956"/>
      <c r="MYW313" s="1956"/>
      <c r="MYX313" s="1956"/>
      <c r="MYY313" s="1956"/>
      <c r="MYZ313" s="1956"/>
      <c r="MZA313" s="1956"/>
      <c r="MZB313" s="1956"/>
      <c r="MZC313" s="1956"/>
      <c r="MZD313" s="1956"/>
      <c r="MZE313" s="1956"/>
      <c r="MZF313" s="1956"/>
      <c r="MZG313" s="1956"/>
      <c r="MZH313" s="1956"/>
      <c r="MZI313" s="1956"/>
      <c r="MZJ313" s="1956"/>
      <c r="MZK313" s="1956"/>
      <c r="MZL313" s="1956"/>
      <c r="MZM313" s="1956"/>
      <c r="MZN313" s="1956"/>
      <c r="MZO313" s="1956"/>
      <c r="MZP313" s="1956"/>
      <c r="MZQ313" s="1956"/>
      <c r="MZR313" s="1956"/>
      <c r="MZS313" s="1956"/>
      <c r="MZT313" s="1956"/>
      <c r="MZU313" s="1956"/>
      <c r="MZV313" s="1956"/>
      <c r="MZW313" s="1956"/>
      <c r="MZX313" s="1956"/>
      <c r="MZY313" s="1956"/>
      <c r="MZZ313" s="1956"/>
      <c r="NAA313" s="1956"/>
      <c r="NAB313" s="1956"/>
      <c r="NAC313" s="1956"/>
      <c r="NAD313" s="1956"/>
      <c r="NAE313" s="1956"/>
      <c r="NAF313" s="1956"/>
      <c r="NAG313" s="1956"/>
      <c r="NAH313" s="1956"/>
      <c r="NAI313" s="1956"/>
      <c r="NAJ313" s="1956"/>
      <c r="NAK313" s="1956"/>
      <c r="NAL313" s="1956"/>
      <c r="NAM313" s="1956"/>
      <c r="NAN313" s="1956"/>
      <c r="NAO313" s="1956"/>
      <c r="NAP313" s="1956"/>
      <c r="NAQ313" s="1956"/>
      <c r="NAR313" s="1956"/>
      <c r="NAS313" s="1956"/>
      <c r="NAT313" s="1956"/>
      <c r="NAU313" s="1956"/>
      <c r="NAV313" s="1956"/>
      <c r="NAW313" s="1956"/>
      <c r="NAX313" s="1956"/>
      <c r="NAY313" s="1956"/>
      <c r="NAZ313" s="1956"/>
      <c r="NBA313" s="1956"/>
      <c r="NBB313" s="1956"/>
      <c r="NBC313" s="1956"/>
      <c r="NBD313" s="1956"/>
      <c r="NBE313" s="1956"/>
      <c r="NBF313" s="1956"/>
      <c r="NBG313" s="1956"/>
      <c r="NBH313" s="1956"/>
      <c r="NBI313" s="1956"/>
      <c r="NBJ313" s="1956"/>
      <c r="NBK313" s="1956"/>
      <c r="NBL313" s="1956"/>
      <c r="NBM313" s="1956"/>
      <c r="NBN313" s="1956"/>
      <c r="NBO313" s="1956"/>
      <c r="NBP313" s="1956"/>
      <c r="NBQ313" s="1956"/>
      <c r="NBR313" s="1956"/>
      <c r="NBS313" s="1956"/>
      <c r="NBT313" s="1956"/>
      <c r="NBU313" s="1956"/>
      <c r="NBV313" s="1956"/>
      <c r="NBW313" s="1956"/>
      <c r="NBX313" s="1956"/>
      <c r="NBY313" s="1956"/>
      <c r="NBZ313" s="1956"/>
      <c r="NCA313" s="1956"/>
      <c r="NCB313" s="1956"/>
      <c r="NCC313" s="1956"/>
      <c r="NCD313" s="1956"/>
      <c r="NCE313" s="1956"/>
      <c r="NCF313" s="1956"/>
      <c r="NCG313" s="1956"/>
      <c r="NCH313" s="1956"/>
      <c r="NCI313" s="1956"/>
      <c r="NCJ313" s="1956"/>
      <c r="NCK313" s="1956"/>
      <c r="NCL313" s="1956"/>
      <c r="NCM313" s="1956"/>
      <c r="NCN313" s="1956"/>
      <c r="NCO313" s="1956"/>
      <c r="NCP313" s="1956"/>
      <c r="NCQ313" s="1956"/>
      <c r="NCR313" s="1956"/>
      <c r="NCS313" s="1956"/>
      <c r="NCT313" s="1956"/>
      <c r="NCU313" s="1956"/>
      <c r="NCV313" s="1956"/>
      <c r="NCW313" s="1956"/>
      <c r="NCX313" s="1956"/>
      <c r="NCY313" s="1956"/>
      <c r="NCZ313" s="1956"/>
      <c r="NDA313" s="1956"/>
      <c r="NDB313" s="1956"/>
      <c r="NDC313" s="1956"/>
      <c r="NDD313" s="1956"/>
      <c r="NDE313" s="1956"/>
      <c r="NDF313" s="1956"/>
      <c r="NDG313" s="1956"/>
      <c r="NDH313" s="1956"/>
      <c r="NDI313" s="1956"/>
      <c r="NDJ313" s="1956"/>
      <c r="NDK313" s="1956"/>
      <c r="NDL313" s="1956"/>
      <c r="NDM313" s="1956"/>
      <c r="NDN313" s="1956"/>
      <c r="NDO313" s="1956"/>
      <c r="NDP313" s="1956"/>
      <c r="NDQ313" s="1956"/>
      <c r="NDR313" s="1956"/>
      <c r="NDS313" s="1956"/>
      <c r="NDT313" s="1956"/>
      <c r="NDU313" s="1956"/>
      <c r="NDV313" s="1956"/>
      <c r="NDW313" s="1956"/>
      <c r="NDX313" s="1956"/>
      <c r="NDY313" s="1956"/>
      <c r="NDZ313" s="1956"/>
      <c r="NEA313" s="1956"/>
      <c r="NEB313" s="1956"/>
      <c r="NEC313" s="1956"/>
      <c r="NED313" s="1956"/>
      <c r="NEE313" s="1956"/>
      <c r="NEF313" s="1956"/>
      <c r="NEG313" s="1956"/>
      <c r="NEH313" s="1956"/>
      <c r="NEI313" s="1956"/>
      <c r="NEJ313" s="1956"/>
      <c r="NEK313" s="1956"/>
      <c r="NEL313" s="1956"/>
      <c r="NEM313" s="1956"/>
      <c r="NEN313" s="1956"/>
      <c r="NEO313" s="1956"/>
      <c r="NEP313" s="1956"/>
      <c r="NEQ313" s="1956"/>
      <c r="NER313" s="1956"/>
      <c r="NES313" s="1956"/>
      <c r="NET313" s="1956"/>
      <c r="NEU313" s="1956"/>
      <c r="NEV313" s="1956"/>
      <c r="NEW313" s="1956"/>
      <c r="NEX313" s="1956"/>
      <c r="NEY313" s="1956"/>
      <c r="NEZ313" s="1956"/>
      <c r="NFA313" s="1956"/>
      <c r="NFB313" s="1956"/>
      <c r="NFC313" s="1956"/>
      <c r="NFD313" s="1956"/>
      <c r="NFE313" s="1956"/>
      <c r="NFF313" s="1956"/>
      <c r="NFG313" s="1956"/>
      <c r="NFH313" s="1956"/>
      <c r="NFI313" s="1956"/>
      <c r="NFJ313" s="1956"/>
      <c r="NFK313" s="1956"/>
      <c r="NFL313" s="1956"/>
      <c r="NFM313" s="1956"/>
      <c r="NFN313" s="1956"/>
      <c r="NFO313" s="1956"/>
      <c r="NFP313" s="1956"/>
      <c r="NFQ313" s="1956"/>
      <c r="NFR313" s="1956"/>
      <c r="NFS313" s="1956"/>
      <c r="NFT313" s="1956"/>
      <c r="NFU313" s="1956"/>
      <c r="NFV313" s="1956"/>
      <c r="NFW313" s="1956"/>
      <c r="NFX313" s="1956"/>
      <c r="NFY313" s="1956"/>
      <c r="NFZ313" s="1956"/>
      <c r="NGA313" s="1956"/>
      <c r="NGB313" s="1956"/>
      <c r="NGC313" s="1956"/>
      <c r="NGD313" s="1956"/>
      <c r="NGE313" s="1956"/>
      <c r="NGF313" s="1956"/>
      <c r="NGG313" s="1956"/>
      <c r="NGH313" s="1956"/>
      <c r="NGI313" s="1956"/>
      <c r="NGJ313" s="1956"/>
      <c r="NGK313" s="1956"/>
      <c r="NGL313" s="1956"/>
      <c r="NGM313" s="1956"/>
      <c r="NGN313" s="1956"/>
      <c r="NGO313" s="1956"/>
      <c r="NGP313" s="1956"/>
      <c r="NGQ313" s="1956"/>
      <c r="NGR313" s="1956"/>
      <c r="NGS313" s="1956"/>
      <c r="NGT313" s="1956"/>
      <c r="NGU313" s="1956"/>
      <c r="NGV313" s="1956"/>
      <c r="NGW313" s="1956"/>
      <c r="NGX313" s="1956"/>
      <c r="NGY313" s="1956"/>
      <c r="NGZ313" s="1956"/>
      <c r="NHA313" s="1956"/>
      <c r="NHB313" s="1956"/>
      <c r="NHC313" s="1956"/>
      <c r="NHD313" s="1956"/>
      <c r="NHE313" s="1956"/>
      <c r="NHF313" s="1956"/>
      <c r="NHG313" s="1956"/>
      <c r="NHH313" s="1956"/>
      <c r="NHI313" s="1956"/>
      <c r="NHJ313" s="1956"/>
      <c r="NHK313" s="1956"/>
      <c r="NHL313" s="1956"/>
      <c r="NHM313" s="1956"/>
      <c r="NHN313" s="1956"/>
      <c r="NHO313" s="1956"/>
      <c r="NHP313" s="1956"/>
      <c r="NHQ313" s="1956"/>
      <c r="NHR313" s="1956"/>
      <c r="NHS313" s="1956"/>
      <c r="NHT313" s="1956"/>
      <c r="NHU313" s="1956"/>
      <c r="NHV313" s="1956"/>
      <c r="NHW313" s="1956"/>
      <c r="NHX313" s="1956"/>
      <c r="NHY313" s="1956"/>
      <c r="NHZ313" s="1956"/>
      <c r="NIA313" s="1956"/>
      <c r="NIB313" s="1956"/>
      <c r="NIC313" s="1956"/>
      <c r="NID313" s="1956"/>
      <c r="NIE313" s="1956"/>
      <c r="NIF313" s="1956"/>
      <c r="NIG313" s="1956"/>
      <c r="NIH313" s="1956"/>
      <c r="NII313" s="1956"/>
      <c r="NIJ313" s="1956"/>
      <c r="NIK313" s="1956"/>
      <c r="NIL313" s="1956"/>
      <c r="NIM313" s="1956"/>
      <c r="NIN313" s="1956"/>
      <c r="NIO313" s="1956"/>
      <c r="NIP313" s="1956"/>
      <c r="NIQ313" s="1956"/>
      <c r="NIR313" s="1956"/>
      <c r="NIS313" s="1956"/>
      <c r="NIT313" s="1956"/>
      <c r="NIU313" s="1956"/>
      <c r="NIV313" s="1956"/>
      <c r="NIW313" s="1956"/>
      <c r="NIX313" s="1956"/>
      <c r="NIY313" s="1956"/>
      <c r="NIZ313" s="1956"/>
      <c r="NJA313" s="1956"/>
      <c r="NJB313" s="1956"/>
      <c r="NJC313" s="1956"/>
      <c r="NJD313" s="1956"/>
      <c r="NJE313" s="1956"/>
      <c r="NJF313" s="1956"/>
      <c r="NJG313" s="1956"/>
      <c r="NJH313" s="1956"/>
      <c r="NJI313" s="1956"/>
      <c r="NJJ313" s="1956"/>
      <c r="NJK313" s="1956"/>
      <c r="NJL313" s="1956"/>
      <c r="NJM313" s="1956"/>
      <c r="NJN313" s="1956"/>
      <c r="NJO313" s="1956"/>
      <c r="NJP313" s="1956"/>
      <c r="NJQ313" s="1956"/>
      <c r="NJR313" s="1956"/>
      <c r="NJS313" s="1956"/>
      <c r="NJT313" s="1956"/>
      <c r="NJU313" s="1956"/>
      <c r="NJV313" s="1956"/>
      <c r="NJW313" s="1956"/>
      <c r="NJX313" s="1956"/>
      <c r="NJY313" s="1956"/>
      <c r="NJZ313" s="1956"/>
      <c r="NKA313" s="1956"/>
      <c r="NKB313" s="1956"/>
      <c r="NKC313" s="1956"/>
      <c r="NKD313" s="1956"/>
      <c r="NKE313" s="1956"/>
      <c r="NKF313" s="1956"/>
      <c r="NKG313" s="1956"/>
      <c r="NKH313" s="1956"/>
      <c r="NKI313" s="1956"/>
      <c r="NKJ313" s="1956"/>
      <c r="NKK313" s="1956"/>
      <c r="NKL313" s="1956"/>
      <c r="NKM313" s="1956"/>
      <c r="NKN313" s="1956"/>
      <c r="NKO313" s="1956"/>
      <c r="NKP313" s="1956"/>
      <c r="NKQ313" s="1956"/>
      <c r="NKR313" s="1956"/>
      <c r="NKS313" s="1956"/>
      <c r="NKT313" s="1956"/>
      <c r="NKU313" s="1956"/>
      <c r="NKV313" s="1956"/>
      <c r="NKW313" s="1956"/>
      <c r="NKX313" s="1956"/>
      <c r="NKY313" s="1956"/>
      <c r="NKZ313" s="1956"/>
      <c r="NLA313" s="1956"/>
      <c r="NLB313" s="1956"/>
      <c r="NLC313" s="1956"/>
      <c r="NLD313" s="1956"/>
      <c r="NLE313" s="1956"/>
      <c r="NLF313" s="1956"/>
      <c r="NLG313" s="1956"/>
      <c r="NLH313" s="1956"/>
      <c r="NLI313" s="1956"/>
      <c r="NLJ313" s="1956"/>
      <c r="NLK313" s="1956"/>
      <c r="NLL313" s="1956"/>
      <c r="NLM313" s="1956"/>
      <c r="NLN313" s="1956"/>
      <c r="NLO313" s="1956"/>
      <c r="NLP313" s="1956"/>
      <c r="NLQ313" s="1956"/>
      <c r="NLR313" s="1956"/>
      <c r="NLS313" s="1956"/>
      <c r="NLT313" s="1956"/>
      <c r="NLU313" s="1956"/>
      <c r="NLV313" s="1956"/>
      <c r="NLW313" s="1956"/>
      <c r="NLX313" s="1956"/>
      <c r="NLY313" s="1956"/>
      <c r="NLZ313" s="1956"/>
      <c r="NMA313" s="1956"/>
      <c r="NMB313" s="1956"/>
      <c r="NMC313" s="1956"/>
      <c r="NMD313" s="1956"/>
      <c r="NME313" s="1956"/>
      <c r="NMF313" s="1956"/>
      <c r="NMG313" s="1956"/>
      <c r="NMH313" s="1956"/>
      <c r="NMI313" s="1956"/>
      <c r="NMJ313" s="1956"/>
      <c r="NMK313" s="1956"/>
      <c r="NML313" s="1956"/>
      <c r="NMM313" s="1956"/>
      <c r="NMN313" s="1956"/>
      <c r="NMO313" s="1956"/>
      <c r="NMP313" s="1956"/>
      <c r="NMQ313" s="1956"/>
      <c r="NMR313" s="1956"/>
      <c r="NMS313" s="1956"/>
      <c r="NMT313" s="1956"/>
      <c r="NMU313" s="1956"/>
      <c r="NMV313" s="1956"/>
      <c r="NMW313" s="1956"/>
      <c r="NMX313" s="1956"/>
      <c r="NMY313" s="1956"/>
      <c r="NMZ313" s="1956"/>
      <c r="NNA313" s="1956"/>
      <c r="NNB313" s="1956"/>
      <c r="NNC313" s="1956"/>
      <c r="NND313" s="1956"/>
      <c r="NNE313" s="1956"/>
      <c r="NNF313" s="1956"/>
      <c r="NNG313" s="1956"/>
      <c r="NNH313" s="1956"/>
      <c r="NNI313" s="1956"/>
      <c r="NNJ313" s="1956"/>
      <c r="NNK313" s="1956"/>
      <c r="NNL313" s="1956"/>
      <c r="NNM313" s="1956"/>
      <c r="NNN313" s="1956"/>
      <c r="NNO313" s="1956"/>
      <c r="NNP313" s="1956"/>
      <c r="NNQ313" s="1956"/>
      <c r="NNR313" s="1956"/>
      <c r="NNS313" s="1956"/>
      <c r="NNT313" s="1956"/>
      <c r="NNU313" s="1956"/>
      <c r="NNV313" s="1956"/>
      <c r="NNW313" s="1956"/>
      <c r="NNX313" s="1956"/>
      <c r="NNY313" s="1956"/>
      <c r="NNZ313" s="1956"/>
      <c r="NOA313" s="1956"/>
      <c r="NOB313" s="1956"/>
      <c r="NOC313" s="1956"/>
      <c r="NOD313" s="1956"/>
      <c r="NOE313" s="1956"/>
      <c r="NOF313" s="1956"/>
      <c r="NOG313" s="1956"/>
      <c r="NOH313" s="1956"/>
      <c r="NOI313" s="1956"/>
      <c r="NOJ313" s="1956"/>
      <c r="NOK313" s="1956"/>
      <c r="NOL313" s="1956"/>
      <c r="NOM313" s="1956"/>
      <c r="NON313" s="1956"/>
      <c r="NOO313" s="1956"/>
      <c r="NOP313" s="1956"/>
      <c r="NOQ313" s="1956"/>
      <c r="NOR313" s="1956"/>
      <c r="NOS313" s="1956"/>
      <c r="NOT313" s="1956"/>
      <c r="NOU313" s="1956"/>
      <c r="NOV313" s="1956"/>
      <c r="NOW313" s="1956"/>
      <c r="NOX313" s="1956"/>
      <c r="NOY313" s="1956"/>
      <c r="NOZ313" s="1956"/>
      <c r="NPA313" s="1956"/>
      <c r="NPB313" s="1956"/>
      <c r="NPC313" s="1956"/>
      <c r="NPD313" s="1956"/>
      <c r="NPE313" s="1956"/>
      <c r="NPF313" s="1956"/>
      <c r="NPG313" s="1956"/>
      <c r="NPH313" s="1956"/>
      <c r="NPI313" s="1956"/>
      <c r="NPJ313" s="1956"/>
      <c r="NPK313" s="1956"/>
      <c r="NPL313" s="1956"/>
      <c r="NPM313" s="1956"/>
      <c r="NPN313" s="1956"/>
      <c r="NPO313" s="1956"/>
      <c r="NPP313" s="1956"/>
      <c r="NPQ313" s="1956"/>
      <c r="NPR313" s="1956"/>
      <c r="NPS313" s="1956"/>
      <c r="NPT313" s="1956"/>
      <c r="NPU313" s="1956"/>
      <c r="NPV313" s="1956"/>
      <c r="NPW313" s="1956"/>
      <c r="NPX313" s="1956"/>
      <c r="NPY313" s="1956"/>
      <c r="NPZ313" s="1956"/>
      <c r="NQA313" s="1956"/>
      <c r="NQB313" s="1956"/>
      <c r="NQC313" s="1956"/>
      <c r="NQD313" s="1956"/>
      <c r="NQE313" s="1956"/>
      <c r="NQF313" s="1956"/>
      <c r="NQG313" s="1956"/>
      <c r="NQH313" s="1956"/>
      <c r="NQI313" s="1956"/>
      <c r="NQJ313" s="1956"/>
      <c r="NQK313" s="1956"/>
      <c r="NQL313" s="1956"/>
      <c r="NQM313" s="1956"/>
      <c r="NQN313" s="1956"/>
      <c r="NQO313" s="1956"/>
      <c r="NQP313" s="1956"/>
      <c r="NQQ313" s="1956"/>
      <c r="NQR313" s="1956"/>
      <c r="NQS313" s="1956"/>
      <c r="NQT313" s="1956"/>
      <c r="NQU313" s="1956"/>
      <c r="NQV313" s="1956"/>
      <c r="NQW313" s="1956"/>
      <c r="NQX313" s="1956"/>
      <c r="NQY313" s="1956"/>
      <c r="NQZ313" s="1956"/>
      <c r="NRA313" s="1956"/>
      <c r="NRB313" s="1956"/>
      <c r="NRC313" s="1956"/>
      <c r="NRD313" s="1956"/>
      <c r="NRE313" s="1956"/>
      <c r="NRF313" s="1956"/>
      <c r="NRG313" s="1956"/>
      <c r="NRH313" s="1956"/>
      <c r="NRI313" s="1956"/>
      <c r="NRJ313" s="1956"/>
      <c r="NRK313" s="1956"/>
      <c r="NRL313" s="1956"/>
      <c r="NRM313" s="1956"/>
      <c r="NRN313" s="1956"/>
      <c r="NRO313" s="1956"/>
      <c r="NRP313" s="1956"/>
      <c r="NRQ313" s="1956"/>
      <c r="NRR313" s="1956"/>
      <c r="NRS313" s="1956"/>
      <c r="NRT313" s="1956"/>
      <c r="NRU313" s="1956"/>
      <c r="NRV313" s="1956"/>
      <c r="NRW313" s="1956"/>
      <c r="NRX313" s="1956"/>
      <c r="NRY313" s="1956"/>
      <c r="NRZ313" s="1956"/>
      <c r="NSA313" s="1956"/>
      <c r="NSB313" s="1956"/>
      <c r="NSC313" s="1956"/>
      <c r="NSD313" s="1956"/>
      <c r="NSE313" s="1956"/>
      <c r="NSF313" s="1956"/>
      <c r="NSG313" s="1956"/>
      <c r="NSH313" s="1956"/>
      <c r="NSI313" s="1956"/>
      <c r="NSJ313" s="1956"/>
      <c r="NSK313" s="1956"/>
      <c r="NSL313" s="1956"/>
      <c r="NSM313" s="1956"/>
      <c r="NSN313" s="1956"/>
      <c r="NSO313" s="1956"/>
      <c r="NSP313" s="1956"/>
      <c r="NSQ313" s="1956"/>
      <c r="NSR313" s="1956"/>
      <c r="NSS313" s="1956"/>
      <c r="NST313" s="1956"/>
      <c r="NSU313" s="1956"/>
      <c r="NSV313" s="1956"/>
      <c r="NSW313" s="1956"/>
      <c r="NSX313" s="1956"/>
      <c r="NSY313" s="1956"/>
      <c r="NSZ313" s="1956"/>
      <c r="NTA313" s="1956"/>
      <c r="NTB313" s="1956"/>
      <c r="NTC313" s="1956"/>
      <c r="NTD313" s="1956"/>
      <c r="NTE313" s="1956"/>
      <c r="NTF313" s="1956"/>
      <c r="NTG313" s="1956"/>
      <c r="NTH313" s="1956"/>
      <c r="NTI313" s="1956"/>
      <c r="NTJ313" s="1956"/>
      <c r="NTK313" s="1956"/>
      <c r="NTL313" s="1956"/>
      <c r="NTM313" s="1956"/>
      <c r="NTN313" s="1956"/>
      <c r="NTO313" s="1956"/>
      <c r="NTP313" s="1956"/>
      <c r="NTQ313" s="1956"/>
      <c r="NTR313" s="1956"/>
      <c r="NTS313" s="1956"/>
      <c r="NTT313" s="1956"/>
      <c r="NTU313" s="1956"/>
      <c r="NTV313" s="1956"/>
      <c r="NTW313" s="1956"/>
      <c r="NTX313" s="1956"/>
      <c r="NTY313" s="1956"/>
      <c r="NTZ313" s="1956"/>
      <c r="NUA313" s="1956"/>
      <c r="NUB313" s="1956"/>
      <c r="NUC313" s="1956"/>
      <c r="NUD313" s="1956"/>
      <c r="NUE313" s="1956"/>
      <c r="NUF313" s="1956"/>
      <c r="NUG313" s="1956"/>
      <c r="NUH313" s="1956"/>
      <c r="NUI313" s="1956"/>
      <c r="NUJ313" s="1956"/>
      <c r="NUK313" s="1956"/>
      <c r="NUL313" s="1956"/>
      <c r="NUM313" s="1956"/>
      <c r="NUN313" s="1956"/>
      <c r="NUO313" s="1956"/>
      <c r="NUP313" s="1956"/>
      <c r="NUQ313" s="1956"/>
      <c r="NUR313" s="1956"/>
      <c r="NUS313" s="1956"/>
      <c r="NUT313" s="1956"/>
      <c r="NUU313" s="1956"/>
      <c r="NUV313" s="1956"/>
      <c r="NUW313" s="1956"/>
      <c r="NUX313" s="1956"/>
      <c r="NUY313" s="1956"/>
      <c r="NUZ313" s="1956"/>
      <c r="NVA313" s="1956"/>
      <c r="NVB313" s="1956"/>
      <c r="NVC313" s="1956"/>
      <c r="NVD313" s="1956"/>
      <c r="NVE313" s="1956"/>
      <c r="NVF313" s="1956"/>
      <c r="NVG313" s="1956"/>
      <c r="NVH313" s="1956"/>
      <c r="NVI313" s="1956"/>
      <c r="NVJ313" s="1956"/>
      <c r="NVK313" s="1956"/>
      <c r="NVL313" s="1956"/>
      <c r="NVM313" s="1956"/>
      <c r="NVN313" s="1956"/>
      <c r="NVO313" s="1956"/>
      <c r="NVP313" s="1956"/>
      <c r="NVQ313" s="1956"/>
      <c r="NVR313" s="1956"/>
      <c r="NVS313" s="1956"/>
      <c r="NVT313" s="1956"/>
      <c r="NVU313" s="1956"/>
      <c r="NVV313" s="1956"/>
      <c r="NVW313" s="1956"/>
      <c r="NVX313" s="1956"/>
      <c r="NVY313" s="1956"/>
      <c r="NVZ313" s="1956"/>
      <c r="NWA313" s="1956"/>
      <c r="NWB313" s="1956"/>
      <c r="NWC313" s="1956"/>
      <c r="NWD313" s="1956"/>
      <c r="NWE313" s="1956"/>
      <c r="NWF313" s="1956"/>
      <c r="NWG313" s="1956"/>
      <c r="NWH313" s="1956"/>
      <c r="NWI313" s="1956"/>
      <c r="NWJ313" s="1956"/>
      <c r="NWK313" s="1956"/>
      <c r="NWL313" s="1956"/>
      <c r="NWM313" s="1956"/>
      <c r="NWN313" s="1956"/>
      <c r="NWO313" s="1956"/>
      <c r="NWP313" s="1956"/>
      <c r="NWQ313" s="1956"/>
      <c r="NWR313" s="1956"/>
      <c r="NWS313" s="1956"/>
      <c r="NWT313" s="1956"/>
      <c r="NWU313" s="1956"/>
      <c r="NWV313" s="1956"/>
      <c r="NWW313" s="1956"/>
      <c r="NWX313" s="1956"/>
      <c r="NWY313" s="1956"/>
      <c r="NWZ313" s="1956"/>
      <c r="NXA313" s="1956"/>
      <c r="NXB313" s="1956"/>
      <c r="NXC313" s="1956"/>
      <c r="NXD313" s="1956"/>
      <c r="NXE313" s="1956"/>
      <c r="NXF313" s="1956"/>
      <c r="NXG313" s="1956"/>
      <c r="NXH313" s="1956"/>
      <c r="NXI313" s="1956"/>
      <c r="NXJ313" s="1956"/>
      <c r="NXK313" s="1956"/>
      <c r="NXL313" s="1956"/>
      <c r="NXM313" s="1956"/>
      <c r="NXN313" s="1956"/>
      <c r="NXO313" s="1956"/>
      <c r="NXP313" s="1956"/>
      <c r="NXQ313" s="1956"/>
      <c r="NXR313" s="1956"/>
      <c r="NXS313" s="1956"/>
      <c r="NXT313" s="1956"/>
      <c r="NXU313" s="1956"/>
      <c r="NXV313" s="1956"/>
      <c r="NXW313" s="1956"/>
      <c r="NXX313" s="1956"/>
      <c r="NXY313" s="1956"/>
      <c r="NXZ313" s="1956"/>
      <c r="NYA313" s="1956"/>
      <c r="NYB313" s="1956"/>
      <c r="NYC313" s="1956"/>
      <c r="NYD313" s="1956"/>
      <c r="NYE313" s="1956"/>
      <c r="NYF313" s="1956"/>
      <c r="NYG313" s="1956"/>
      <c r="NYH313" s="1956"/>
      <c r="NYI313" s="1956"/>
      <c r="NYJ313" s="1956"/>
      <c r="NYK313" s="1956"/>
      <c r="NYL313" s="1956"/>
      <c r="NYM313" s="1956"/>
      <c r="NYN313" s="1956"/>
      <c r="NYO313" s="1956"/>
      <c r="NYP313" s="1956"/>
      <c r="NYQ313" s="1956"/>
      <c r="NYR313" s="1956"/>
      <c r="NYS313" s="1956"/>
      <c r="NYT313" s="1956"/>
      <c r="NYU313" s="1956"/>
      <c r="NYV313" s="1956"/>
      <c r="NYW313" s="1956"/>
      <c r="NYX313" s="1956"/>
      <c r="NYY313" s="1956"/>
      <c r="NYZ313" s="1956"/>
      <c r="NZA313" s="1956"/>
      <c r="NZB313" s="1956"/>
      <c r="NZC313" s="1956"/>
      <c r="NZD313" s="1956"/>
      <c r="NZE313" s="1956"/>
      <c r="NZF313" s="1956"/>
      <c r="NZG313" s="1956"/>
      <c r="NZH313" s="1956"/>
      <c r="NZI313" s="1956"/>
      <c r="NZJ313" s="1956"/>
      <c r="NZK313" s="1956"/>
      <c r="NZL313" s="1956"/>
      <c r="NZM313" s="1956"/>
      <c r="NZN313" s="1956"/>
      <c r="NZO313" s="1956"/>
      <c r="NZP313" s="1956"/>
      <c r="NZQ313" s="1956"/>
      <c r="NZR313" s="1956"/>
      <c r="NZS313" s="1956"/>
      <c r="NZT313" s="1956"/>
      <c r="NZU313" s="1956"/>
      <c r="NZV313" s="1956"/>
      <c r="NZW313" s="1956"/>
      <c r="NZX313" s="1956"/>
      <c r="NZY313" s="1956"/>
      <c r="NZZ313" s="1956"/>
      <c r="OAA313" s="1956"/>
      <c r="OAB313" s="1956"/>
      <c r="OAC313" s="1956"/>
      <c r="OAD313" s="1956"/>
      <c r="OAE313" s="1956"/>
      <c r="OAF313" s="1956"/>
      <c r="OAG313" s="1956"/>
      <c r="OAH313" s="1956"/>
      <c r="OAI313" s="1956"/>
      <c r="OAJ313" s="1956"/>
      <c r="OAK313" s="1956"/>
      <c r="OAL313" s="1956"/>
      <c r="OAM313" s="1956"/>
      <c r="OAN313" s="1956"/>
      <c r="OAO313" s="1956"/>
      <c r="OAP313" s="1956"/>
      <c r="OAQ313" s="1956"/>
      <c r="OAR313" s="1956"/>
      <c r="OAS313" s="1956"/>
      <c r="OAT313" s="1956"/>
      <c r="OAU313" s="1956"/>
      <c r="OAV313" s="1956"/>
      <c r="OAW313" s="1956"/>
      <c r="OAX313" s="1956"/>
      <c r="OAY313" s="1956"/>
      <c r="OAZ313" s="1956"/>
      <c r="OBA313" s="1956"/>
      <c r="OBB313" s="1956"/>
      <c r="OBC313" s="1956"/>
      <c r="OBD313" s="1956"/>
      <c r="OBE313" s="1956"/>
      <c r="OBF313" s="1956"/>
      <c r="OBG313" s="1956"/>
      <c r="OBH313" s="1956"/>
      <c r="OBI313" s="1956"/>
      <c r="OBJ313" s="1956"/>
      <c r="OBK313" s="1956"/>
      <c r="OBL313" s="1956"/>
      <c r="OBM313" s="1956"/>
      <c r="OBN313" s="1956"/>
      <c r="OBO313" s="1956"/>
      <c r="OBP313" s="1956"/>
      <c r="OBQ313" s="1956"/>
      <c r="OBR313" s="1956"/>
      <c r="OBS313" s="1956"/>
      <c r="OBT313" s="1956"/>
      <c r="OBU313" s="1956"/>
      <c r="OBV313" s="1956"/>
      <c r="OBW313" s="1956"/>
      <c r="OBX313" s="1956"/>
      <c r="OBY313" s="1956"/>
      <c r="OBZ313" s="1956"/>
      <c r="OCA313" s="1956"/>
      <c r="OCB313" s="1956"/>
      <c r="OCC313" s="1956"/>
      <c r="OCD313" s="1956"/>
      <c r="OCE313" s="1956"/>
      <c r="OCF313" s="1956"/>
      <c r="OCG313" s="1956"/>
      <c r="OCH313" s="1956"/>
      <c r="OCI313" s="1956"/>
      <c r="OCJ313" s="1956"/>
      <c r="OCK313" s="1956"/>
      <c r="OCL313" s="1956"/>
      <c r="OCM313" s="1956"/>
      <c r="OCN313" s="1956"/>
      <c r="OCO313" s="1956"/>
      <c r="OCP313" s="1956"/>
      <c r="OCQ313" s="1956"/>
      <c r="OCR313" s="1956"/>
      <c r="OCS313" s="1956"/>
      <c r="OCT313" s="1956"/>
      <c r="OCU313" s="1956"/>
      <c r="OCV313" s="1956"/>
      <c r="OCW313" s="1956"/>
      <c r="OCX313" s="1956"/>
      <c r="OCY313" s="1956"/>
      <c r="OCZ313" s="1956"/>
      <c r="ODA313" s="1956"/>
      <c r="ODB313" s="1956"/>
      <c r="ODC313" s="1956"/>
      <c r="ODD313" s="1956"/>
      <c r="ODE313" s="1956"/>
      <c r="ODF313" s="1956"/>
      <c r="ODG313" s="1956"/>
      <c r="ODH313" s="1956"/>
      <c r="ODI313" s="1956"/>
      <c r="ODJ313" s="1956"/>
      <c r="ODK313" s="1956"/>
      <c r="ODL313" s="1956"/>
      <c r="ODM313" s="1956"/>
      <c r="ODN313" s="1956"/>
      <c r="ODO313" s="1956"/>
      <c r="ODP313" s="1956"/>
      <c r="ODQ313" s="1956"/>
      <c r="ODR313" s="1956"/>
      <c r="ODS313" s="1956"/>
      <c r="ODT313" s="1956"/>
      <c r="ODU313" s="1956"/>
      <c r="ODV313" s="1956"/>
      <c r="ODW313" s="1956"/>
      <c r="ODX313" s="1956"/>
      <c r="ODY313" s="1956"/>
      <c r="ODZ313" s="1956"/>
      <c r="OEA313" s="1956"/>
      <c r="OEB313" s="1956"/>
      <c r="OEC313" s="1956"/>
      <c r="OED313" s="1956"/>
      <c r="OEE313" s="1956"/>
      <c r="OEF313" s="1956"/>
      <c r="OEG313" s="1956"/>
      <c r="OEH313" s="1956"/>
      <c r="OEI313" s="1956"/>
      <c r="OEJ313" s="1956"/>
      <c r="OEK313" s="1956"/>
      <c r="OEL313" s="1956"/>
      <c r="OEM313" s="1956"/>
      <c r="OEN313" s="1956"/>
      <c r="OEO313" s="1956"/>
      <c r="OEP313" s="1956"/>
      <c r="OEQ313" s="1956"/>
      <c r="OER313" s="1956"/>
      <c r="OES313" s="1956"/>
      <c r="OET313" s="1956"/>
      <c r="OEU313" s="1956"/>
      <c r="OEV313" s="1956"/>
      <c r="OEW313" s="1956"/>
      <c r="OEX313" s="1956"/>
      <c r="OEY313" s="1956"/>
      <c r="OEZ313" s="1956"/>
      <c r="OFA313" s="1956"/>
      <c r="OFB313" s="1956"/>
      <c r="OFC313" s="1956"/>
      <c r="OFD313" s="1956"/>
      <c r="OFE313" s="1956"/>
      <c r="OFF313" s="1956"/>
      <c r="OFG313" s="1956"/>
      <c r="OFH313" s="1956"/>
      <c r="OFI313" s="1956"/>
      <c r="OFJ313" s="1956"/>
      <c r="OFK313" s="1956"/>
      <c r="OFL313" s="1956"/>
      <c r="OFM313" s="1956"/>
      <c r="OFN313" s="1956"/>
      <c r="OFO313" s="1956"/>
      <c r="OFP313" s="1956"/>
      <c r="OFQ313" s="1956"/>
      <c r="OFR313" s="1956"/>
      <c r="OFS313" s="1956"/>
      <c r="OFT313" s="1956"/>
      <c r="OFU313" s="1956"/>
      <c r="OFV313" s="1956"/>
      <c r="OFW313" s="1956"/>
      <c r="OFX313" s="1956"/>
      <c r="OFY313" s="1956"/>
      <c r="OFZ313" s="1956"/>
      <c r="OGA313" s="1956"/>
      <c r="OGB313" s="1956"/>
      <c r="OGC313" s="1956"/>
      <c r="OGD313" s="1956"/>
      <c r="OGE313" s="1956"/>
      <c r="OGF313" s="1956"/>
      <c r="OGG313" s="1956"/>
      <c r="OGH313" s="1956"/>
      <c r="OGI313" s="1956"/>
      <c r="OGJ313" s="1956"/>
      <c r="OGK313" s="1956"/>
      <c r="OGL313" s="1956"/>
      <c r="OGM313" s="1956"/>
      <c r="OGN313" s="1956"/>
      <c r="OGO313" s="1956"/>
      <c r="OGP313" s="1956"/>
      <c r="OGQ313" s="1956"/>
      <c r="OGR313" s="1956"/>
      <c r="OGS313" s="1956"/>
      <c r="OGT313" s="1956"/>
      <c r="OGU313" s="1956"/>
      <c r="OGV313" s="1956"/>
      <c r="OGW313" s="1956"/>
      <c r="OGX313" s="1956"/>
      <c r="OGY313" s="1956"/>
      <c r="OGZ313" s="1956"/>
      <c r="OHA313" s="1956"/>
      <c r="OHB313" s="1956"/>
      <c r="OHC313" s="1956"/>
      <c r="OHD313" s="1956"/>
      <c r="OHE313" s="1956"/>
      <c r="OHF313" s="1956"/>
      <c r="OHG313" s="1956"/>
      <c r="OHH313" s="1956"/>
      <c r="OHI313" s="1956"/>
      <c r="OHJ313" s="1956"/>
      <c r="OHK313" s="1956"/>
      <c r="OHL313" s="1956"/>
      <c r="OHM313" s="1956"/>
      <c r="OHN313" s="1956"/>
      <c r="OHO313" s="1956"/>
      <c r="OHP313" s="1956"/>
      <c r="OHQ313" s="1956"/>
      <c r="OHR313" s="1956"/>
      <c r="OHS313" s="1956"/>
      <c r="OHT313" s="1956"/>
      <c r="OHU313" s="1956"/>
      <c r="OHV313" s="1956"/>
      <c r="OHW313" s="1956"/>
      <c r="OHX313" s="1956"/>
      <c r="OHY313" s="1956"/>
      <c r="OHZ313" s="1956"/>
      <c r="OIA313" s="1956"/>
      <c r="OIB313" s="1956"/>
      <c r="OIC313" s="1956"/>
      <c r="OID313" s="1956"/>
      <c r="OIE313" s="1956"/>
      <c r="OIF313" s="1956"/>
      <c r="OIG313" s="1956"/>
      <c r="OIH313" s="1956"/>
      <c r="OII313" s="1956"/>
      <c r="OIJ313" s="1956"/>
      <c r="OIK313" s="1956"/>
      <c r="OIL313" s="1956"/>
      <c r="OIM313" s="1956"/>
      <c r="OIN313" s="1956"/>
      <c r="OIO313" s="1956"/>
      <c r="OIP313" s="1956"/>
      <c r="OIQ313" s="1956"/>
      <c r="OIR313" s="1956"/>
      <c r="OIS313" s="1956"/>
      <c r="OIT313" s="1956"/>
      <c r="OIU313" s="1956"/>
      <c r="OIV313" s="1956"/>
      <c r="OIW313" s="1956"/>
      <c r="OIX313" s="1956"/>
      <c r="OIY313" s="1956"/>
      <c r="OIZ313" s="1956"/>
      <c r="OJA313" s="1956"/>
      <c r="OJB313" s="1956"/>
      <c r="OJC313" s="1956"/>
      <c r="OJD313" s="1956"/>
      <c r="OJE313" s="1956"/>
      <c r="OJF313" s="1956"/>
      <c r="OJG313" s="1956"/>
      <c r="OJH313" s="1956"/>
      <c r="OJI313" s="1956"/>
      <c r="OJJ313" s="1956"/>
      <c r="OJK313" s="1956"/>
      <c r="OJL313" s="1956"/>
      <c r="OJM313" s="1956"/>
      <c r="OJN313" s="1956"/>
      <c r="OJO313" s="1956"/>
      <c r="OJP313" s="1956"/>
      <c r="OJQ313" s="1956"/>
      <c r="OJR313" s="1956"/>
      <c r="OJS313" s="1956"/>
      <c r="OJT313" s="1956"/>
      <c r="OJU313" s="1956"/>
      <c r="OJV313" s="1956"/>
      <c r="OJW313" s="1956"/>
      <c r="OJX313" s="1956"/>
      <c r="OJY313" s="1956"/>
      <c r="OJZ313" s="1956"/>
      <c r="OKA313" s="1956"/>
      <c r="OKB313" s="1956"/>
      <c r="OKC313" s="1956"/>
      <c r="OKD313" s="1956"/>
      <c r="OKE313" s="1956"/>
      <c r="OKF313" s="1956"/>
      <c r="OKG313" s="1956"/>
      <c r="OKH313" s="1956"/>
      <c r="OKI313" s="1956"/>
      <c r="OKJ313" s="1956"/>
      <c r="OKK313" s="1956"/>
      <c r="OKL313" s="1956"/>
      <c r="OKM313" s="1956"/>
      <c r="OKN313" s="1956"/>
      <c r="OKO313" s="1956"/>
      <c r="OKP313" s="1956"/>
      <c r="OKQ313" s="1956"/>
      <c r="OKR313" s="1956"/>
      <c r="OKS313" s="1956"/>
      <c r="OKT313" s="1956"/>
      <c r="OKU313" s="1956"/>
      <c r="OKV313" s="1956"/>
      <c r="OKW313" s="1956"/>
      <c r="OKX313" s="1956"/>
      <c r="OKY313" s="1956"/>
      <c r="OKZ313" s="1956"/>
      <c r="OLA313" s="1956"/>
      <c r="OLB313" s="1956"/>
      <c r="OLC313" s="1956"/>
      <c r="OLD313" s="1956"/>
      <c r="OLE313" s="1956"/>
      <c r="OLF313" s="1956"/>
      <c r="OLG313" s="1956"/>
      <c r="OLH313" s="1956"/>
      <c r="OLI313" s="1956"/>
      <c r="OLJ313" s="1956"/>
      <c r="OLK313" s="1956"/>
      <c r="OLL313" s="1956"/>
      <c r="OLM313" s="1956"/>
      <c r="OLN313" s="1956"/>
      <c r="OLO313" s="1956"/>
      <c r="OLP313" s="1956"/>
      <c r="OLQ313" s="1956"/>
      <c r="OLR313" s="1956"/>
      <c r="OLS313" s="1956"/>
      <c r="OLT313" s="1956"/>
      <c r="OLU313" s="1956"/>
      <c r="OLV313" s="1956"/>
      <c r="OLW313" s="1956"/>
      <c r="OLX313" s="1956"/>
      <c r="OLY313" s="1956"/>
      <c r="OLZ313" s="1956"/>
      <c r="OMA313" s="1956"/>
      <c r="OMB313" s="1956"/>
      <c r="OMC313" s="1956"/>
      <c r="OMD313" s="1956"/>
      <c r="OME313" s="1956"/>
      <c r="OMF313" s="1956"/>
      <c r="OMG313" s="1956"/>
      <c r="OMH313" s="1956"/>
      <c r="OMI313" s="1956"/>
      <c r="OMJ313" s="1956"/>
      <c r="OMK313" s="1956"/>
      <c r="OML313" s="1956"/>
      <c r="OMM313" s="1956"/>
      <c r="OMN313" s="1956"/>
      <c r="OMO313" s="1956"/>
      <c r="OMP313" s="1956"/>
      <c r="OMQ313" s="1956"/>
      <c r="OMR313" s="1956"/>
      <c r="OMS313" s="1956"/>
      <c r="OMT313" s="1956"/>
      <c r="OMU313" s="1956"/>
      <c r="OMV313" s="1956"/>
      <c r="OMW313" s="1956"/>
      <c r="OMX313" s="1956"/>
      <c r="OMY313" s="1956"/>
      <c r="OMZ313" s="1956"/>
      <c r="ONA313" s="1956"/>
      <c r="ONB313" s="1956"/>
      <c r="ONC313" s="1956"/>
      <c r="OND313" s="1956"/>
      <c r="ONE313" s="1956"/>
      <c r="ONF313" s="1956"/>
      <c r="ONG313" s="1956"/>
      <c r="ONH313" s="1956"/>
      <c r="ONI313" s="1956"/>
      <c r="ONJ313" s="1956"/>
      <c r="ONK313" s="1956"/>
      <c r="ONL313" s="1956"/>
      <c r="ONM313" s="1956"/>
      <c r="ONN313" s="1956"/>
      <c r="ONO313" s="1956"/>
      <c r="ONP313" s="1956"/>
      <c r="ONQ313" s="1956"/>
      <c r="ONR313" s="1956"/>
      <c r="ONS313" s="1956"/>
      <c r="ONT313" s="1956"/>
      <c r="ONU313" s="1956"/>
      <c r="ONV313" s="1956"/>
      <c r="ONW313" s="1956"/>
      <c r="ONX313" s="1956"/>
      <c r="ONY313" s="1956"/>
      <c r="ONZ313" s="1956"/>
      <c r="OOA313" s="1956"/>
      <c r="OOB313" s="1956"/>
      <c r="OOC313" s="1956"/>
      <c r="OOD313" s="1956"/>
      <c r="OOE313" s="1956"/>
      <c r="OOF313" s="1956"/>
      <c r="OOG313" s="1956"/>
      <c r="OOH313" s="1956"/>
      <c r="OOI313" s="1956"/>
      <c r="OOJ313" s="1956"/>
      <c r="OOK313" s="1956"/>
      <c r="OOL313" s="1956"/>
      <c r="OOM313" s="1956"/>
      <c r="OON313" s="1956"/>
      <c r="OOO313" s="1956"/>
      <c r="OOP313" s="1956"/>
      <c r="OOQ313" s="1956"/>
      <c r="OOR313" s="1956"/>
      <c r="OOS313" s="1956"/>
      <c r="OOT313" s="1956"/>
      <c r="OOU313" s="1956"/>
      <c r="OOV313" s="1956"/>
      <c r="OOW313" s="1956"/>
      <c r="OOX313" s="1956"/>
      <c r="OOY313" s="1956"/>
      <c r="OOZ313" s="1956"/>
      <c r="OPA313" s="1956"/>
      <c r="OPB313" s="1956"/>
      <c r="OPC313" s="1956"/>
      <c r="OPD313" s="1956"/>
      <c r="OPE313" s="1956"/>
      <c r="OPF313" s="1956"/>
      <c r="OPG313" s="1956"/>
      <c r="OPH313" s="1956"/>
      <c r="OPI313" s="1956"/>
      <c r="OPJ313" s="1956"/>
      <c r="OPK313" s="1956"/>
      <c r="OPL313" s="1956"/>
      <c r="OPM313" s="1956"/>
      <c r="OPN313" s="1956"/>
      <c r="OPO313" s="1956"/>
      <c r="OPP313" s="1956"/>
      <c r="OPQ313" s="1956"/>
      <c r="OPR313" s="1956"/>
      <c r="OPS313" s="1956"/>
      <c r="OPT313" s="1956"/>
      <c r="OPU313" s="1956"/>
      <c r="OPV313" s="1956"/>
      <c r="OPW313" s="1956"/>
      <c r="OPX313" s="1956"/>
      <c r="OPY313" s="1956"/>
      <c r="OPZ313" s="1956"/>
      <c r="OQA313" s="1956"/>
      <c r="OQB313" s="1956"/>
      <c r="OQC313" s="1956"/>
      <c r="OQD313" s="1956"/>
      <c r="OQE313" s="1956"/>
      <c r="OQF313" s="1956"/>
      <c r="OQG313" s="1956"/>
      <c r="OQH313" s="1956"/>
      <c r="OQI313" s="1956"/>
      <c r="OQJ313" s="1956"/>
      <c r="OQK313" s="1956"/>
      <c r="OQL313" s="1956"/>
      <c r="OQM313" s="1956"/>
      <c r="OQN313" s="1956"/>
      <c r="OQO313" s="1956"/>
      <c r="OQP313" s="1956"/>
      <c r="OQQ313" s="1956"/>
      <c r="OQR313" s="1956"/>
      <c r="OQS313" s="1956"/>
      <c r="OQT313" s="1956"/>
      <c r="OQU313" s="1956"/>
      <c r="OQV313" s="1956"/>
      <c r="OQW313" s="1956"/>
      <c r="OQX313" s="1956"/>
      <c r="OQY313" s="1956"/>
      <c r="OQZ313" s="1956"/>
      <c r="ORA313" s="1956"/>
      <c r="ORB313" s="1956"/>
      <c r="ORC313" s="1956"/>
      <c r="ORD313" s="1956"/>
      <c r="ORE313" s="1956"/>
      <c r="ORF313" s="1956"/>
      <c r="ORG313" s="1956"/>
      <c r="ORH313" s="1956"/>
      <c r="ORI313" s="1956"/>
      <c r="ORJ313" s="1956"/>
      <c r="ORK313" s="1956"/>
      <c r="ORL313" s="1956"/>
      <c r="ORM313" s="1956"/>
      <c r="ORN313" s="1956"/>
      <c r="ORO313" s="1956"/>
      <c r="ORP313" s="1956"/>
      <c r="ORQ313" s="1956"/>
      <c r="ORR313" s="1956"/>
      <c r="ORS313" s="1956"/>
      <c r="ORT313" s="1956"/>
      <c r="ORU313" s="1956"/>
      <c r="ORV313" s="1956"/>
      <c r="ORW313" s="1956"/>
      <c r="ORX313" s="1956"/>
      <c r="ORY313" s="1956"/>
      <c r="ORZ313" s="1956"/>
      <c r="OSA313" s="1956"/>
      <c r="OSB313" s="1956"/>
      <c r="OSC313" s="1956"/>
      <c r="OSD313" s="1956"/>
      <c r="OSE313" s="1956"/>
      <c r="OSF313" s="1956"/>
      <c r="OSG313" s="1956"/>
      <c r="OSH313" s="1956"/>
      <c r="OSI313" s="1956"/>
      <c r="OSJ313" s="1956"/>
      <c r="OSK313" s="1956"/>
      <c r="OSL313" s="1956"/>
      <c r="OSM313" s="1956"/>
      <c r="OSN313" s="1956"/>
      <c r="OSO313" s="1956"/>
      <c r="OSP313" s="1956"/>
      <c r="OSQ313" s="1956"/>
      <c r="OSR313" s="1956"/>
      <c r="OSS313" s="1956"/>
      <c r="OST313" s="1956"/>
      <c r="OSU313" s="1956"/>
      <c r="OSV313" s="1956"/>
      <c r="OSW313" s="1956"/>
      <c r="OSX313" s="1956"/>
      <c r="OSY313" s="1956"/>
      <c r="OSZ313" s="1956"/>
      <c r="OTA313" s="1956"/>
      <c r="OTB313" s="1956"/>
      <c r="OTC313" s="1956"/>
      <c r="OTD313" s="1956"/>
      <c r="OTE313" s="1956"/>
      <c r="OTF313" s="1956"/>
      <c r="OTG313" s="1956"/>
      <c r="OTH313" s="1956"/>
      <c r="OTI313" s="1956"/>
      <c r="OTJ313" s="1956"/>
      <c r="OTK313" s="1956"/>
      <c r="OTL313" s="1956"/>
      <c r="OTM313" s="1956"/>
      <c r="OTN313" s="1956"/>
      <c r="OTO313" s="1956"/>
      <c r="OTP313" s="1956"/>
      <c r="OTQ313" s="1956"/>
      <c r="OTR313" s="1956"/>
      <c r="OTS313" s="1956"/>
      <c r="OTT313" s="1956"/>
      <c r="OTU313" s="1956"/>
      <c r="OTV313" s="1956"/>
      <c r="OTW313" s="1956"/>
      <c r="OTX313" s="1956"/>
      <c r="OTY313" s="1956"/>
      <c r="OTZ313" s="1956"/>
      <c r="OUA313" s="1956"/>
      <c r="OUB313" s="1956"/>
      <c r="OUC313" s="1956"/>
      <c r="OUD313" s="1956"/>
      <c r="OUE313" s="1956"/>
      <c r="OUF313" s="1956"/>
      <c r="OUG313" s="1956"/>
      <c r="OUH313" s="1956"/>
      <c r="OUI313" s="1956"/>
      <c r="OUJ313" s="1956"/>
      <c r="OUK313" s="1956"/>
      <c r="OUL313" s="1956"/>
      <c r="OUM313" s="1956"/>
      <c r="OUN313" s="1956"/>
      <c r="OUO313" s="1956"/>
      <c r="OUP313" s="1956"/>
      <c r="OUQ313" s="1956"/>
      <c r="OUR313" s="1956"/>
      <c r="OUS313" s="1956"/>
      <c r="OUT313" s="1956"/>
      <c r="OUU313" s="1956"/>
      <c r="OUV313" s="1956"/>
      <c r="OUW313" s="1956"/>
      <c r="OUX313" s="1956"/>
      <c r="OUY313" s="1956"/>
      <c r="OUZ313" s="1956"/>
      <c r="OVA313" s="1956"/>
      <c r="OVB313" s="1956"/>
      <c r="OVC313" s="1956"/>
      <c r="OVD313" s="1956"/>
      <c r="OVE313" s="1956"/>
      <c r="OVF313" s="1956"/>
      <c r="OVG313" s="1956"/>
      <c r="OVH313" s="1956"/>
      <c r="OVI313" s="1956"/>
      <c r="OVJ313" s="1956"/>
      <c r="OVK313" s="1956"/>
      <c r="OVL313" s="1956"/>
      <c r="OVM313" s="1956"/>
      <c r="OVN313" s="1956"/>
      <c r="OVO313" s="1956"/>
      <c r="OVP313" s="1956"/>
      <c r="OVQ313" s="1956"/>
      <c r="OVR313" s="1956"/>
      <c r="OVS313" s="1956"/>
      <c r="OVT313" s="1956"/>
      <c r="OVU313" s="1956"/>
      <c r="OVV313" s="1956"/>
      <c r="OVW313" s="1956"/>
      <c r="OVX313" s="1956"/>
      <c r="OVY313" s="1956"/>
      <c r="OVZ313" s="1956"/>
      <c r="OWA313" s="1956"/>
      <c r="OWB313" s="1956"/>
      <c r="OWC313" s="1956"/>
      <c r="OWD313" s="1956"/>
      <c r="OWE313" s="1956"/>
      <c r="OWF313" s="1956"/>
      <c r="OWG313" s="1956"/>
      <c r="OWH313" s="1956"/>
      <c r="OWI313" s="1956"/>
      <c r="OWJ313" s="1956"/>
      <c r="OWK313" s="1956"/>
      <c r="OWL313" s="1956"/>
      <c r="OWM313" s="1956"/>
      <c r="OWN313" s="1956"/>
      <c r="OWO313" s="1956"/>
      <c r="OWP313" s="1956"/>
      <c r="OWQ313" s="1956"/>
      <c r="OWR313" s="1956"/>
      <c r="OWS313" s="1956"/>
      <c r="OWT313" s="1956"/>
      <c r="OWU313" s="1956"/>
      <c r="OWV313" s="1956"/>
      <c r="OWW313" s="1956"/>
      <c r="OWX313" s="1956"/>
      <c r="OWY313" s="1956"/>
      <c r="OWZ313" s="1956"/>
      <c r="OXA313" s="1956"/>
      <c r="OXB313" s="1956"/>
      <c r="OXC313" s="1956"/>
      <c r="OXD313" s="1956"/>
      <c r="OXE313" s="1956"/>
      <c r="OXF313" s="1956"/>
      <c r="OXG313" s="1956"/>
      <c r="OXH313" s="1956"/>
      <c r="OXI313" s="1956"/>
      <c r="OXJ313" s="1956"/>
      <c r="OXK313" s="1956"/>
      <c r="OXL313" s="1956"/>
      <c r="OXM313" s="1956"/>
      <c r="OXN313" s="1956"/>
      <c r="OXO313" s="1956"/>
      <c r="OXP313" s="1956"/>
      <c r="OXQ313" s="1956"/>
      <c r="OXR313" s="1956"/>
      <c r="OXS313" s="1956"/>
      <c r="OXT313" s="1956"/>
      <c r="OXU313" s="1956"/>
      <c r="OXV313" s="1956"/>
      <c r="OXW313" s="1956"/>
      <c r="OXX313" s="1956"/>
      <c r="OXY313" s="1956"/>
      <c r="OXZ313" s="1956"/>
      <c r="OYA313" s="1956"/>
      <c r="OYB313" s="1956"/>
      <c r="OYC313" s="1956"/>
      <c r="OYD313" s="1956"/>
      <c r="OYE313" s="1956"/>
      <c r="OYF313" s="1956"/>
      <c r="OYG313" s="1956"/>
      <c r="OYH313" s="1956"/>
      <c r="OYI313" s="1956"/>
      <c r="OYJ313" s="1956"/>
      <c r="OYK313" s="1956"/>
      <c r="OYL313" s="1956"/>
      <c r="OYM313" s="1956"/>
      <c r="OYN313" s="1956"/>
      <c r="OYO313" s="1956"/>
      <c r="OYP313" s="1956"/>
      <c r="OYQ313" s="1956"/>
      <c r="OYR313" s="1956"/>
      <c r="OYS313" s="1956"/>
      <c r="OYT313" s="1956"/>
      <c r="OYU313" s="1956"/>
      <c r="OYV313" s="1956"/>
      <c r="OYW313" s="1956"/>
      <c r="OYX313" s="1956"/>
      <c r="OYY313" s="1956"/>
      <c r="OYZ313" s="1956"/>
      <c r="OZA313" s="1956"/>
      <c r="OZB313" s="1956"/>
      <c r="OZC313" s="1956"/>
      <c r="OZD313" s="1956"/>
      <c r="OZE313" s="1956"/>
      <c r="OZF313" s="1956"/>
      <c r="OZG313" s="1956"/>
      <c r="OZH313" s="1956"/>
      <c r="OZI313" s="1956"/>
      <c r="OZJ313" s="1956"/>
      <c r="OZK313" s="1956"/>
      <c r="OZL313" s="1956"/>
      <c r="OZM313" s="1956"/>
      <c r="OZN313" s="1956"/>
      <c r="OZO313" s="1956"/>
      <c r="OZP313" s="1956"/>
      <c r="OZQ313" s="1956"/>
      <c r="OZR313" s="1956"/>
      <c r="OZS313" s="1956"/>
      <c r="OZT313" s="1956"/>
      <c r="OZU313" s="1956"/>
      <c r="OZV313" s="1956"/>
      <c r="OZW313" s="1956"/>
      <c r="OZX313" s="1956"/>
      <c r="OZY313" s="1956"/>
      <c r="OZZ313" s="1956"/>
      <c r="PAA313" s="1956"/>
      <c r="PAB313" s="1956"/>
      <c r="PAC313" s="1956"/>
      <c r="PAD313" s="1956"/>
      <c r="PAE313" s="1956"/>
      <c r="PAF313" s="1956"/>
      <c r="PAG313" s="1956"/>
      <c r="PAH313" s="1956"/>
      <c r="PAI313" s="1956"/>
      <c r="PAJ313" s="1956"/>
      <c r="PAK313" s="1956"/>
      <c r="PAL313" s="1956"/>
      <c r="PAM313" s="1956"/>
      <c r="PAN313" s="1956"/>
      <c r="PAO313" s="1956"/>
      <c r="PAP313" s="1956"/>
      <c r="PAQ313" s="1956"/>
      <c r="PAR313" s="1956"/>
      <c r="PAS313" s="1956"/>
      <c r="PAT313" s="1956"/>
      <c r="PAU313" s="1956"/>
      <c r="PAV313" s="1956"/>
      <c r="PAW313" s="1956"/>
      <c r="PAX313" s="1956"/>
      <c r="PAY313" s="1956"/>
      <c r="PAZ313" s="1956"/>
      <c r="PBA313" s="1956"/>
      <c r="PBB313" s="1956"/>
      <c r="PBC313" s="1956"/>
      <c r="PBD313" s="1956"/>
      <c r="PBE313" s="1956"/>
      <c r="PBF313" s="1956"/>
      <c r="PBG313" s="1956"/>
      <c r="PBH313" s="1956"/>
      <c r="PBI313" s="1956"/>
      <c r="PBJ313" s="1956"/>
      <c r="PBK313" s="1956"/>
      <c r="PBL313" s="1956"/>
      <c r="PBM313" s="1956"/>
      <c r="PBN313" s="1956"/>
      <c r="PBO313" s="1956"/>
      <c r="PBP313" s="1956"/>
      <c r="PBQ313" s="1956"/>
      <c r="PBR313" s="1956"/>
      <c r="PBS313" s="1956"/>
      <c r="PBT313" s="1956"/>
      <c r="PBU313" s="1956"/>
      <c r="PBV313" s="1956"/>
      <c r="PBW313" s="1956"/>
      <c r="PBX313" s="1956"/>
      <c r="PBY313" s="1956"/>
      <c r="PBZ313" s="1956"/>
      <c r="PCA313" s="1956"/>
      <c r="PCB313" s="1956"/>
      <c r="PCC313" s="1956"/>
      <c r="PCD313" s="1956"/>
      <c r="PCE313" s="1956"/>
      <c r="PCF313" s="1956"/>
      <c r="PCG313" s="1956"/>
      <c r="PCH313" s="1956"/>
      <c r="PCI313" s="1956"/>
      <c r="PCJ313" s="1956"/>
      <c r="PCK313" s="1956"/>
      <c r="PCL313" s="1956"/>
      <c r="PCM313" s="1956"/>
      <c r="PCN313" s="1956"/>
      <c r="PCO313" s="1956"/>
      <c r="PCP313" s="1956"/>
      <c r="PCQ313" s="1956"/>
      <c r="PCR313" s="1956"/>
      <c r="PCS313" s="1956"/>
      <c r="PCT313" s="1956"/>
      <c r="PCU313" s="1956"/>
      <c r="PCV313" s="1956"/>
      <c r="PCW313" s="1956"/>
      <c r="PCX313" s="1956"/>
      <c r="PCY313" s="1956"/>
      <c r="PCZ313" s="1956"/>
      <c r="PDA313" s="1956"/>
      <c r="PDB313" s="1956"/>
      <c r="PDC313" s="1956"/>
      <c r="PDD313" s="1956"/>
      <c r="PDE313" s="1956"/>
      <c r="PDF313" s="1956"/>
      <c r="PDG313" s="1956"/>
      <c r="PDH313" s="1956"/>
      <c r="PDI313" s="1956"/>
      <c r="PDJ313" s="1956"/>
      <c r="PDK313" s="1956"/>
      <c r="PDL313" s="1956"/>
      <c r="PDM313" s="1956"/>
      <c r="PDN313" s="1956"/>
      <c r="PDO313" s="1956"/>
      <c r="PDP313" s="1956"/>
      <c r="PDQ313" s="1956"/>
      <c r="PDR313" s="1956"/>
      <c r="PDS313" s="1956"/>
      <c r="PDT313" s="1956"/>
      <c r="PDU313" s="1956"/>
      <c r="PDV313" s="1956"/>
      <c r="PDW313" s="1956"/>
      <c r="PDX313" s="1956"/>
      <c r="PDY313" s="1956"/>
      <c r="PDZ313" s="1956"/>
      <c r="PEA313" s="1956"/>
      <c r="PEB313" s="1956"/>
      <c r="PEC313" s="1956"/>
      <c r="PED313" s="1956"/>
      <c r="PEE313" s="1956"/>
      <c r="PEF313" s="1956"/>
      <c r="PEG313" s="1956"/>
      <c r="PEH313" s="1956"/>
      <c r="PEI313" s="1956"/>
      <c r="PEJ313" s="1956"/>
      <c r="PEK313" s="1956"/>
      <c r="PEL313" s="1956"/>
      <c r="PEM313" s="1956"/>
      <c r="PEN313" s="1956"/>
      <c r="PEO313" s="1956"/>
      <c r="PEP313" s="1956"/>
      <c r="PEQ313" s="1956"/>
      <c r="PER313" s="1956"/>
      <c r="PES313" s="1956"/>
      <c r="PET313" s="1956"/>
      <c r="PEU313" s="1956"/>
      <c r="PEV313" s="1956"/>
      <c r="PEW313" s="1956"/>
      <c r="PEX313" s="1956"/>
      <c r="PEY313" s="1956"/>
      <c r="PEZ313" s="1956"/>
      <c r="PFA313" s="1956"/>
      <c r="PFB313" s="1956"/>
      <c r="PFC313" s="1956"/>
      <c r="PFD313" s="1956"/>
      <c r="PFE313" s="1956"/>
      <c r="PFF313" s="1956"/>
      <c r="PFG313" s="1956"/>
      <c r="PFH313" s="1956"/>
      <c r="PFI313" s="1956"/>
      <c r="PFJ313" s="1956"/>
      <c r="PFK313" s="1956"/>
      <c r="PFL313" s="1956"/>
      <c r="PFM313" s="1956"/>
      <c r="PFN313" s="1956"/>
      <c r="PFO313" s="1956"/>
      <c r="PFP313" s="1956"/>
      <c r="PFQ313" s="1956"/>
      <c r="PFR313" s="1956"/>
      <c r="PFS313" s="1956"/>
      <c r="PFT313" s="1956"/>
      <c r="PFU313" s="1956"/>
      <c r="PFV313" s="1956"/>
      <c r="PFW313" s="1956"/>
      <c r="PFX313" s="1956"/>
      <c r="PFY313" s="1956"/>
      <c r="PFZ313" s="1956"/>
      <c r="PGA313" s="1956"/>
      <c r="PGB313" s="1956"/>
      <c r="PGC313" s="1956"/>
      <c r="PGD313" s="1956"/>
      <c r="PGE313" s="1956"/>
      <c r="PGF313" s="1956"/>
      <c r="PGG313" s="1956"/>
      <c r="PGH313" s="1956"/>
      <c r="PGI313" s="1956"/>
      <c r="PGJ313" s="1956"/>
      <c r="PGK313" s="1956"/>
      <c r="PGL313" s="1956"/>
      <c r="PGM313" s="1956"/>
      <c r="PGN313" s="1956"/>
      <c r="PGO313" s="1956"/>
      <c r="PGP313" s="1956"/>
      <c r="PGQ313" s="1956"/>
      <c r="PGR313" s="1956"/>
      <c r="PGS313" s="1956"/>
      <c r="PGT313" s="1956"/>
      <c r="PGU313" s="1956"/>
      <c r="PGV313" s="1956"/>
      <c r="PGW313" s="1956"/>
      <c r="PGX313" s="1956"/>
      <c r="PGY313" s="1956"/>
      <c r="PGZ313" s="1956"/>
      <c r="PHA313" s="1956"/>
      <c r="PHB313" s="1956"/>
      <c r="PHC313" s="1956"/>
      <c r="PHD313" s="1956"/>
      <c r="PHE313" s="1956"/>
      <c r="PHF313" s="1956"/>
      <c r="PHG313" s="1956"/>
      <c r="PHH313" s="1956"/>
      <c r="PHI313" s="1956"/>
      <c r="PHJ313" s="1956"/>
      <c r="PHK313" s="1956"/>
      <c r="PHL313" s="1956"/>
      <c r="PHM313" s="1956"/>
      <c r="PHN313" s="1956"/>
      <c r="PHO313" s="1956"/>
      <c r="PHP313" s="1956"/>
      <c r="PHQ313" s="1956"/>
      <c r="PHR313" s="1956"/>
      <c r="PHS313" s="1956"/>
      <c r="PHT313" s="1956"/>
      <c r="PHU313" s="1956"/>
      <c r="PHV313" s="1956"/>
      <c r="PHW313" s="1956"/>
      <c r="PHX313" s="1956"/>
      <c r="PHY313" s="1956"/>
      <c r="PHZ313" s="1956"/>
      <c r="PIA313" s="1956"/>
      <c r="PIB313" s="1956"/>
      <c r="PIC313" s="1956"/>
      <c r="PID313" s="1956"/>
      <c r="PIE313" s="1956"/>
      <c r="PIF313" s="1956"/>
      <c r="PIG313" s="1956"/>
      <c r="PIH313" s="1956"/>
      <c r="PII313" s="1956"/>
      <c r="PIJ313" s="1956"/>
      <c r="PIK313" s="1956"/>
      <c r="PIL313" s="1956"/>
      <c r="PIM313" s="1956"/>
      <c r="PIN313" s="1956"/>
      <c r="PIO313" s="1956"/>
      <c r="PIP313" s="1956"/>
      <c r="PIQ313" s="1956"/>
      <c r="PIR313" s="1956"/>
      <c r="PIS313" s="1956"/>
      <c r="PIT313" s="1956"/>
      <c r="PIU313" s="1956"/>
      <c r="PIV313" s="1956"/>
      <c r="PIW313" s="1956"/>
      <c r="PIX313" s="1956"/>
      <c r="PIY313" s="1956"/>
      <c r="PIZ313" s="1956"/>
      <c r="PJA313" s="1956"/>
      <c r="PJB313" s="1956"/>
      <c r="PJC313" s="1956"/>
      <c r="PJD313" s="1956"/>
      <c r="PJE313" s="1956"/>
      <c r="PJF313" s="1956"/>
      <c r="PJG313" s="1956"/>
      <c r="PJH313" s="1956"/>
      <c r="PJI313" s="1956"/>
      <c r="PJJ313" s="1956"/>
      <c r="PJK313" s="1956"/>
      <c r="PJL313" s="1956"/>
      <c r="PJM313" s="1956"/>
      <c r="PJN313" s="1956"/>
      <c r="PJO313" s="1956"/>
      <c r="PJP313" s="1956"/>
      <c r="PJQ313" s="1956"/>
      <c r="PJR313" s="1956"/>
      <c r="PJS313" s="1956"/>
      <c r="PJT313" s="1956"/>
      <c r="PJU313" s="1956"/>
      <c r="PJV313" s="1956"/>
      <c r="PJW313" s="1956"/>
      <c r="PJX313" s="1956"/>
      <c r="PJY313" s="1956"/>
      <c r="PJZ313" s="1956"/>
      <c r="PKA313" s="1956"/>
      <c r="PKB313" s="1956"/>
      <c r="PKC313" s="1956"/>
      <c r="PKD313" s="1956"/>
      <c r="PKE313" s="1956"/>
      <c r="PKF313" s="1956"/>
      <c r="PKG313" s="1956"/>
      <c r="PKH313" s="1956"/>
      <c r="PKI313" s="1956"/>
      <c r="PKJ313" s="1956"/>
      <c r="PKK313" s="1956"/>
      <c r="PKL313" s="1956"/>
      <c r="PKM313" s="1956"/>
      <c r="PKN313" s="1956"/>
      <c r="PKO313" s="1956"/>
      <c r="PKP313" s="1956"/>
      <c r="PKQ313" s="1956"/>
      <c r="PKR313" s="1956"/>
      <c r="PKS313" s="1956"/>
      <c r="PKT313" s="1956"/>
      <c r="PKU313" s="1956"/>
      <c r="PKV313" s="1956"/>
      <c r="PKW313" s="1956"/>
      <c r="PKX313" s="1956"/>
      <c r="PKY313" s="1956"/>
      <c r="PKZ313" s="1956"/>
      <c r="PLA313" s="1956"/>
      <c r="PLB313" s="1956"/>
      <c r="PLC313" s="1956"/>
      <c r="PLD313" s="1956"/>
      <c r="PLE313" s="1956"/>
      <c r="PLF313" s="1956"/>
      <c r="PLG313" s="1956"/>
      <c r="PLH313" s="1956"/>
      <c r="PLI313" s="1956"/>
      <c r="PLJ313" s="1956"/>
      <c r="PLK313" s="1956"/>
      <c r="PLL313" s="1956"/>
      <c r="PLM313" s="1956"/>
      <c r="PLN313" s="1956"/>
      <c r="PLO313" s="1956"/>
      <c r="PLP313" s="1956"/>
      <c r="PLQ313" s="1956"/>
      <c r="PLR313" s="1956"/>
      <c r="PLS313" s="1956"/>
      <c r="PLT313" s="1956"/>
      <c r="PLU313" s="1956"/>
      <c r="PLV313" s="1956"/>
      <c r="PLW313" s="1956"/>
      <c r="PLX313" s="1956"/>
      <c r="PLY313" s="1956"/>
      <c r="PLZ313" s="1956"/>
      <c r="PMA313" s="1956"/>
      <c r="PMB313" s="1956"/>
      <c r="PMC313" s="1956"/>
      <c r="PMD313" s="1956"/>
      <c r="PME313" s="1956"/>
      <c r="PMF313" s="1956"/>
      <c r="PMG313" s="1956"/>
      <c r="PMH313" s="1956"/>
      <c r="PMI313" s="1956"/>
      <c r="PMJ313" s="1956"/>
      <c r="PMK313" s="1956"/>
      <c r="PML313" s="1956"/>
      <c r="PMM313" s="1956"/>
      <c r="PMN313" s="1956"/>
      <c r="PMO313" s="1956"/>
      <c r="PMP313" s="1956"/>
      <c r="PMQ313" s="1956"/>
      <c r="PMR313" s="1956"/>
      <c r="PMS313" s="1956"/>
      <c r="PMT313" s="1956"/>
      <c r="PMU313" s="1956"/>
      <c r="PMV313" s="1956"/>
      <c r="PMW313" s="1956"/>
      <c r="PMX313" s="1956"/>
      <c r="PMY313" s="1956"/>
      <c r="PMZ313" s="1956"/>
      <c r="PNA313" s="1956"/>
      <c r="PNB313" s="1956"/>
      <c r="PNC313" s="1956"/>
      <c r="PND313" s="1956"/>
      <c r="PNE313" s="1956"/>
      <c r="PNF313" s="1956"/>
      <c r="PNG313" s="1956"/>
      <c r="PNH313" s="1956"/>
      <c r="PNI313" s="1956"/>
      <c r="PNJ313" s="1956"/>
      <c r="PNK313" s="1956"/>
      <c r="PNL313" s="1956"/>
      <c r="PNM313" s="1956"/>
      <c r="PNN313" s="1956"/>
      <c r="PNO313" s="1956"/>
      <c r="PNP313" s="1956"/>
      <c r="PNQ313" s="1956"/>
      <c r="PNR313" s="1956"/>
      <c r="PNS313" s="1956"/>
      <c r="PNT313" s="1956"/>
      <c r="PNU313" s="1956"/>
      <c r="PNV313" s="1956"/>
      <c r="PNW313" s="1956"/>
      <c r="PNX313" s="1956"/>
      <c r="PNY313" s="1956"/>
      <c r="PNZ313" s="1956"/>
      <c r="POA313" s="1956"/>
      <c r="POB313" s="1956"/>
      <c r="POC313" s="1956"/>
      <c r="POD313" s="1956"/>
      <c r="POE313" s="1956"/>
      <c r="POF313" s="1956"/>
      <c r="POG313" s="1956"/>
      <c r="POH313" s="1956"/>
      <c r="POI313" s="1956"/>
      <c r="POJ313" s="1956"/>
      <c r="POK313" s="1956"/>
      <c r="POL313" s="1956"/>
      <c r="POM313" s="1956"/>
      <c r="PON313" s="1956"/>
      <c r="POO313" s="1956"/>
      <c r="POP313" s="1956"/>
      <c r="POQ313" s="1956"/>
      <c r="POR313" s="1956"/>
      <c r="POS313" s="1956"/>
      <c r="POT313" s="1956"/>
      <c r="POU313" s="1956"/>
      <c r="POV313" s="1956"/>
      <c r="POW313" s="1956"/>
      <c r="POX313" s="1956"/>
      <c r="POY313" s="1956"/>
      <c r="POZ313" s="1956"/>
      <c r="PPA313" s="1956"/>
      <c r="PPB313" s="1956"/>
      <c r="PPC313" s="1956"/>
      <c r="PPD313" s="1956"/>
      <c r="PPE313" s="1956"/>
      <c r="PPF313" s="1956"/>
      <c r="PPG313" s="1956"/>
      <c r="PPH313" s="1956"/>
      <c r="PPI313" s="1956"/>
      <c r="PPJ313" s="1956"/>
      <c r="PPK313" s="1956"/>
      <c r="PPL313" s="1956"/>
      <c r="PPM313" s="1956"/>
      <c r="PPN313" s="1956"/>
      <c r="PPO313" s="1956"/>
      <c r="PPP313" s="1956"/>
      <c r="PPQ313" s="1956"/>
      <c r="PPR313" s="1956"/>
      <c r="PPS313" s="1956"/>
      <c r="PPT313" s="1956"/>
      <c r="PPU313" s="1956"/>
      <c r="PPV313" s="1956"/>
      <c r="PPW313" s="1956"/>
      <c r="PPX313" s="1956"/>
      <c r="PPY313" s="1956"/>
      <c r="PPZ313" s="1956"/>
      <c r="PQA313" s="1956"/>
      <c r="PQB313" s="1956"/>
      <c r="PQC313" s="1956"/>
      <c r="PQD313" s="1956"/>
      <c r="PQE313" s="1956"/>
      <c r="PQF313" s="1956"/>
      <c r="PQG313" s="1956"/>
      <c r="PQH313" s="1956"/>
      <c r="PQI313" s="1956"/>
      <c r="PQJ313" s="1956"/>
      <c r="PQK313" s="1956"/>
      <c r="PQL313" s="1956"/>
      <c r="PQM313" s="1956"/>
      <c r="PQN313" s="1956"/>
      <c r="PQO313" s="1956"/>
      <c r="PQP313" s="1956"/>
      <c r="PQQ313" s="1956"/>
      <c r="PQR313" s="1956"/>
      <c r="PQS313" s="1956"/>
      <c r="PQT313" s="1956"/>
      <c r="PQU313" s="1956"/>
      <c r="PQV313" s="1956"/>
      <c r="PQW313" s="1956"/>
      <c r="PQX313" s="1956"/>
      <c r="PQY313" s="1956"/>
      <c r="PQZ313" s="1956"/>
      <c r="PRA313" s="1956"/>
      <c r="PRB313" s="1956"/>
      <c r="PRC313" s="1956"/>
      <c r="PRD313" s="1956"/>
      <c r="PRE313" s="1956"/>
      <c r="PRF313" s="1956"/>
      <c r="PRG313" s="1956"/>
      <c r="PRH313" s="1956"/>
      <c r="PRI313" s="1956"/>
      <c r="PRJ313" s="1956"/>
      <c r="PRK313" s="1956"/>
      <c r="PRL313" s="1956"/>
      <c r="PRM313" s="1956"/>
      <c r="PRN313" s="1956"/>
      <c r="PRO313" s="1956"/>
      <c r="PRP313" s="1956"/>
      <c r="PRQ313" s="1956"/>
      <c r="PRR313" s="1956"/>
      <c r="PRS313" s="1956"/>
      <c r="PRT313" s="1956"/>
      <c r="PRU313" s="1956"/>
      <c r="PRV313" s="1956"/>
      <c r="PRW313" s="1956"/>
      <c r="PRX313" s="1956"/>
      <c r="PRY313" s="1956"/>
      <c r="PRZ313" s="1956"/>
      <c r="PSA313" s="1956"/>
      <c r="PSB313" s="1956"/>
      <c r="PSC313" s="1956"/>
      <c r="PSD313" s="1956"/>
      <c r="PSE313" s="1956"/>
      <c r="PSF313" s="1956"/>
      <c r="PSG313" s="1956"/>
      <c r="PSH313" s="1956"/>
      <c r="PSI313" s="1956"/>
      <c r="PSJ313" s="1956"/>
      <c r="PSK313" s="1956"/>
      <c r="PSL313" s="1956"/>
      <c r="PSM313" s="1956"/>
      <c r="PSN313" s="1956"/>
      <c r="PSO313" s="1956"/>
      <c r="PSP313" s="1956"/>
      <c r="PSQ313" s="1956"/>
      <c r="PSR313" s="1956"/>
      <c r="PSS313" s="1956"/>
      <c r="PST313" s="1956"/>
      <c r="PSU313" s="1956"/>
      <c r="PSV313" s="1956"/>
      <c r="PSW313" s="1956"/>
      <c r="PSX313" s="1956"/>
      <c r="PSY313" s="1956"/>
      <c r="PSZ313" s="1956"/>
      <c r="PTA313" s="1956"/>
      <c r="PTB313" s="1956"/>
      <c r="PTC313" s="1956"/>
      <c r="PTD313" s="1956"/>
      <c r="PTE313" s="1956"/>
      <c r="PTF313" s="1956"/>
      <c r="PTG313" s="1956"/>
      <c r="PTH313" s="1956"/>
      <c r="PTI313" s="1956"/>
      <c r="PTJ313" s="1956"/>
      <c r="PTK313" s="1956"/>
      <c r="PTL313" s="1956"/>
      <c r="PTM313" s="1956"/>
      <c r="PTN313" s="1956"/>
      <c r="PTO313" s="1956"/>
      <c r="PTP313" s="1956"/>
      <c r="PTQ313" s="1956"/>
      <c r="PTR313" s="1956"/>
      <c r="PTS313" s="1956"/>
      <c r="PTT313" s="1956"/>
      <c r="PTU313" s="1956"/>
      <c r="PTV313" s="1956"/>
      <c r="PTW313" s="1956"/>
      <c r="PTX313" s="1956"/>
      <c r="PTY313" s="1956"/>
      <c r="PTZ313" s="1956"/>
      <c r="PUA313" s="1956"/>
      <c r="PUB313" s="1956"/>
      <c r="PUC313" s="1956"/>
      <c r="PUD313" s="1956"/>
      <c r="PUE313" s="1956"/>
      <c r="PUF313" s="1956"/>
      <c r="PUG313" s="1956"/>
      <c r="PUH313" s="1956"/>
      <c r="PUI313" s="1956"/>
      <c r="PUJ313" s="1956"/>
      <c r="PUK313" s="1956"/>
      <c r="PUL313" s="1956"/>
      <c r="PUM313" s="1956"/>
      <c r="PUN313" s="1956"/>
      <c r="PUO313" s="1956"/>
      <c r="PUP313" s="1956"/>
      <c r="PUQ313" s="1956"/>
      <c r="PUR313" s="1956"/>
      <c r="PUS313" s="1956"/>
      <c r="PUT313" s="1956"/>
      <c r="PUU313" s="1956"/>
      <c r="PUV313" s="1956"/>
      <c r="PUW313" s="1956"/>
      <c r="PUX313" s="1956"/>
      <c r="PUY313" s="1956"/>
      <c r="PUZ313" s="1956"/>
      <c r="PVA313" s="1956"/>
      <c r="PVB313" s="1956"/>
      <c r="PVC313" s="1956"/>
      <c r="PVD313" s="1956"/>
      <c r="PVE313" s="1956"/>
      <c r="PVF313" s="1956"/>
      <c r="PVG313" s="1956"/>
      <c r="PVH313" s="1956"/>
      <c r="PVI313" s="1956"/>
      <c r="PVJ313" s="1956"/>
      <c r="PVK313" s="1956"/>
      <c r="PVL313" s="1956"/>
      <c r="PVM313" s="1956"/>
      <c r="PVN313" s="1956"/>
      <c r="PVO313" s="1956"/>
      <c r="PVP313" s="1956"/>
      <c r="PVQ313" s="1956"/>
      <c r="PVR313" s="1956"/>
      <c r="PVS313" s="1956"/>
      <c r="PVT313" s="1956"/>
      <c r="PVU313" s="1956"/>
      <c r="PVV313" s="1956"/>
      <c r="PVW313" s="1956"/>
      <c r="PVX313" s="1956"/>
      <c r="PVY313" s="1956"/>
      <c r="PVZ313" s="1956"/>
      <c r="PWA313" s="1956"/>
      <c r="PWB313" s="1956"/>
      <c r="PWC313" s="1956"/>
      <c r="PWD313" s="1956"/>
      <c r="PWE313" s="1956"/>
      <c r="PWF313" s="1956"/>
      <c r="PWG313" s="1956"/>
      <c r="PWH313" s="1956"/>
      <c r="PWI313" s="1956"/>
      <c r="PWJ313" s="1956"/>
      <c r="PWK313" s="1956"/>
      <c r="PWL313" s="1956"/>
      <c r="PWM313" s="1956"/>
      <c r="PWN313" s="1956"/>
      <c r="PWO313" s="1956"/>
      <c r="PWP313" s="1956"/>
      <c r="PWQ313" s="1956"/>
      <c r="PWR313" s="1956"/>
      <c r="PWS313" s="1956"/>
      <c r="PWT313" s="1956"/>
      <c r="PWU313" s="1956"/>
      <c r="PWV313" s="1956"/>
      <c r="PWW313" s="1956"/>
      <c r="PWX313" s="1956"/>
      <c r="PWY313" s="1956"/>
      <c r="PWZ313" s="1956"/>
      <c r="PXA313" s="1956"/>
      <c r="PXB313" s="1956"/>
      <c r="PXC313" s="1956"/>
      <c r="PXD313" s="1956"/>
      <c r="PXE313" s="1956"/>
      <c r="PXF313" s="1956"/>
      <c r="PXG313" s="1956"/>
      <c r="PXH313" s="1956"/>
      <c r="PXI313" s="1956"/>
      <c r="PXJ313" s="1956"/>
      <c r="PXK313" s="1956"/>
      <c r="PXL313" s="1956"/>
      <c r="PXM313" s="1956"/>
      <c r="PXN313" s="1956"/>
      <c r="PXO313" s="1956"/>
      <c r="PXP313" s="1956"/>
      <c r="PXQ313" s="1956"/>
      <c r="PXR313" s="1956"/>
      <c r="PXS313" s="1956"/>
      <c r="PXT313" s="1956"/>
      <c r="PXU313" s="1956"/>
      <c r="PXV313" s="1956"/>
      <c r="PXW313" s="1956"/>
      <c r="PXX313" s="1956"/>
      <c r="PXY313" s="1956"/>
      <c r="PXZ313" s="1956"/>
      <c r="PYA313" s="1956"/>
      <c r="PYB313" s="1956"/>
      <c r="PYC313" s="1956"/>
      <c r="PYD313" s="1956"/>
      <c r="PYE313" s="1956"/>
      <c r="PYF313" s="1956"/>
      <c r="PYG313" s="1956"/>
      <c r="PYH313" s="1956"/>
      <c r="PYI313" s="1956"/>
      <c r="PYJ313" s="1956"/>
      <c r="PYK313" s="1956"/>
      <c r="PYL313" s="1956"/>
      <c r="PYM313" s="1956"/>
      <c r="PYN313" s="1956"/>
      <c r="PYO313" s="1956"/>
      <c r="PYP313" s="1956"/>
      <c r="PYQ313" s="1956"/>
      <c r="PYR313" s="1956"/>
      <c r="PYS313" s="1956"/>
      <c r="PYT313" s="1956"/>
      <c r="PYU313" s="1956"/>
      <c r="PYV313" s="1956"/>
      <c r="PYW313" s="1956"/>
      <c r="PYX313" s="1956"/>
      <c r="PYY313" s="1956"/>
      <c r="PYZ313" s="1956"/>
      <c r="PZA313" s="1956"/>
      <c r="PZB313" s="1956"/>
      <c r="PZC313" s="1956"/>
      <c r="PZD313" s="1956"/>
      <c r="PZE313" s="1956"/>
      <c r="PZF313" s="1956"/>
      <c r="PZG313" s="1956"/>
      <c r="PZH313" s="1956"/>
      <c r="PZI313" s="1956"/>
      <c r="PZJ313" s="1956"/>
      <c r="PZK313" s="1956"/>
      <c r="PZL313" s="1956"/>
      <c r="PZM313" s="1956"/>
      <c r="PZN313" s="1956"/>
      <c r="PZO313" s="1956"/>
      <c r="PZP313" s="1956"/>
      <c r="PZQ313" s="1956"/>
      <c r="PZR313" s="1956"/>
      <c r="PZS313" s="1956"/>
      <c r="PZT313" s="1956"/>
      <c r="PZU313" s="1956"/>
      <c r="PZV313" s="1956"/>
      <c r="PZW313" s="1956"/>
      <c r="PZX313" s="1956"/>
      <c r="PZY313" s="1956"/>
      <c r="PZZ313" s="1956"/>
      <c r="QAA313" s="1956"/>
      <c r="QAB313" s="1956"/>
      <c r="QAC313" s="1956"/>
      <c r="QAD313" s="1956"/>
      <c r="QAE313" s="1956"/>
      <c r="QAF313" s="1956"/>
      <c r="QAG313" s="1956"/>
      <c r="QAH313" s="1956"/>
      <c r="QAI313" s="1956"/>
      <c r="QAJ313" s="1956"/>
      <c r="QAK313" s="1956"/>
      <c r="QAL313" s="1956"/>
      <c r="QAM313" s="1956"/>
      <c r="QAN313" s="1956"/>
      <c r="QAO313" s="1956"/>
      <c r="QAP313" s="1956"/>
      <c r="QAQ313" s="1956"/>
      <c r="QAR313" s="1956"/>
      <c r="QAS313" s="1956"/>
      <c r="QAT313" s="1956"/>
      <c r="QAU313" s="1956"/>
      <c r="QAV313" s="1956"/>
      <c r="QAW313" s="1956"/>
      <c r="QAX313" s="1956"/>
      <c r="QAY313" s="1956"/>
      <c r="QAZ313" s="1956"/>
      <c r="QBA313" s="1956"/>
      <c r="QBB313" s="1956"/>
      <c r="QBC313" s="1956"/>
      <c r="QBD313" s="1956"/>
      <c r="QBE313" s="1956"/>
      <c r="QBF313" s="1956"/>
      <c r="QBG313" s="1956"/>
      <c r="QBH313" s="1956"/>
      <c r="QBI313" s="1956"/>
      <c r="QBJ313" s="1956"/>
      <c r="QBK313" s="1956"/>
      <c r="QBL313" s="1956"/>
      <c r="QBM313" s="1956"/>
      <c r="QBN313" s="1956"/>
      <c r="QBO313" s="1956"/>
      <c r="QBP313" s="1956"/>
      <c r="QBQ313" s="1956"/>
      <c r="QBR313" s="1956"/>
      <c r="QBS313" s="1956"/>
      <c r="QBT313" s="1956"/>
      <c r="QBU313" s="1956"/>
      <c r="QBV313" s="1956"/>
      <c r="QBW313" s="1956"/>
      <c r="QBX313" s="1956"/>
      <c r="QBY313" s="1956"/>
      <c r="QBZ313" s="1956"/>
      <c r="QCA313" s="1956"/>
      <c r="QCB313" s="1956"/>
      <c r="QCC313" s="1956"/>
      <c r="QCD313" s="1956"/>
      <c r="QCE313" s="1956"/>
      <c r="QCF313" s="1956"/>
      <c r="QCG313" s="1956"/>
      <c r="QCH313" s="1956"/>
      <c r="QCI313" s="1956"/>
      <c r="QCJ313" s="1956"/>
      <c r="QCK313" s="1956"/>
      <c r="QCL313" s="1956"/>
      <c r="QCM313" s="1956"/>
      <c r="QCN313" s="1956"/>
      <c r="QCO313" s="1956"/>
      <c r="QCP313" s="1956"/>
      <c r="QCQ313" s="1956"/>
      <c r="QCR313" s="1956"/>
      <c r="QCS313" s="1956"/>
      <c r="QCT313" s="1956"/>
      <c r="QCU313" s="1956"/>
      <c r="QCV313" s="1956"/>
      <c r="QCW313" s="1956"/>
      <c r="QCX313" s="1956"/>
      <c r="QCY313" s="1956"/>
      <c r="QCZ313" s="1956"/>
      <c r="QDA313" s="1956"/>
      <c r="QDB313" s="1956"/>
      <c r="QDC313" s="1956"/>
      <c r="QDD313" s="1956"/>
      <c r="QDE313" s="1956"/>
      <c r="QDF313" s="1956"/>
      <c r="QDG313" s="1956"/>
      <c r="QDH313" s="1956"/>
      <c r="QDI313" s="1956"/>
      <c r="QDJ313" s="1956"/>
      <c r="QDK313" s="1956"/>
      <c r="QDL313" s="1956"/>
      <c r="QDM313" s="1956"/>
      <c r="QDN313" s="1956"/>
      <c r="QDO313" s="1956"/>
      <c r="QDP313" s="1956"/>
      <c r="QDQ313" s="1956"/>
      <c r="QDR313" s="1956"/>
      <c r="QDS313" s="1956"/>
      <c r="QDT313" s="1956"/>
      <c r="QDU313" s="1956"/>
      <c r="QDV313" s="1956"/>
      <c r="QDW313" s="1956"/>
      <c r="QDX313" s="1956"/>
      <c r="QDY313" s="1956"/>
      <c r="QDZ313" s="1956"/>
      <c r="QEA313" s="1956"/>
      <c r="QEB313" s="1956"/>
      <c r="QEC313" s="1956"/>
      <c r="QED313" s="1956"/>
      <c r="QEE313" s="1956"/>
      <c r="QEF313" s="1956"/>
      <c r="QEG313" s="1956"/>
      <c r="QEH313" s="1956"/>
      <c r="QEI313" s="1956"/>
      <c r="QEJ313" s="1956"/>
      <c r="QEK313" s="1956"/>
      <c r="QEL313" s="1956"/>
      <c r="QEM313" s="1956"/>
      <c r="QEN313" s="1956"/>
      <c r="QEO313" s="1956"/>
      <c r="QEP313" s="1956"/>
      <c r="QEQ313" s="1956"/>
      <c r="QER313" s="1956"/>
      <c r="QES313" s="1956"/>
      <c r="QET313" s="1956"/>
      <c r="QEU313" s="1956"/>
      <c r="QEV313" s="1956"/>
      <c r="QEW313" s="1956"/>
      <c r="QEX313" s="1956"/>
      <c r="QEY313" s="1956"/>
      <c r="QEZ313" s="1956"/>
      <c r="QFA313" s="1956"/>
      <c r="QFB313" s="1956"/>
      <c r="QFC313" s="1956"/>
      <c r="QFD313" s="1956"/>
      <c r="QFE313" s="1956"/>
      <c r="QFF313" s="1956"/>
      <c r="QFG313" s="1956"/>
      <c r="QFH313" s="1956"/>
      <c r="QFI313" s="1956"/>
      <c r="QFJ313" s="1956"/>
      <c r="QFK313" s="1956"/>
      <c r="QFL313" s="1956"/>
      <c r="QFM313" s="1956"/>
      <c r="QFN313" s="1956"/>
      <c r="QFO313" s="1956"/>
      <c r="QFP313" s="1956"/>
      <c r="QFQ313" s="1956"/>
      <c r="QFR313" s="1956"/>
      <c r="QFS313" s="1956"/>
      <c r="QFT313" s="1956"/>
      <c r="QFU313" s="1956"/>
      <c r="QFV313" s="1956"/>
      <c r="QFW313" s="1956"/>
      <c r="QFX313" s="1956"/>
      <c r="QFY313" s="1956"/>
      <c r="QFZ313" s="1956"/>
      <c r="QGA313" s="1956"/>
      <c r="QGB313" s="1956"/>
      <c r="QGC313" s="1956"/>
      <c r="QGD313" s="1956"/>
      <c r="QGE313" s="1956"/>
      <c r="QGF313" s="1956"/>
      <c r="QGG313" s="1956"/>
      <c r="QGH313" s="1956"/>
      <c r="QGI313" s="1956"/>
      <c r="QGJ313" s="1956"/>
      <c r="QGK313" s="1956"/>
      <c r="QGL313" s="1956"/>
      <c r="QGM313" s="1956"/>
      <c r="QGN313" s="1956"/>
      <c r="QGO313" s="1956"/>
      <c r="QGP313" s="1956"/>
      <c r="QGQ313" s="1956"/>
      <c r="QGR313" s="1956"/>
      <c r="QGS313" s="1956"/>
      <c r="QGT313" s="1956"/>
      <c r="QGU313" s="1956"/>
      <c r="QGV313" s="1956"/>
      <c r="QGW313" s="1956"/>
      <c r="QGX313" s="1956"/>
      <c r="QGY313" s="1956"/>
      <c r="QGZ313" s="1956"/>
      <c r="QHA313" s="1956"/>
      <c r="QHB313" s="1956"/>
      <c r="QHC313" s="1956"/>
      <c r="QHD313" s="1956"/>
      <c r="QHE313" s="1956"/>
      <c r="QHF313" s="1956"/>
      <c r="QHG313" s="1956"/>
      <c r="QHH313" s="1956"/>
      <c r="QHI313" s="1956"/>
      <c r="QHJ313" s="1956"/>
      <c r="QHK313" s="1956"/>
      <c r="QHL313" s="1956"/>
      <c r="QHM313" s="1956"/>
      <c r="QHN313" s="1956"/>
      <c r="QHO313" s="1956"/>
      <c r="QHP313" s="1956"/>
      <c r="QHQ313" s="1956"/>
      <c r="QHR313" s="1956"/>
      <c r="QHS313" s="1956"/>
      <c r="QHT313" s="1956"/>
      <c r="QHU313" s="1956"/>
      <c r="QHV313" s="1956"/>
      <c r="QHW313" s="1956"/>
      <c r="QHX313" s="1956"/>
      <c r="QHY313" s="1956"/>
      <c r="QHZ313" s="1956"/>
      <c r="QIA313" s="1956"/>
      <c r="QIB313" s="1956"/>
      <c r="QIC313" s="1956"/>
      <c r="QID313" s="1956"/>
      <c r="QIE313" s="1956"/>
      <c r="QIF313" s="1956"/>
      <c r="QIG313" s="1956"/>
      <c r="QIH313" s="1956"/>
      <c r="QII313" s="1956"/>
      <c r="QIJ313" s="1956"/>
      <c r="QIK313" s="1956"/>
      <c r="QIL313" s="1956"/>
      <c r="QIM313" s="1956"/>
      <c r="QIN313" s="1956"/>
      <c r="QIO313" s="1956"/>
      <c r="QIP313" s="1956"/>
      <c r="QIQ313" s="1956"/>
      <c r="QIR313" s="1956"/>
      <c r="QIS313" s="1956"/>
      <c r="QIT313" s="1956"/>
      <c r="QIU313" s="1956"/>
      <c r="QIV313" s="1956"/>
      <c r="QIW313" s="1956"/>
      <c r="QIX313" s="1956"/>
      <c r="QIY313" s="1956"/>
      <c r="QIZ313" s="1956"/>
      <c r="QJA313" s="1956"/>
      <c r="QJB313" s="1956"/>
      <c r="QJC313" s="1956"/>
      <c r="QJD313" s="1956"/>
      <c r="QJE313" s="1956"/>
      <c r="QJF313" s="1956"/>
      <c r="QJG313" s="1956"/>
      <c r="QJH313" s="1956"/>
      <c r="QJI313" s="1956"/>
      <c r="QJJ313" s="1956"/>
      <c r="QJK313" s="1956"/>
      <c r="QJL313" s="1956"/>
      <c r="QJM313" s="1956"/>
      <c r="QJN313" s="1956"/>
      <c r="QJO313" s="1956"/>
      <c r="QJP313" s="1956"/>
      <c r="QJQ313" s="1956"/>
      <c r="QJR313" s="1956"/>
      <c r="QJS313" s="1956"/>
      <c r="QJT313" s="1956"/>
      <c r="QJU313" s="1956"/>
      <c r="QJV313" s="1956"/>
      <c r="QJW313" s="1956"/>
      <c r="QJX313" s="1956"/>
      <c r="QJY313" s="1956"/>
      <c r="QJZ313" s="1956"/>
      <c r="QKA313" s="1956"/>
      <c r="QKB313" s="1956"/>
      <c r="QKC313" s="1956"/>
      <c r="QKD313" s="1956"/>
      <c r="QKE313" s="1956"/>
      <c r="QKF313" s="1956"/>
      <c r="QKG313" s="1956"/>
      <c r="QKH313" s="1956"/>
      <c r="QKI313" s="1956"/>
      <c r="QKJ313" s="1956"/>
      <c r="QKK313" s="1956"/>
      <c r="QKL313" s="1956"/>
      <c r="QKM313" s="1956"/>
      <c r="QKN313" s="1956"/>
      <c r="QKO313" s="1956"/>
      <c r="QKP313" s="1956"/>
      <c r="QKQ313" s="1956"/>
      <c r="QKR313" s="1956"/>
      <c r="QKS313" s="1956"/>
      <c r="QKT313" s="1956"/>
      <c r="QKU313" s="1956"/>
      <c r="QKV313" s="1956"/>
      <c r="QKW313" s="1956"/>
      <c r="QKX313" s="1956"/>
      <c r="QKY313" s="1956"/>
      <c r="QKZ313" s="1956"/>
      <c r="QLA313" s="1956"/>
      <c r="QLB313" s="1956"/>
      <c r="QLC313" s="1956"/>
      <c r="QLD313" s="1956"/>
      <c r="QLE313" s="1956"/>
      <c r="QLF313" s="1956"/>
      <c r="QLG313" s="1956"/>
      <c r="QLH313" s="1956"/>
      <c r="QLI313" s="1956"/>
      <c r="QLJ313" s="1956"/>
      <c r="QLK313" s="1956"/>
      <c r="QLL313" s="1956"/>
      <c r="QLM313" s="1956"/>
      <c r="QLN313" s="1956"/>
      <c r="QLO313" s="1956"/>
      <c r="QLP313" s="1956"/>
      <c r="QLQ313" s="1956"/>
      <c r="QLR313" s="1956"/>
      <c r="QLS313" s="1956"/>
      <c r="QLT313" s="1956"/>
      <c r="QLU313" s="1956"/>
      <c r="QLV313" s="1956"/>
      <c r="QLW313" s="1956"/>
      <c r="QLX313" s="1956"/>
      <c r="QLY313" s="1956"/>
      <c r="QLZ313" s="1956"/>
      <c r="QMA313" s="1956"/>
      <c r="QMB313" s="1956"/>
      <c r="QMC313" s="1956"/>
      <c r="QMD313" s="1956"/>
      <c r="QME313" s="1956"/>
      <c r="QMF313" s="1956"/>
      <c r="QMG313" s="1956"/>
      <c r="QMH313" s="1956"/>
      <c r="QMI313" s="1956"/>
      <c r="QMJ313" s="1956"/>
      <c r="QMK313" s="1956"/>
      <c r="QML313" s="1956"/>
      <c r="QMM313" s="1956"/>
      <c r="QMN313" s="1956"/>
      <c r="QMO313" s="1956"/>
      <c r="QMP313" s="1956"/>
      <c r="QMQ313" s="1956"/>
      <c r="QMR313" s="1956"/>
      <c r="QMS313" s="1956"/>
      <c r="QMT313" s="1956"/>
      <c r="QMU313" s="1956"/>
      <c r="QMV313" s="1956"/>
      <c r="QMW313" s="1956"/>
      <c r="QMX313" s="1956"/>
      <c r="QMY313" s="1956"/>
      <c r="QMZ313" s="1956"/>
      <c r="QNA313" s="1956"/>
      <c r="QNB313" s="1956"/>
      <c r="QNC313" s="1956"/>
      <c r="QND313" s="1956"/>
      <c r="QNE313" s="1956"/>
      <c r="QNF313" s="1956"/>
      <c r="QNG313" s="1956"/>
      <c r="QNH313" s="1956"/>
      <c r="QNI313" s="1956"/>
      <c r="QNJ313" s="1956"/>
      <c r="QNK313" s="1956"/>
      <c r="QNL313" s="1956"/>
      <c r="QNM313" s="1956"/>
      <c r="QNN313" s="1956"/>
      <c r="QNO313" s="1956"/>
      <c r="QNP313" s="1956"/>
      <c r="QNQ313" s="1956"/>
      <c r="QNR313" s="1956"/>
      <c r="QNS313" s="1956"/>
      <c r="QNT313" s="1956"/>
      <c r="QNU313" s="1956"/>
      <c r="QNV313" s="1956"/>
      <c r="QNW313" s="1956"/>
      <c r="QNX313" s="1956"/>
      <c r="QNY313" s="1956"/>
      <c r="QNZ313" s="1956"/>
      <c r="QOA313" s="1956"/>
      <c r="QOB313" s="1956"/>
      <c r="QOC313" s="1956"/>
      <c r="QOD313" s="1956"/>
      <c r="QOE313" s="1956"/>
      <c r="QOF313" s="1956"/>
      <c r="QOG313" s="1956"/>
      <c r="QOH313" s="1956"/>
      <c r="QOI313" s="1956"/>
      <c r="QOJ313" s="1956"/>
      <c r="QOK313" s="1956"/>
      <c r="QOL313" s="1956"/>
      <c r="QOM313" s="1956"/>
      <c r="QON313" s="1956"/>
      <c r="QOO313" s="1956"/>
      <c r="QOP313" s="1956"/>
      <c r="QOQ313" s="1956"/>
      <c r="QOR313" s="1956"/>
      <c r="QOS313" s="1956"/>
      <c r="QOT313" s="1956"/>
      <c r="QOU313" s="1956"/>
      <c r="QOV313" s="1956"/>
      <c r="QOW313" s="1956"/>
      <c r="QOX313" s="1956"/>
      <c r="QOY313" s="1956"/>
      <c r="QOZ313" s="1956"/>
      <c r="QPA313" s="1956"/>
      <c r="QPB313" s="1956"/>
      <c r="QPC313" s="1956"/>
      <c r="QPD313" s="1956"/>
      <c r="QPE313" s="1956"/>
      <c r="QPF313" s="1956"/>
      <c r="QPG313" s="1956"/>
      <c r="QPH313" s="1956"/>
      <c r="QPI313" s="1956"/>
      <c r="QPJ313" s="1956"/>
      <c r="QPK313" s="1956"/>
      <c r="QPL313" s="1956"/>
      <c r="QPM313" s="1956"/>
      <c r="QPN313" s="1956"/>
      <c r="QPO313" s="1956"/>
      <c r="QPP313" s="1956"/>
      <c r="QPQ313" s="1956"/>
      <c r="QPR313" s="1956"/>
      <c r="QPS313" s="1956"/>
      <c r="QPT313" s="1956"/>
      <c r="QPU313" s="1956"/>
      <c r="QPV313" s="1956"/>
      <c r="QPW313" s="1956"/>
      <c r="QPX313" s="1956"/>
      <c r="QPY313" s="1956"/>
      <c r="QPZ313" s="1956"/>
      <c r="QQA313" s="1956"/>
      <c r="QQB313" s="1956"/>
      <c r="QQC313" s="1956"/>
      <c r="QQD313" s="1956"/>
      <c r="QQE313" s="1956"/>
      <c r="QQF313" s="1956"/>
      <c r="QQG313" s="1956"/>
      <c r="QQH313" s="1956"/>
      <c r="QQI313" s="1956"/>
      <c r="QQJ313" s="1956"/>
      <c r="QQK313" s="1956"/>
      <c r="QQL313" s="1956"/>
      <c r="QQM313" s="1956"/>
      <c r="QQN313" s="1956"/>
      <c r="QQO313" s="1956"/>
      <c r="QQP313" s="1956"/>
      <c r="QQQ313" s="1956"/>
      <c r="QQR313" s="1956"/>
      <c r="QQS313" s="1956"/>
      <c r="QQT313" s="1956"/>
      <c r="QQU313" s="1956"/>
      <c r="QQV313" s="1956"/>
      <c r="QQW313" s="1956"/>
      <c r="QQX313" s="1956"/>
      <c r="QQY313" s="1956"/>
      <c r="QQZ313" s="1956"/>
      <c r="QRA313" s="1956"/>
      <c r="QRB313" s="1956"/>
      <c r="QRC313" s="1956"/>
      <c r="QRD313" s="1956"/>
      <c r="QRE313" s="1956"/>
      <c r="QRF313" s="1956"/>
      <c r="QRG313" s="1956"/>
      <c r="QRH313" s="1956"/>
      <c r="QRI313" s="1956"/>
      <c r="QRJ313" s="1956"/>
      <c r="QRK313" s="1956"/>
      <c r="QRL313" s="1956"/>
      <c r="QRM313" s="1956"/>
      <c r="QRN313" s="1956"/>
      <c r="QRO313" s="1956"/>
      <c r="QRP313" s="1956"/>
      <c r="QRQ313" s="1956"/>
      <c r="QRR313" s="1956"/>
      <c r="QRS313" s="1956"/>
      <c r="QRT313" s="1956"/>
      <c r="QRU313" s="1956"/>
      <c r="QRV313" s="1956"/>
      <c r="QRW313" s="1956"/>
      <c r="QRX313" s="1956"/>
      <c r="QRY313" s="1956"/>
      <c r="QRZ313" s="1956"/>
      <c r="QSA313" s="1956"/>
      <c r="QSB313" s="1956"/>
      <c r="QSC313" s="1956"/>
      <c r="QSD313" s="1956"/>
      <c r="QSE313" s="1956"/>
      <c r="QSF313" s="1956"/>
      <c r="QSG313" s="1956"/>
      <c r="QSH313" s="1956"/>
      <c r="QSI313" s="1956"/>
      <c r="QSJ313" s="1956"/>
      <c r="QSK313" s="1956"/>
      <c r="QSL313" s="1956"/>
      <c r="QSM313" s="1956"/>
      <c r="QSN313" s="1956"/>
      <c r="QSO313" s="1956"/>
      <c r="QSP313" s="1956"/>
      <c r="QSQ313" s="1956"/>
      <c r="QSR313" s="1956"/>
      <c r="QSS313" s="1956"/>
      <c r="QST313" s="1956"/>
      <c r="QSU313" s="1956"/>
      <c r="QSV313" s="1956"/>
      <c r="QSW313" s="1956"/>
      <c r="QSX313" s="1956"/>
      <c r="QSY313" s="1956"/>
      <c r="QSZ313" s="1956"/>
      <c r="QTA313" s="1956"/>
      <c r="QTB313" s="1956"/>
      <c r="QTC313" s="1956"/>
      <c r="QTD313" s="1956"/>
      <c r="QTE313" s="1956"/>
      <c r="QTF313" s="1956"/>
      <c r="QTG313" s="1956"/>
      <c r="QTH313" s="1956"/>
      <c r="QTI313" s="1956"/>
      <c r="QTJ313" s="1956"/>
      <c r="QTK313" s="1956"/>
      <c r="QTL313" s="1956"/>
      <c r="QTM313" s="1956"/>
      <c r="QTN313" s="1956"/>
      <c r="QTO313" s="1956"/>
      <c r="QTP313" s="1956"/>
      <c r="QTQ313" s="1956"/>
      <c r="QTR313" s="1956"/>
      <c r="QTS313" s="1956"/>
      <c r="QTT313" s="1956"/>
      <c r="QTU313" s="1956"/>
      <c r="QTV313" s="1956"/>
      <c r="QTW313" s="1956"/>
      <c r="QTX313" s="1956"/>
      <c r="QTY313" s="1956"/>
      <c r="QTZ313" s="1956"/>
      <c r="QUA313" s="1956"/>
      <c r="QUB313" s="1956"/>
      <c r="QUC313" s="1956"/>
      <c r="QUD313" s="1956"/>
      <c r="QUE313" s="1956"/>
      <c r="QUF313" s="1956"/>
      <c r="QUG313" s="1956"/>
      <c r="QUH313" s="1956"/>
      <c r="QUI313" s="1956"/>
      <c r="QUJ313" s="1956"/>
      <c r="QUK313" s="1956"/>
      <c r="QUL313" s="1956"/>
      <c r="QUM313" s="1956"/>
      <c r="QUN313" s="1956"/>
      <c r="QUO313" s="1956"/>
      <c r="QUP313" s="1956"/>
      <c r="QUQ313" s="1956"/>
      <c r="QUR313" s="1956"/>
      <c r="QUS313" s="1956"/>
      <c r="QUT313" s="1956"/>
      <c r="QUU313" s="1956"/>
      <c r="QUV313" s="1956"/>
      <c r="QUW313" s="1956"/>
      <c r="QUX313" s="1956"/>
      <c r="QUY313" s="1956"/>
      <c r="QUZ313" s="1956"/>
      <c r="QVA313" s="1956"/>
      <c r="QVB313" s="1956"/>
      <c r="QVC313" s="1956"/>
      <c r="QVD313" s="1956"/>
      <c r="QVE313" s="1956"/>
      <c r="QVF313" s="1956"/>
      <c r="QVG313" s="1956"/>
      <c r="QVH313" s="1956"/>
      <c r="QVI313" s="1956"/>
      <c r="QVJ313" s="1956"/>
      <c r="QVK313" s="1956"/>
      <c r="QVL313" s="1956"/>
      <c r="QVM313" s="1956"/>
      <c r="QVN313" s="1956"/>
      <c r="QVO313" s="1956"/>
      <c r="QVP313" s="1956"/>
      <c r="QVQ313" s="1956"/>
      <c r="QVR313" s="1956"/>
      <c r="QVS313" s="1956"/>
      <c r="QVT313" s="1956"/>
      <c r="QVU313" s="1956"/>
      <c r="QVV313" s="1956"/>
      <c r="QVW313" s="1956"/>
      <c r="QVX313" s="1956"/>
      <c r="QVY313" s="1956"/>
      <c r="QVZ313" s="1956"/>
      <c r="QWA313" s="1956"/>
      <c r="QWB313" s="1956"/>
      <c r="QWC313" s="1956"/>
      <c r="QWD313" s="1956"/>
      <c r="QWE313" s="1956"/>
      <c r="QWF313" s="1956"/>
      <c r="QWG313" s="1956"/>
      <c r="QWH313" s="1956"/>
      <c r="QWI313" s="1956"/>
      <c r="QWJ313" s="1956"/>
      <c r="QWK313" s="1956"/>
      <c r="QWL313" s="1956"/>
      <c r="QWM313" s="1956"/>
      <c r="QWN313" s="1956"/>
      <c r="QWO313" s="1956"/>
      <c r="QWP313" s="1956"/>
      <c r="QWQ313" s="1956"/>
      <c r="QWR313" s="1956"/>
      <c r="QWS313" s="1956"/>
      <c r="QWT313" s="1956"/>
      <c r="QWU313" s="1956"/>
      <c r="QWV313" s="1956"/>
      <c r="QWW313" s="1956"/>
      <c r="QWX313" s="1956"/>
      <c r="QWY313" s="1956"/>
      <c r="QWZ313" s="1956"/>
      <c r="QXA313" s="1956"/>
      <c r="QXB313" s="1956"/>
      <c r="QXC313" s="1956"/>
      <c r="QXD313" s="1956"/>
      <c r="QXE313" s="1956"/>
      <c r="QXF313" s="1956"/>
      <c r="QXG313" s="1956"/>
      <c r="QXH313" s="1956"/>
      <c r="QXI313" s="1956"/>
      <c r="QXJ313" s="1956"/>
      <c r="QXK313" s="1956"/>
      <c r="QXL313" s="1956"/>
      <c r="QXM313" s="1956"/>
      <c r="QXN313" s="1956"/>
      <c r="QXO313" s="1956"/>
      <c r="QXP313" s="1956"/>
      <c r="QXQ313" s="1956"/>
      <c r="QXR313" s="1956"/>
      <c r="QXS313" s="1956"/>
      <c r="QXT313" s="1956"/>
      <c r="QXU313" s="1956"/>
      <c r="QXV313" s="1956"/>
      <c r="QXW313" s="1956"/>
      <c r="QXX313" s="1956"/>
      <c r="QXY313" s="1956"/>
      <c r="QXZ313" s="1956"/>
      <c r="QYA313" s="1956"/>
      <c r="QYB313" s="1956"/>
      <c r="QYC313" s="1956"/>
      <c r="QYD313" s="1956"/>
      <c r="QYE313" s="1956"/>
      <c r="QYF313" s="1956"/>
      <c r="QYG313" s="1956"/>
      <c r="QYH313" s="1956"/>
      <c r="QYI313" s="1956"/>
      <c r="QYJ313" s="1956"/>
      <c r="QYK313" s="1956"/>
      <c r="QYL313" s="1956"/>
      <c r="QYM313" s="1956"/>
      <c r="QYN313" s="1956"/>
      <c r="QYO313" s="1956"/>
      <c r="QYP313" s="1956"/>
      <c r="QYQ313" s="1956"/>
      <c r="QYR313" s="1956"/>
      <c r="QYS313" s="1956"/>
      <c r="QYT313" s="1956"/>
      <c r="QYU313" s="1956"/>
      <c r="QYV313" s="1956"/>
      <c r="QYW313" s="1956"/>
      <c r="QYX313" s="1956"/>
      <c r="QYY313" s="1956"/>
      <c r="QYZ313" s="1956"/>
      <c r="QZA313" s="1956"/>
      <c r="QZB313" s="1956"/>
      <c r="QZC313" s="1956"/>
      <c r="QZD313" s="1956"/>
      <c r="QZE313" s="1956"/>
      <c r="QZF313" s="1956"/>
      <c r="QZG313" s="1956"/>
      <c r="QZH313" s="1956"/>
      <c r="QZI313" s="1956"/>
      <c r="QZJ313" s="1956"/>
      <c r="QZK313" s="1956"/>
      <c r="QZL313" s="1956"/>
      <c r="QZM313" s="1956"/>
      <c r="QZN313" s="1956"/>
      <c r="QZO313" s="1956"/>
      <c r="QZP313" s="1956"/>
      <c r="QZQ313" s="1956"/>
      <c r="QZR313" s="1956"/>
      <c r="QZS313" s="1956"/>
      <c r="QZT313" s="1956"/>
      <c r="QZU313" s="1956"/>
      <c r="QZV313" s="1956"/>
      <c r="QZW313" s="1956"/>
      <c r="QZX313" s="1956"/>
      <c r="QZY313" s="1956"/>
      <c r="QZZ313" s="1956"/>
      <c r="RAA313" s="1956"/>
      <c r="RAB313" s="1956"/>
      <c r="RAC313" s="1956"/>
      <c r="RAD313" s="1956"/>
      <c r="RAE313" s="1956"/>
      <c r="RAF313" s="1956"/>
      <c r="RAG313" s="1956"/>
      <c r="RAH313" s="1956"/>
      <c r="RAI313" s="1956"/>
      <c r="RAJ313" s="1956"/>
      <c r="RAK313" s="1956"/>
      <c r="RAL313" s="1956"/>
      <c r="RAM313" s="1956"/>
      <c r="RAN313" s="1956"/>
      <c r="RAO313" s="1956"/>
      <c r="RAP313" s="1956"/>
      <c r="RAQ313" s="1956"/>
      <c r="RAR313" s="1956"/>
      <c r="RAS313" s="1956"/>
      <c r="RAT313" s="1956"/>
      <c r="RAU313" s="1956"/>
      <c r="RAV313" s="1956"/>
      <c r="RAW313" s="1956"/>
      <c r="RAX313" s="1956"/>
      <c r="RAY313" s="1956"/>
      <c r="RAZ313" s="1956"/>
      <c r="RBA313" s="1956"/>
      <c r="RBB313" s="1956"/>
      <c r="RBC313" s="1956"/>
      <c r="RBD313" s="1956"/>
      <c r="RBE313" s="1956"/>
      <c r="RBF313" s="1956"/>
      <c r="RBG313" s="1956"/>
      <c r="RBH313" s="1956"/>
      <c r="RBI313" s="1956"/>
      <c r="RBJ313" s="1956"/>
      <c r="RBK313" s="1956"/>
      <c r="RBL313" s="1956"/>
      <c r="RBM313" s="1956"/>
      <c r="RBN313" s="1956"/>
      <c r="RBO313" s="1956"/>
      <c r="RBP313" s="1956"/>
      <c r="RBQ313" s="1956"/>
      <c r="RBR313" s="1956"/>
      <c r="RBS313" s="1956"/>
      <c r="RBT313" s="1956"/>
      <c r="RBU313" s="1956"/>
      <c r="RBV313" s="1956"/>
      <c r="RBW313" s="1956"/>
      <c r="RBX313" s="1956"/>
      <c r="RBY313" s="1956"/>
      <c r="RBZ313" s="1956"/>
      <c r="RCA313" s="1956"/>
      <c r="RCB313" s="1956"/>
      <c r="RCC313" s="1956"/>
      <c r="RCD313" s="1956"/>
      <c r="RCE313" s="1956"/>
      <c r="RCF313" s="1956"/>
      <c r="RCG313" s="1956"/>
      <c r="RCH313" s="1956"/>
      <c r="RCI313" s="1956"/>
      <c r="RCJ313" s="1956"/>
      <c r="RCK313" s="1956"/>
      <c r="RCL313" s="1956"/>
      <c r="RCM313" s="1956"/>
      <c r="RCN313" s="1956"/>
      <c r="RCO313" s="1956"/>
      <c r="RCP313" s="1956"/>
      <c r="RCQ313" s="1956"/>
      <c r="RCR313" s="1956"/>
      <c r="RCS313" s="1956"/>
      <c r="RCT313" s="1956"/>
      <c r="RCU313" s="1956"/>
      <c r="RCV313" s="1956"/>
      <c r="RCW313" s="1956"/>
      <c r="RCX313" s="1956"/>
      <c r="RCY313" s="1956"/>
      <c r="RCZ313" s="1956"/>
      <c r="RDA313" s="1956"/>
      <c r="RDB313" s="1956"/>
      <c r="RDC313" s="1956"/>
      <c r="RDD313" s="1956"/>
      <c r="RDE313" s="1956"/>
      <c r="RDF313" s="1956"/>
      <c r="RDG313" s="1956"/>
      <c r="RDH313" s="1956"/>
      <c r="RDI313" s="1956"/>
      <c r="RDJ313" s="1956"/>
      <c r="RDK313" s="1956"/>
      <c r="RDL313" s="1956"/>
      <c r="RDM313" s="1956"/>
      <c r="RDN313" s="1956"/>
      <c r="RDO313" s="1956"/>
      <c r="RDP313" s="1956"/>
      <c r="RDQ313" s="1956"/>
      <c r="RDR313" s="1956"/>
      <c r="RDS313" s="1956"/>
      <c r="RDT313" s="1956"/>
      <c r="RDU313" s="1956"/>
      <c r="RDV313" s="1956"/>
      <c r="RDW313" s="1956"/>
      <c r="RDX313" s="1956"/>
      <c r="RDY313" s="1956"/>
      <c r="RDZ313" s="1956"/>
      <c r="REA313" s="1956"/>
      <c r="REB313" s="1956"/>
      <c r="REC313" s="1956"/>
      <c r="RED313" s="1956"/>
      <c r="REE313" s="1956"/>
      <c r="REF313" s="1956"/>
      <c r="REG313" s="1956"/>
      <c r="REH313" s="1956"/>
      <c r="REI313" s="1956"/>
      <c r="REJ313" s="1956"/>
      <c r="REK313" s="1956"/>
      <c r="REL313" s="1956"/>
      <c r="REM313" s="1956"/>
      <c r="REN313" s="1956"/>
      <c r="REO313" s="1956"/>
      <c r="REP313" s="1956"/>
      <c r="REQ313" s="1956"/>
      <c r="RER313" s="1956"/>
      <c r="RES313" s="1956"/>
      <c r="RET313" s="1956"/>
      <c r="REU313" s="1956"/>
      <c r="REV313" s="1956"/>
      <c r="REW313" s="1956"/>
      <c r="REX313" s="1956"/>
      <c r="REY313" s="1956"/>
      <c r="REZ313" s="1956"/>
      <c r="RFA313" s="1956"/>
      <c r="RFB313" s="1956"/>
      <c r="RFC313" s="1956"/>
      <c r="RFD313" s="1956"/>
      <c r="RFE313" s="1956"/>
      <c r="RFF313" s="1956"/>
      <c r="RFG313" s="1956"/>
      <c r="RFH313" s="1956"/>
      <c r="RFI313" s="1956"/>
      <c r="RFJ313" s="1956"/>
      <c r="RFK313" s="1956"/>
      <c r="RFL313" s="1956"/>
      <c r="RFM313" s="1956"/>
      <c r="RFN313" s="1956"/>
      <c r="RFO313" s="1956"/>
      <c r="RFP313" s="1956"/>
      <c r="RFQ313" s="1956"/>
      <c r="RFR313" s="1956"/>
      <c r="RFS313" s="1956"/>
      <c r="RFT313" s="1956"/>
      <c r="RFU313" s="1956"/>
      <c r="RFV313" s="1956"/>
      <c r="RFW313" s="1956"/>
      <c r="RFX313" s="1956"/>
      <c r="RFY313" s="1956"/>
      <c r="RFZ313" s="1956"/>
      <c r="RGA313" s="1956"/>
      <c r="RGB313" s="1956"/>
      <c r="RGC313" s="1956"/>
      <c r="RGD313" s="1956"/>
      <c r="RGE313" s="1956"/>
      <c r="RGF313" s="1956"/>
      <c r="RGG313" s="1956"/>
      <c r="RGH313" s="1956"/>
      <c r="RGI313" s="1956"/>
      <c r="RGJ313" s="1956"/>
      <c r="RGK313" s="1956"/>
      <c r="RGL313" s="1956"/>
      <c r="RGM313" s="1956"/>
      <c r="RGN313" s="1956"/>
      <c r="RGO313" s="1956"/>
      <c r="RGP313" s="1956"/>
      <c r="RGQ313" s="1956"/>
      <c r="RGR313" s="1956"/>
      <c r="RGS313" s="1956"/>
      <c r="RGT313" s="1956"/>
      <c r="RGU313" s="1956"/>
      <c r="RGV313" s="1956"/>
      <c r="RGW313" s="1956"/>
      <c r="RGX313" s="1956"/>
      <c r="RGY313" s="1956"/>
      <c r="RGZ313" s="1956"/>
      <c r="RHA313" s="1956"/>
      <c r="RHB313" s="1956"/>
      <c r="RHC313" s="1956"/>
      <c r="RHD313" s="1956"/>
      <c r="RHE313" s="1956"/>
      <c r="RHF313" s="1956"/>
      <c r="RHG313" s="1956"/>
      <c r="RHH313" s="1956"/>
      <c r="RHI313" s="1956"/>
      <c r="RHJ313" s="1956"/>
      <c r="RHK313" s="1956"/>
      <c r="RHL313" s="1956"/>
      <c r="RHM313" s="1956"/>
      <c r="RHN313" s="1956"/>
      <c r="RHO313" s="1956"/>
      <c r="RHP313" s="1956"/>
      <c r="RHQ313" s="1956"/>
      <c r="RHR313" s="1956"/>
      <c r="RHS313" s="1956"/>
      <c r="RHT313" s="1956"/>
      <c r="RHU313" s="1956"/>
      <c r="RHV313" s="1956"/>
      <c r="RHW313" s="1956"/>
      <c r="RHX313" s="1956"/>
      <c r="RHY313" s="1956"/>
      <c r="RHZ313" s="1956"/>
      <c r="RIA313" s="1956"/>
      <c r="RIB313" s="1956"/>
      <c r="RIC313" s="1956"/>
      <c r="RID313" s="1956"/>
      <c r="RIE313" s="1956"/>
      <c r="RIF313" s="1956"/>
      <c r="RIG313" s="1956"/>
      <c r="RIH313" s="1956"/>
      <c r="RII313" s="1956"/>
      <c r="RIJ313" s="1956"/>
      <c r="RIK313" s="1956"/>
      <c r="RIL313" s="1956"/>
      <c r="RIM313" s="1956"/>
      <c r="RIN313" s="1956"/>
      <c r="RIO313" s="1956"/>
      <c r="RIP313" s="1956"/>
      <c r="RIQ313" s="1956"/>
      <c r="RIR313" s="1956"/>
      <c r="RIS313" s="1956"/>
      <c r="RIT313" s="1956"/>
      <c r="RIU313" s="1956"/>
      <c r="RIV313" s="1956"/>
      <c r="RIW313" s="1956"/>
      <c r="RIX313" s="1956"/>
      <c r="RIY313" s="1956"/>
      <c r="RIZ313" s="1956"/>
      <c r="RJA313" s="1956"/>
      <c r="RJB313" s="1956"/>
      <c r="RJC313" s="1956"/>
      <c r="RJD313" s="1956"/>
      <c r="RJE313" s="1956"/>
      <c r="RJF313" s="1956"/>
      <c r="RJG313" s="1956"/>
      <c r="RJH313" s="1956"/>
      <c r="RJI313" s="1956"/>
      <c r="RJJ313" s="1956"/>
      <c r="RJK313" s="1956"/>
      <c r="RJL313" s="1956"/>
      <c r="RJM313" s="1956"/>
      <c r="RJN313" s="1956"/>
      <c r="RJO313" s="1956"/>
      <c r="RJP313" s="1956"/>
      <c r="RJQ313" s="1956"/>
      <c r="RJR313" s="1956"/>
      <c r="RJS313" s="1956"/>
      <c r="RJT313" s="1956"/>
      <c r="RJU313" s="1956"/>
      <c r="RJV313" s="1956"/>
      <c r="RJW313" s="1956"/>
      <c r="RJX313" s="1956"/>
      <c r="RJY313" s="1956"/>
      <c r="RJZ313" s="1956"/>
      <c r="RKA313" s="1956"/>
      <c r="RKB313" s="1956"/>
      <c r="RKC313" s="1956"/>
      <c r="RKD313" s="1956"/>
      <c r="RKE313" s="1956"/>
      <c r="RKF313" s="1956"/>
      <c r="RKG313" s="1956"/>
      <c r="RKH313" s="1956"/>
      <c r="RKI313" s="1956"/>
      <c r="RKJ313" s="1956"/>
      <c r="RKK313" s="1956"/>
      <c r="RKL313" s="1956"/>
      <c r="RKM313" s="1956"/>
      <c r="RKN313" s="1956"/>
      <c r="RKO313" s="1956"/>
      <c r="RKP313" s="1956"/>
      <c r="RKQ313" s="1956"/>
      <c r="RKR313" s="1956"/>
      <c r="RKS313" s="1956"/>
      <c r="RKT313" s="1956"/>
      <c r="RKU313" s="1956"/>
      <c r="RKV313" s="1956"/>
      <c r="RKW313" s="1956"/>
      <c r="RKX313" s="1956"/>
      <c r="RKY313" s="1956"/>
      <c r="RKZ313" s="1956"/>
      <c r="RLA313" s="1956"/>
      <c r="RLB313" s="1956"/>
      <c r="RLC313" s="1956"/>
      <c r="RLD313" s="1956"/>
      <c r="RLE313" s="1956"/>
      <c r="RLF313" s="1956"/>
      <c r="RLG313" s="1956"/>
      <c r="RLH313" s="1956"/>
      <c r="RLI313" s="1956"/>
      <c r="RLJ313" s="1956"/>
      <c r="RLK313" s="1956"/>
      <c r="RLL313" s="1956"/>
      <c r="RLM313" s="1956"/>
      <c r="RLN313" s="1956"/>
      <c r="RLO313" s="1956"/>
      <c r="RLP313" s="1956"/>
      <c r="RLQ313" s="1956"/>
      <c r="RLR313" s="1956"/>
      <c r="RLS313" s="1956"/>
      <c r="RLT313" s="1956"/>
      <c r="RLU313" s="1956"/>
      <c r="RLV313" s="1956"/>
      <c r="RLW313" s="1956"/>
      <c r="RLX313" s="1956"/>
      <c r="RLY313" s="1956"/>
      <c r="RLZ313" s="1956"/>
      <c r="RMA313" s="1956"/>
      <c r="RMB313" s="1956"/>
      <c r="RMC313" s="1956"/>
      <c r="RMD313" s="1956"/>
      <c r="RME313" s="1956"/>
      <c r="RMF313" s="1956"/>
      <c r="RMG313" s="1956"/>
      <c r="RMH313" s="1956"/>
      <c r="RMI313" s="1956"/>
      <c r="RMJ313" s="1956"/>
      <c r="RMK313" s="1956"/>
      <c r="RML313" s="1956"/>
      <c r="RMM313" s="1956"/>
      <c r="RMN313" s="1956"/>
      <c r="RMO313" s="1956"/>
      <c r="RMP313" s="1956"/>
      <c r="RMQ313" s="1956"/>
      <c r="RMR313" s="1956"/>
      <c r="RMS313" s="1956"/>
      <c r="RMT313" s="1956"/>
      <c r="RMU313" s="1956"/>
      <c r="RMV313" s="1956"/>
      <c r="RMW313" s="1956"/>
      <c r="RMX313" s="1956"/>
      <c r="RMY313" s="1956"/>
      <c r="RMZ313" s="1956"/>
      <c r="RNA313" s="1956"/>
      <c r="RNB313" s="1956"/>
      <c r="RNC313" s="1956"/>
      <c r="RND313" s="1956"/>
      <c r="RNE313" s="1956"/>
      <c r="RNF313" s="1956"/>
      <c r="RNG313" s="1956"/>
      <c r="RNH313" s="1956"/>
      <c r="RNI313" s="1956"/>
      <c r="RNJ313" s="1956"/>
      <c r="RNK313" s="1956"/>
      <c r="RNL313" s="1956"/>
      <c r="RNM313" s="1956"/>
      <c r="RNN313" s="1956"/>
      <c r="RNO313" s="1956"/>
      <c r="RNP313" s="1956"/>
      <c r="RNQ313" s="1956"/>
      <c r="RNR313" s="1956"/>
      <c r="RNS313" s="1956"/>
      <c r="RNT313" s="1956"/>
      <c r="RNU313" s="1956"/>
      <c r="RNV313" s="1956"/>
      <c r="RNW313" s="1956"/>
      <c r="RNX313" s="1956"/>
      <c r="RNY313" s="1956"/>
      <c r="RNZ313" s="1956"/>
      <c r="ROA313" s="1956"/>
      <c r="ROB313" s="1956"/>
      <c r="ROC313" s="1956"/>
      <c r="ROD313" s="1956"/>
      <c r="ROE313" s="1956"/>
      <c r="ROF313" s="1956"/>
      <c r="ROG313" s="1956"/>
      <c r="ROH313" s="1956"/>
      <c r="ROI313" s="1956"/>
      <c r="ROJ313" s="1956"/>
      <c r="ROK313" s="1956"/>
      <c r="ROL313" s="1956"/>
      <c r="ROM313" s="1956"/>
      <c r="RON313" s="1956"/>
      <c r="ROO313" s="1956"/>
      <c r="ROP313" s="1956"/>
      <c r="ROQ313" s="1956"/>
      <c r="ROR313" s="1956"/>
      <c r="ROS313" s="1956"/>
      <c r="ROT313" s="1956"/>
      <c r="ROU313" s="1956"/>
      <c r="ROV313" s="1956"/>
      <c r="ROW313" s="1956"/>
      <c r="ROX313" s="1956"/>
      <c r="ROY313" s="1956"/>
      <c r="ROZ313" s="1956"/>
      <c r="RPA313" s="1956"/>
      <c r="RPB313" s="1956"/>
      <c r="RPC313" s="1956"/>
      <c r="RPD313" s="1956"/>
      <c r="RPE313" s="1956"/>
      <c r="RPF313" s="1956"/>
      <c r="RPG313" s="1956"/>
      <c r="RPH313" s="1956"/>
      <c r="RPI313" s="1956"/>
      <c r="RPJ313" s="1956"/>
      <c r="RPK313" s="1956"/>
      <c r="RPL313" s="1956"/>
      <c r="RPM313" s="1956"/>
      <c r="RPN313" s="1956"/>
      <c r="RPO313" s="1956"/>
      <c r="RPP313" s="1956"/>
      <c r="RPQ313" s="1956"/>
      <c r="RPR313" s="1956"/>
      <c r="RPS313" s="1956"/>
      <c r="RPT313" s="1956"/>
      <c r="RPU313" s="1956"/>
      <c r="RPV313" s="1956"/>
      <c r="RPW313" s="1956"/>
      <c r="RPX313" s="1956"/>
      <c r="RPY313" s="1956"/>
      <c r="RPZ313" s="1956"/>
      <c r="RQA313" s="1956"/>
      <c r="RQB313" s="1956"/>
      <c r="RQC313" s="1956"/>
      <c r="RQD313" s="1956"/>
      <c r="RQE313" s="1956"/>
      <c r="RQF313" s="1956"/>
      <c r="RQG313" s="1956"/>
      <c r="RQH313" s="1956"/>
      <c r="RQI313" s="1956"/>
      <c r="RQJ313" s="1956"/>
      <c r="RQK313" s="1956"/>
      <c r="RQL313" s="1956"/>
      <c r="RQM313" s="1956"/>
      <c r="RQN313" s="1956"/>
      <c r="RQO313" s="1956"/>
      <c r="RQP313" s="1956"/>
      <c r="RQQ313" s="1956"/>
      <c r="RQR313" s="1956"/>
      <c r="RQS313" s="1956"/>
      <c r="RQT313" s="1956"/>
      <c r="RQU313" s="1956"/>
      <c r="RQV313" s="1956"/>
      <c r="RQW313" s="1956"/>
      <c r="RQX313" s="1956"/>
      <c r="RQY313" s="1956"/>
      <c r="RQZ313" s="1956"/>
      <c r="RRA313" s="1956"/>
      <c r="RRB313" s="1956"/>
      <c r="RRC313" s="1956"/>
      <c r="RRD313" s="1956"/>
      <c r="RRE313" s="1956"/>
      <c r="RRF313" s="1956"/>
      <c r="RRG313" s="1956"/>
      <c r="RRH313" s="1956"/>
      <c r="RRI313" s="1956"/>
      <c r="RRJ313" s="1956"/>
      <c r="RRK313" s="1956"/>
      <c r="RRL313" s="1956"/>
      <c r="RRM313" s="1956"/>
      <c r="RRN313" s="1956"/>
      <c r="RRO313" s="1956"/>
      <c r="RRP313" s="1956"/>
      <c r="RRQ313" s="1956"/>
      <c r="RRR313" s="1956"/>
      <c r="RRS313" s="1956"/>
      <c r="RRT313" s="1956"/>
      <c r="RRU313" s="1956"/>
      <c r="RRV313" s="1956"/>
      <c r="RRW313" s="1956"/>
      <c r="RRX313" s="1956"/>
      <c r="RRY313" s="1956"/>
      <c r="RRZ313" s="1956"/>
      <c r="RSA313" s="1956"/>
      <c r="RSB313" s="1956"/>
      <c r="RSC313" s="1956"/>
      <c r="RSD313" s="1956"/>
      <c r="RSE313" s="1956"/>
      <c r="RSF313" s="1956"/>
      <c r="RSG313" s="1956"/>
      <c r="RSH313" s="1956"/>
      <c r="RSI313" s="1956"/>
      <c r="RSJ313" s="1956"/>
      <c r="RSK313" s="1956"/>
      <c r="RSL313" s="1956"/>
      <c r="RSM313" s="1956"/>
      <c r="RSN313" s="1956"/>
      <c r="RSO313" s="1956"/>
      <c r="RSP313" s="1956"/>
      <c r="RSQ313" s="1956"/>
      <c r="RSR313" s="1956"/>
      <c r="RSS313" s="1956"/>
      <c r="RST313" s="1956"/>
      <c r="RSU313" s="1956"/>
      <c r="RSV313" s="1956"/>
      <c r="RSW313" s="1956"/>
      <c r="RSX313" s="1956"/>
      <c r="RSY313" s="1956"/>
      <c r="RSZ313" s="1956"/>
      <c r="RTA313" s="1956"/>
      <c r="RTB313" s="1956"/>
      <c r="RTC313" s="1956"/>
      <c r="RTD313" s="1956"/>
      <c r="RTE313" s="1956"/>
      <c r="RTF313" s="1956"/>
      <c r="RTG313" s="1956"/>
      <c r="RTH313" s="1956"/>
      <c r="RTI313" s="1956"/>
      <c r="RTJ313" s="1956"/>
      <c r="RTK313" s="1956"/>
      <c r="RTL313" s="1956"/>
      <c r="RTM313" s="1956"/>
      <c r="RTN313" s="1956"/>
      <c r="RTO313" s="1956"/>
      <c r="RTP313" s="1956"/>
      <c r="RTQ313" s="1956"/>
      <c r="RTR313" s="1956"/>
      <c r="RTS313" s="1956"/>
      <c r="RTT313" s="1956"/>
      <c r="RTU313" s="1956"/>
      <c r="RTV313" s="1956"/>
      <c r="RTW313" s="1956"/>
      <c r="RTX313" s="1956"/>
      <c r="RTY313" s="1956"/>
      <c r="RTZ313" s="1956"/>
      <c r="RUA313" s="1956"/>
      <c r="RUB313" s="1956"/>
      <c r="RUC313" s="1956"/>
      <c r="RUD313" s="1956"/>
      <c r="RUE313" s="1956"/>
      <c r="RUF313" s="1956"/>
      <c r="RUG313" s="1956"/>
      <c r="RUH313" s="1956"/>
      <c r="RUI313" s="1956"/>
      <c r="RUJ313" s="1956"/>
      <c r="RUK313" s="1956"/>
      <c r="RUL313" s="1956"/>
      <c r="RUM313" s="1956"/>
      <c r="RUN313" s="1956"/>
      <c r="RUO313" s="1956"/>
      <c r="RUP313" s="1956"/>
      <c r="RUQ313" s="1956"/>
      <c r="RUR313" s="1956"/>
      <c r="RUS313" s="1956"/>
      <c r="RUT313" s="1956"/>
      <c r="RUU313" s="1956"/>
      <c r="RUV313" s="1956"/>
      <c r="RUW313" s="1956"/>
      <c r="RUX313" s="1956"/>
      <c r="RUY313" s="1956"/>
      <c r="RUZ313" s="1956"/>
      <c r="RVA313" s="1956"/>
      <c r="RVB313" s="1956"/>
      <c r="RVC313" s="1956"/>
      <c r="RVD313" s="1956"/>
      <c r="RVE313" s="1956"/>
      <c r="RVF313" s="1956"/>
      <c r="RVG313" s="1956"/>
      <c r="RVH313" s="1956"/>
      <c r="RVI313" s="1956"/>
      <c r="RVJ313" s="1956"/>
      <c r="RVK313" s="1956"/>
      <c r="RVL313" s="1956"/>
      <c r="RVM313" s="1956"/>
      <c r="RVN313" s="1956"/>
      <c r="RVO313" s="1956"/>
      <c r="RVP313" s="1956"/>
      <c r="RVQ313" s="1956"/>
      <c r="RVR313" s="1956"/>
      <c r="RVS313" s="1956"/>
      <c r="RVT313" s="1956"/>
      <c r="RVU313" s="1956"/>
      <c r="RVV313" s="1956"/>
      <c r="RVW313" s="1956"/>
      <c r="RVX313" s="1956"/>
      <c r="RVY313" s="1956"/>
      <c r="RVZ313" s="1956"/>
      <c r="RWA313" s="1956"/>
      <c r="RWB313" s="1956"/>
      <c r="RWC313" s="1956"/>
      <c r="RWD313" s="1956"/>
      <c r="RWE313" s="1956"/>
      <c r="RWF313" s="1956"/>
      <c r="RWG313" s="1956"/>
      <c r="RWH313" s="1956"/>
      <c r="RWI313" s="1956"/>
      <c r="RWJ313" s="1956"/>
      <c r="RWK313" s="1956"/>
      <c r="RWL313" s="1956"/>
      <c r="RWM313" s="1956"/>
      <c r="RWN313" s="1956"/>
      <c r="RWO313" s="1956"/>
      <c r="RWP313" s="1956"/>
      <c r="RWQ313" s="1956"/>
      <c r="RWR313" s="1956"/>
      <c r="RWS313" s="1956"/>
      <c r="RWT313" s="1956"/>
      <c r="RWU313" s="1956"/>
      <c r="RWV313" s="1956"/>
      <c r="RWW313" s="1956"/>
      <c r="RWX313" s="1956"/>
      <c r="RWY313" s="1956"/>
      <c r="RWZ313" s="1956"/>
      <c r="RXA313" s="1956"/>
      <c r="RXB313" s="1956"/>
      <c r="RXC313" s="1956"/>
      <c r="RXD313" s="1956"/>
      <c r="RXE313" s="1956"/>
      <c r="RXF313" s="1956"/>
      <c r="RXG313" s="1956"/>
      <c r="RXH313" s="1956"/>
      <c r="RXI313" s="1956"/>
      <c r="RXJ313" s="1956"/>
      <c r="RXK313" s="1956"/>
      <c r="RXL313" s="1956"/>
      <c r="RXM313" s="1956"/>
      <c r="RXN313" s="1956"/>
      <c r="RXO313" s="1956"/>
      <c r="RXP313" s="1956"/>
      <c r="RXQ313" s="1956"/>
      <c r="RXR313" s="1956"/>
      <c r="RXS313" s="1956"/>
      <c r="RXT313" s="1956"/>
      <c r="RXU313" s="1956"/>
      <c r="RXV313" s="1956"/>
      <c r="RXW313" s="1956"/>
      <c r="RXX313" s="1956"/>
      <c r="RXY313" s="1956"/>
      <c r="RXZ313" s="1956"/>
      <c r="RYA313" s="1956"/>
      <c r="RYB313" s="1956"/>
      <c r="RYC313" s="1956"/>
      <c r="RYD313" s="1956"/>
      <c r="RYE313" s="1956"/>
      <c r="RYF313" s="1956"/>
      <c r="RYG313" s="1956"/>
      <c r="RYH313" s="1956"/>
      <c r="RYI313" s="1956"/>
      <c r="RYJ313" s="1956"/>
      <c r="RYK313" s="1956"/>
      <c r="RYL313" s="1956"/>
      <c r="RYM313" s="1956"/>
      <c r="RYN313" s="1956"/>
      <c r="RYO313" s="1956"/>
      <c r="RYP313" s="1956"/>
      <c r="RYQ313" s="1956"/>
      <c r="RYR313" s="1956"/>
      <c r="RYS313" s="1956"/>
      <c r="RYT313" s="1956"/>
      <c r="RYU313" s="1956"/>
      <c r="RYV313" s="1956"/>
      <c r="RYW313" s="1956"/>
      <c r="RYX313" s="1956"/>
      <c r="RYY313" s="1956"/>
      <c r="RYZ313" s="1956"/>
      <c r="RZA313" s="1956"/>
      <c r="RZB313" s="1956"/>
      <c r="RZC313" s="1956"/>
      <c r="RZD313" s="1956"/>
      <c r="RZE313" s="1956"/>
      <c r="RZF313" s="1956"/>
      <c r="RZG313" s="1956"/>
      <c r="RZH313" s="1956"/>
      <c r="RZI313" s="1956"/>
      <c r="RZJ313" s="1956"/>
      <c r="RZK313" s="1956"/>
      <c r="RZL313" s="1956"/>
      <c r="RZM313" s="1956"/>
      <c r="RZN313" s="1956"/>
      <c r="RZO313" s="1956"/>
      <c r="RZP313" s="1956"/>
      <c r="RZQ313" s="1956"/>
      <c r="RZR313" s="1956"/>
      <c r="RZS313" s="1956"/>
      <c r="RZT313" s="1956"/>
      <c r="RZU313" s="1956"/>
      <c r="RZV313" s="1956"/>
      <c r="RZW313" s="1956"/>
      <c r="RZX313" s="1956"/>
      <c r="RZY313" s="1956"/>
      <c r="RZZ313" s="1956"/>
      <c r="SAA313" s="1956"/>
      <c r="SAB313" s="1956"/>
      <c r="SAC313" s="1956"/>
      <c r="SAD313" s="1956"/>
      <c r="SAE313" s="1956"/>
      <c r="SAF313" s="1956"/>
      <c r="SAG313" s="1956"/>
      <c r="SAH313" s="1956"/>
      <c r="SAI313" s="1956"/>
      <c r="SAJ313" s="1956"/>
      <c r="SAK313" s="1956"/>
      <c r="SAL313" s="1956"/>
      <c r="SAM313" s="1956"/>
      <c r="SAN313" s="1956"/>
      <c r="SAO313" s="1956"/>
      <c r="SAP313" s="1956"/>
      <c r="SAQ313" s="1956"/>
      <c r="SAR313" s="1956"/>
      <c r="SAS313" s="1956"/>
      <c r="SAT313" s="1956"/>
      <c r="SAU313" s="1956"/>
      <c r="SAV313" s="1956"/>
      <c r="SAW313" s="1956"/>
      <c r="SAX313" s="1956"/>
      <c r="SAY313" s="1956"/>
      <c r="SAZ313" s="1956"/>
      <c r="SBA313" s="1956"/>
      <c r="SBB313" s="1956"/>
      <c r="SBC313" s="1956"/>
      <c r="SBD313" s="1956"/>
      <c r="SBE313" s="1956"/>
      <c r="SBF313" s="1956"/>
      <c r="SBG313" s="1956"/>
      <c r="SBH313" s="1956"/>
      <c r="SBI313" s="1956"/>
      <c r="SBJ313" s="1956"/>
      <c r="SBK313" s="1956"/>
      <c r="SBL313" s="1956"/>
      <c r="SBM313" s="1956"/>
      <c r="SBN313" s="1956"/>
      <c r="SBO313" s="1956"/>
      <c r="SBP313" s="1956"/>
      <c r="SBQ313" s="1956"/>
      <c r="SBR313" s="1956"/>
      <c r="SBS313" s="1956"/>
      <c r="SBT313" s="1956"/>
      <c r="SBU313" s="1956"/>
      <c r="SBV313" s="1956"/>
      <c r="SBW313" s="1956"/>
      <c r="SBX313" s="1956"/>
      <c r="SBY313" s="1956"/>
      <c r="SBZ313" s="1956"/>
      <c r="SCA313" s="1956"/>
      <c r="SCB313" s="1956"/>
      <c r="SCC313" s="1956"/>
      <c r="SCD313" s="1956"/>
      <c r="SCE313" s="1956"/>
      <c r="SCF313" s="1956"/>
      <c r="SCG313" s="1956"/>
      <c r="SCH313" s="1956"/>
      <c r="SCI313" s="1956"/>
      <c r="SCJ313" s="1956"/>
      <c r="SCK313" s="1956"/>
      <c r="SCL313" s="1956"/>
      <c r="SCM313" s="1956"/>
      <c r="SCN313" s="1956"/>
      <c r="SCO313" s="1956"/>
      <c r="SCP313" s="1956"/>
      <c r="SCQ313" s="1956"/>
      <c r="SCR313" s="1956"/>
      <c r="SCS313" s="1956"/>
      <c r="SCT313" s="1956"/>
      <c r="SCU313" s="1956"/>
      <c r="SCV313" s="1956"/>
      <c r="SCW313" s="1956"/>
      <c r="SCX313" s="1956"/>
      <c r="SCY313" s="1956"/>
      <c r="SCZ313" s="1956"/>
      <c r="SDA313" s="1956"/>
      <c r="SDB313" s="1956"/>
      <c r="SDC313" s="1956"/>
      <c r="SDD313" s="1956"/>
      <c r="SDE313" s="1956"/>
      <c r="SDF313" s="1956"/>
      <c r="SDG313" s="1956"/>
      <c r="SDH313" s="1956"/>
      <c r="SDI313" s="1956"/>
      <c r="SDJ313" s="1956"/>
      <c r="SDK313" s="1956"/>
      <c r="SDL313" s="1956"/>
      <c r="SDM313" s="1956"/>
      <c r="SDN313" s="1956"/>
      <c r="SDO313" s="1956"/>
      <c r="SDP313" s="1956"/>
      <c r="SDQ313" s="1956"/>
      <c r="SDR313" s="1956"/>
      <c r="SDS313" s="1956"/>
      <c r="SDT313" s="1956"/>
      <c r="SDU313" s="1956"/>
      <c r="SDV313" s="1956"/>
      <c r="SDW313" s="1956"/>
      <c r="SDX313" s="1956"/>
      <c r="SDY313" s="1956"/>
      <c r="SDZ313" s="1956"/>
      <c r="SEA313" s="1956"/>
      <c r="SEB313" s="1956"/>
      <c r="SEC313" s="1956"/>
      <c r="SED313" s="1956"/>
      <c r="SEE313" s="1956"/>
      <c r="SEF313" s="1956"/>
      <c r="SEG313" s="1956"/>
      <c r="SEH313" s="1956"/>
      <c r="SEI313" s="1956"/>
      <c r="SEJ313" s="1956"/>
      <c r="SEK313" s="1956"/>
      <c r="SEL313" s="1956"/>
      <c r="SEM313" s="1956"/>
      <c r="SEN313" s="1956"/>
      <c r="SEO313" s="1956"/>
      <c r="SEP313" s="1956"/>
      <c r="SEQ313" s="1956"/>
      <c r="SER313" s="1956"/>
      <c r="SES313" s="1956"/>
      <c r="SET313" s="1956"/>
      <c r="SEU313" s="1956"/>
      <c r="SEV313" s="1956"/>
      <c r="SEW313" s="1956"/>
      <c r="SEX313" s="1956"/>
      <c r="SEY313" s="1956"/>
      <c r="SEZ313" s="1956"/>
      <c r="SFA313" s="1956"/>
      <c r="SFB313" s="1956"/>
      <c r="SFC313" s="1956"/>
      <c r="SFD313" s="1956"/>
      <c r="SFE313" s="1956"/>
      <c r="SFF313" s="1956"/>
      <c r="SFG313" s="1956"/>
      <c r="SFH313" s="1956"/>
      <c r="SFI313" s="1956"/>
      <c r="SFJ313" s="1956"/>
      <c r="SFK313" s="1956"/>
      <c r="SFL313" s="1956"/>
      <c r="SFM313" s="1956"/>
      <c r="SFN313" s="1956"/>
      <c r="SFO313" s="1956"/>
      <c r="SFP313" s="1956"/>
      <c r="SFQ313" s="1956"/>
      <c r="SFR313" s="1956"/>
      <c r="SFS313" s="1956"/>
      <c r="SFT313" s="1956"/>
      <c r="SFU313" s="1956"/>
      <c r="SFV313" s="1956"/>
      <c r="SFW313" s="1956"/>
      <c r="SFX313" s="1956"/>
      <c r="SFY313" s="1956"/>
      <c r="SFZ313" s="1956"/>
      <c r="SGA313" s="1956"/>
      <c r="SGB313" s="1956"/>
      <c r="SGC313" s="1956"/>
      <c r="SGD313" s="1956"/>
      <c r="SGE313" s="1956"/>
      <c r="SGF313" s="1956"/>
      <c r="SGG313" s="1956"/>
      <c r="SGH313" s="1956"/>
      <c r="SGI313" s="1956"/>
      <c r="SGJ313" s="1956"/>
      <c r="SGK313" s="1956"/>
      <c r="SGL313" s="1956"/>
      <c r="SGM313" s="1956"/>
      <c r="SGN313" s="1956"/>
      <c r="SGO313" s="1956"/>
      <c r="SGP313" s="1956"/>
      <c r="SGQ313" s="1956"/>
      <c r="SGR313" s="1956"/>
      <c r="SGS313" s="1956"/>
      <c r="SGT313" s="1956"/>
      <c r="SGU313" s="1956"/>
      <c r="SGV313" s="1956"/>
      <c r="SGW313" s="1956"/>
      <c r="SGX313" s="1956"/>
      <c r="SGY313" s="1956"/>
      <c r="SGZ313" s="1956"/>
      <c r="SHA313" s="1956"/>
      <c r="SHB313" s="1956"/>
      <c r="SHC313" s="1956"/>
      <c r="SHD313" s="1956"/>
      <c r="SHE313" s="1956"/>
      <c r="SHF313" s="1956"/>
      <c r="SHG313" s="1956"/>
      <c r="SHH313" s="1956"/>
      <c r="SHI313" s="1956"/>
      <c r="SHJ313" s="1956"/>
      <c r="SHK313" s="1956"/>
      <c r="SHL313" s="1956"/>
      <c r="SHM313" s="1956"/>
      <c r="SHN313" s="1956"/>
      <c r="SHO313" s="1956"/>
      <c r="SHP313" s="1956"/>
      <c r="SHQ313" s="1956"/>
      <c r="SHR313" s="1956"/>
      <c r="SHS313" s="1956"/>
      <c r="SHT313" s="1956"/>
      <c r="SHU313" s="1956"/>
      <c r="SHV313" s="1956"/>
      <c r="SHW313" s="1956"/>
      <c r="SHX313" s="1956"/>
      <c r="SHY313" s="1956"/>
      <c r="SHZ313" s="1956"/>
      <c r="SIA313" s="1956"/>
      <c r="SIB313" s="1956"/>
      <c r="SIC313" s="1956"/>
      <c r="SID313" s="1956"/>
      <c r="SIE313" s="1956"/>
      <c r="SIF313" s="1956"/>
      <c r="SIG313" s="1956"/>
      <c r="SIH313" s="1956"/>
      <c r="SII313" s="1956"/>
      <c r="SIJ313" s="1956"/>
      <c r="SIK313" s="1956"/>
      <c r="SIL313" s="1956"/>
      <c r="SIM313" s="1956"/>
      <c r="SIN313" s="1956"/>
      <c r="SIO313" s="1956"/>
      <c r="SIP313" s="1956"/>
      <c r="SIQ313" s="1956"/>
      <c r="SIR313" s="1956"/>
      <c r="SIS313" s="1956"/>
      <c r="SIT313" s="1956"/>
      <c r="SIU313" s="1956"/>
      <c r="SIV313" s="1956"/>
      <c r="SIW313" s="1956"/>
      <c r="SIX313" s="1956"/>
      <c r="SIY313" s="1956"/>
      <c r="SIZ313" s="1956"/>
      <c r="SJA313" s="1956"/>
      <c r="SJB313" s="1956"/>
      <c r="SJC313" s="1956"/>
      <c r="SJD313" s="1956"/>
      <c r="SJE313" s="1956"/>
      <c r="SJF313" s="1956"/>
      <c r="SJG313" s="1956"/>
      <c r="SJH313" s="1956"/>
      <c r="SJI313" s="1956"/>
      <c r="SJJ313" s="1956"/>
      <c r="SJK313" s="1956"/>
      <c r="SJL313" s="1956"/>
      <c r="SJM313" s="1956"/>
      <c r="SJN313" s="1956"/>
      <c r="SJO313" s="1956"/>
      <c r="SJP313" s="1956"/>
      <c r="SJQ313" s="1956"/>
      <c r="SJR313" s="1956"/>
      <c r="SJS313" s="1956"/>
      <c r="SJT313" s="1956"/>
      <c r="SJU313" s="1956"/>
      <c r="SJV313" s="1956"/>
      <c r="SJW313" s="1956"/>
      <c r="SJX313" s="1956"/>
      <c r="SJY313" s="1956"/>
      <c r="SJZ313" s="1956"/>
      <c r="SKA313" s="1956"/>
      <c r="SKB313" s="1956"/>
      <c r="SKC313" s="1956"/>
      <c r="SKD313" s="1956"/>
      <c r="SKE313" s="1956"/>
      <c r="SKF313" s="1956"/>
      <c r="SKG313" s="1956"/>
      <c r="SKH313" s="1956"/>
      <c r="SKI313" s="1956"/>
      <c r="SKJ313" s="1956"/>
      <c r="SKK313" s="1956"/>
      <c r="SKL313" s="1956"/>
      <c r="SKM313" s="1956"/>
      <c r="SKN313" s="1956"/>
      <c r="SKO313" s="1956"/>
      <c r="SKP313" s="1956"/>
      <c r="SKQ313" s="1956"/>
      <c r="SKR313" s="1956"/>
      <c r="SKS313" s="1956"/>
      <c r="SKT313" s="1956"/>
      <c r="SKU313" s="1956"/>
      <c r="SKV313" s="1956"/>
      <c r="SKW313" s="1956"/>
      <c r="SKX313" s="1956"/>
      <c r="SKY313" s="1956"/>
      <c r="SKZ313" s="1956"/>
      <c r="SLA313" s="1956"/>
      <c r="SLB313" s="1956"/>
      <c r="SLC313" s="1956"/>
      <c r="SLD313" s="1956"/>
      <c r="SLE313" s="1956"/>
      <c r="SLF313" s="1956"/>
      <c r="SLG313" s="1956"/>
      <c r="SLH313" s="1956"/>
      <c r="SLI313" s="1956"/>
      <c r="SLJ313" s="1956"/>
      <c r="SLK313" s="1956"/>
      <c r="SLL313" s="1956"/>
      <c r="SLM313" s="1956"/>
      <c r="SLN313" s="1956"/>
      <c r="SLO313" s="1956"/>
      <c r="SLP313" s="1956"/>
      <c r="SLQ313" s="1956"/>
      <c r="SLR313" s="1956"/>
      <c r="SLS313" s="1956"/>
      <c r="SLT313" s="1956"/>
      <c r="SLU313" s="1956"/>
      <c r="SLV313" s="1956"/>
      <c r="SLW313" s="1956"/>
      <c r="SLX313" s="1956"/>
      <c r="SLY313" s="1956"/>
      <c r="SLZ313" s="1956"/>
      <c r="SMA313" s="1956"/>
      <c r="SMB313" s="1956"/>
      <c r="SMC313" s="1956"/>
      <c r="SMD313" s="1956"/>
      <c r="SME313" s="1956"/>
      <c r="SMF313" s="1956"/>
      <c r="SMG313" s="1956"/>
      <c r="SMH313" s="1956"/>
      <c r="SMI313" s="1956"/>
      <c r="SMJ313" s="1956"/>
      <c r="SMK313" s="1956"/>
      <c r="SML313" s="1956"/>
      <c r="SMM313" s="1956"/>
      <c r="SMN313" s="1956"/>
      <c r="SMO313" s="1956"/>
      <c r="SMP313" s="1956"/>
      <c r="SMQ313" s="1956"/>
      <c r="SMR313" s="1956"/>
      <c r="SMS313" s="1956"/>
      <c r="SMT313" s="1956"/>
      <c r="SMU313" s="1956"/>
      <c r="SMV313" s="1956"/>
      <c r="SMW313" s="1956"/>
      <c r="SMX313" s="1956"/>
      <c r="SMY313" s="1956"/>
      <c r="SMZ313" s="1956"/>
      <c r="SNA313" s="1956"/>
      <c r="SNB313" s="1956"/>
      <c r="SNC313" s="1956"/>
      <c r="SND313" s="1956"/>
      <c r="SNE313" s="1956"/>
      <c r="SNF313" s="1956"/>
      <c r="SNG313" s="1956"/>
      <c r="SNH313" s="1956"/>
      <c r="SNI313" s="1956"/>
      <c r="SNJ313" s="1956"/>
      <c r="SNK313" s="1956"/>
      <c r="SNL313" s="1956"/>
      <c r="SNM313" s="1956"/>
      <c r="SNN313" s="1956"/>
      <c r="SNO313" s="1956"/>
      <c r="SNP313" s="1956"/>
      <c r="SNQ313" s="1956"/>
      <c r="SNR313" s="1956"/>
      <c r="SNS313" s="1956"/>
      <c r="SNT313" s="1956"/>
      <c r="SNU313" s="1956"/>
      <c r="SNV313" s="1956"/>
      <c r="SNW313" s="1956"/>
      <c r="SNX313" s="1956"/>
      <c r="SNY313" s="1956"/>
      <c r="SNZ313" s="1956"/>
      <c r="SOA313" s="1956"/>
      <c r="SOB313" s="1956"/>
      <c r="SOC313" s="1956"/>
      <c r="SOD313" s="1956"/>
      <c r="SOE313" s="1956"/>
      <c r="SOF313" s="1956"/>
      <c r="SOG313" s="1956"/>
      <c r="SOH313" s="1956"/>
      <c r="SOI313" s="1956"/>
      <c r="SOJ313" s="1956"/>
      <c r="SOK313" s="1956"/>
      <c r="SOL313" s="1956"/>
      <c r="SOM313" s="1956"/>
      <c r="SON313" s="1956"/>
      <c r="SOO313" s="1956"/>
      <c r="SOP313" s="1956"/>
      <c r="SOQ313" s="1956"/>
      <c r="SOR313" s="1956"/>
      <c r="SOS313" s="1956"/>
      <c r="SOT313" s="1956"/>
      <c r="SOU313" s="1956"/>
      <c r="SOV313" s="1956"/>
      <c r="SOW313" s="1956"/>
      <c r="SOX313" s="1956"/>
      <c r="SOY313" s="1956"/>
      <c r="SOZ313" s="1956"/>
      <c r="SPA313" s="1956"/>
      <c r="SPB313" s="1956"/>
      <c r="SPC313" s="1956"/>
      <c r="SPD313" s="1956"/>
      <c r="SPE313" s="1956"/>
      <c r="SPF313" s="1956"/>
      <c r="SPG313" s="1956"/>
      <c r="SPH313" s="1956"/>
      <c r="SPI313" s="1956"/>
      <c r="SPJ313" s="1956"/>
      <c r="SPK313" s="1956"/>
      <c r="SPL313" s="1956"/>
      <c r="SPM313" s="1956"/>
      <c r="SPN313" s="1956"/>
      <c r="SPO313" s="1956"/>
      <c r="SPP313" s="1956"/>
      <c r="SPQ313" s="1956"/>
      <c r="SPR313" s="1956"/>
      <c r="SPS313" s="1956"/>
      <c r="SPT313" s="1956"/>
      <c r="SPU313" s="1956"/>
      <c r="SPV313" s="1956"/>
      <c r="SPW313" s="1956"/>
      <c r="SPX313" s="1956"/>
      <c r="SPY313" s="1956"/>
      <c r="SPZ313" s="1956"/>
      <c r="SQA313" s="1956"/>
      <c r="SQB313" s="1956"/>
      <c r="SQC313" s="1956"/>
      <c r="SQD313" s="1956"/>
      <c r="SQE313" s="1956"/>
      <c r="SQF313" s="1956"/>
      <c r="SQG313" s="1956"/>
      <c r="SQH313" s="1956"/>
      <c r="SQI313" s="1956"/>
      <c r="SQJ313" s="1956"/>
      <c r="SQK313" s="1956"/>
      <c r="SQL313" s="1956"/>
      <c r="SQM313" s="1956"/>
      <c r="SQN313" s="1956"/>
      <c r="SQO313" s="1956"/>
      <c r="SQP313" s="1956"/>
      <c r="SQQ313" s="1956"/>
      <c r="SQR313" s="1956"/>
      <c r="SQS313" s="1956"/>
      <c r="SQT313" s="1956"/>
      <c r="SQU313" s="1956"/>
      <c r="SQV313" s="1956"/>
      <c r="SQW313" s="1956"/>
      <c r="SQX313" s="1956"/>
      <c r="SQY313" s="1956"/>
      <c r="SQZ313" s="1956"/>
      <c r="SRA313" s="1956"/>
      <c r="SRB313" s="1956"/>
      <c r="SRC313" s="1956"/>
      <c r="SRD313" s="1956"/>
      <c r="SRE313" s="1956"/>
      <c r="SRF313" s="1956"/>
      <c r="SRG313" s="1956"/>
      <c r="SRH313" s="1956"/>
      <c r="SRI313" s="1956"/>
      <c r="SRJ313" s="1956"/>
      <c r="SRK313" s="1956"/>
      <c r="SRL313" s="1956"/>
      <c r="SRM313" s="1956"/>
      <c r="SRN313" s="1956"/>
      <c r="SRO313" s="1956"/>
      <c r="SRP313" s="1956"/>
      <c r="SRQ313" s="1956"/>
      <c r="SRR313" s="1956"/>
      <c r="SRS313" s="1956"/>
      <c r="SRT313" s="1956"/>
      <c r="SRU313" s="1956"/>
      <c r="SRV313" s="1956"/>
      <c r="SRW313" s="1956"/>
      <c r="SRX313" s="1956"/>
      <c r="SRY313" s="1956"/>
      <c r="SRZ313" s="1956"/>
      <c r="SSA313" s="1956"/>
      <c r="SSB313" s="1956"/>
      <c r="SSC313" s="1956"/>
      <c r="SSD313" s="1956"/>
      <c r="SSE313" s="1956"/>
      <c r="SSF313" s="1956"/>
      <c r="SSG313" s="1956"/>
      <c r="SSH313" s="1956"/>
      <c r="SSI313" s="1956"/>
      <c r="SSJ313" s="1956"/>
      <c r="SSK313" s="1956"/>
      <c r="SSL313" s="1956"/>
      <c r="SSM313" s="1956"/>
      <c r="SSN313" s="1956"/>
      <c r="SSO313" s="1956"/>
      <c r="SSP313" s="1956"/>
      <c r="SSQ313" s="1956"/>
      <c r="SSR313" s="1956"/>
      <c r="SSS313" s="1956"/>
      <c r="SST313" s="1956"/>
      <c r="SSU313" s="1956"/>
      <c r="SSV313" s="1956"/>
      <c r="SSW313" s="1956"/>
      <c r="SSX313" s="1956"/>
      <c r="SSY313" s="1956"/>
      <c r="SSZ313" s="1956"/>
      <c r="STA313" s="1956"/>
      <c r="STB313" s="1956"/>
      <c r="STC313" s="1956"/>
      <c r="STD313" s="1956"/>
      <c r="STE313" s="1956"/>
      <c r="STF313" s="1956"/>
      <c r="STG313" s="1956"/>
      <c r="STH313" s="1956"/>
      <c r="STI313" s="1956"/>
      <c r="STJ313" s="1956"/>
      <c r="STK313" s="1956"/>
      <c r="STL313" s="1956"/>
      <c r="STM313" s="1956"/>
      <c r="STN313" s="1956"/>
      <c r="STO313" s="1956"/>
      <c r="STP313" s="1956"/>
      <c r="STQ313" s="1956"/>
      <c r="STR313" s="1956"/>
      <c r="STS313" s="1956"/>
      <c r="STT313" s="1956"/>
      <c r="STU313" s="1956"/>
      <c r="STV313" s="1956"/>
      <c r="STW313" s="1956"/>
      <c r="STX313" s="1956"/>
      <c r="STY313" s="1956"/>
      <c r="STZ313" s="1956"/>
      <c r="SUA313" s="1956"/>
      <c r="SUB313" s="1956"/>
      <c r="SUC313" s="1956"/>
      <c r="SUD313" s="1956"/>
      <c r="SUE313" s="1956"/>
      <c r="SUF313" s="1956"/>
      <c r="SUG313" s="1956"/>
      <c r="SUH313" s="1956"/>
      <c r="SUI313" s="1956"/>
      <c r="SUJ313" s="1956"/>
      <c r="SUK313" s="1956"/>
      <c r="SUL313" s="1956"/>
      <c r="SUM313" s="1956"/>
      <c r="SUN313" s="1956"/>
      <c r="SUO313" s="1956"/>
      <c r="SUP313" s="1956"/>
      <c r="SUQ313" s="1956"/>
      <c r="SUR313" s="1956"/>
      <c r="SUS313" s="1956"/>
      <c r="SUT313" s="1956"/>
      <c r="SUU313" s="1956"/>
      <c r="SUV313" s="1956"/>
      <c r="SUW313" s="1956"/>
      <c r="SUX313" s="1956"/>
      <c r="SUY313" s="1956"/>
      <c r="SUZ313" s="1956"/>
      <c r="SVA313" s="1956"/>
      <c r="SVB313" s="1956"/>
      <c r="SVC313" s="1956"/>
      <c r="SVD313" s="1956"/>
      <c r="SVE313" s="1956"/>
      <c r="SVF313" s="1956"/>
      <c r="SVG313" s="1956"/>
      <c r="SVH313" s="1956"/>
      <c r="SVI313" s="1956"/>
      <c r="SVJ313" s="1956"/>
      <c r="SVK313" s="1956"/>
      <c r="SVL313" s="1956"/>
      <c r="SVM313" s="1956"/>
      <c r="SVN313" s="1956"/>
      <c r="SVO313" s="1956"/>
      <c r="SVP313" s="1956"/>
      <c r="SVQ313" s="1956"/>
      <c r="SVR313" s="1956"/>
      <c r="SVS313" s="1956"/>
      <c r="SVT313" s="1956"/>
      <c r="SVU313" s="1956"/>
      <c r="SVV313" s="1956"/>
      <c r="SVW313" s="1956"/>
      <c r="SVX313" s="1956"/>
      <c r="SVY313" s="1956"/>
      <c r="SVZ313" s="1956"/>
      <c r="SWA313" s="1956"/>
      <c r="SWB313" s="1956"/>
      <c r="SWC313" s="1956"/>
      <c r="SWD313" s="1956"/>
      <c r="SWE313" s="1956"/>
      <c r="SWF313" s="1956"/>
      <c r="SWG313" s="1956"/>
      <c r="SWH313" s="1956"/>
      <c r="SWI313" s="1956"/>
      <c r="SWJ313" s="1956"/>
      <c r="SWK313" s="1956"/>
      <c r="SWL313" s="1956"/>
      <c r="SWM313" s="1956"/>
      <c r="SWN313" s="1956"/>
      <c r="SWO313" s="1956"/>
      <c r="SWP313" s="1956"/>
      <c r="SWQ313" s="1956"/>
      <c r="SWR313" s="1956"/>
      <c r="SWS313" s="1956"/>
      <c r="SWT313" s="1956"/>
      <c r="SWU313" s="1956"/>
      <c r="SWV313" s="1956"/>
      <c r="SWW313" s="1956"/>
      <c r="SWX313" s="1956"/>
      <c r="SWY313" s="1956"/>
      <c r="SWZ313" s="1956"/>
      <c r="SXA313" s="1956"/>
      <c r="SXB313" s="1956"/>
      <c r="SXC313" s="1956"/>
      <c r="SXD313" s="1956"/>
      <c r="SXE313" s="1956"/>
      <c r="SXF313" s="1956"/>
      <c r="SXG313" s="1956"/>
      <c r="SXH313" s="1956"/>
      <c r="SXI313" s="1956"/>
      <c r="SXJ313" s="1956"/>
      <c r="SXK313" s="1956"/>
      <c r="SXL313" s="1956"/>
      <c r="SXM313" s="1956"/>
      <c r="SXN313" s="1956"/>
      <c r="SXO313" s="1956"/>
      <c r="SXP313" s="1956"/>
      <c r="SXQ313" s="1956"/>
      <c r="SXR313" s="1956"/>
      <c r="SXS313" s="1956"/>
      <c r="SXT313" s="1956"/>
      <c r="SXU313" s="1956"/>
      <c r="SXV313" s="1956"/>
      <c r="SXW313" s="1956"/>
      <c r="SXX313" s="1956"/>
      <c r="SXY313" s="1956"/>
      <c r="SXZ313" s="1956"/>
      <c r="SYA313" s="1956"/>
      <c r="SYB313" s="1956"/>
      <c r="SYC313" s="1956"/>
      <c r="SYD313" s="1956"/>
      <c r="SYE313" s="1956"/>
      <c r="SYF313" s="1956"/>
      <c r="SYG313" s="1956"/>
      <c r="SYH313" s="1956"/>
      <c r="SYI313" s="1956"/>
      <c r="SYJ313" s="1956"/>
      <c r="SYK313" s="1956"/>
      <c r="SYL313" s="1956"/>
      <c r="SYM313" s="1956"/>
      <c r="SYN313" s="1956"/>
      <c r="SYO313" s="1956"/>
      <c r="SYP313" s="1956"/>
      <c r="SYQ313" s="1956"/>
      <c r="SYR313" s="1956"/>
      <c r="SYS313" s="1956"/>
      <c r="SYT313" s="1956"/>
      <c r="SYU313" s="1956"/>
      <c r="SYV313" s="1956"/>
      <c r="SYW313" s="1956"/>
      <c r="SYX313" s="1956"/>
      <c r="SYY313" s="1956"/>
      <c r="SYZ313" s="1956"/>
      <c r="SZA313" s="1956"/>
      <c r="SZB313" s="1956"/>
      <c r="SZC313" s="1956"/>
      <c r="SZD313" s="1956"/>
      <c r="SZE313" s="1956"/>
      <c r="SZF313" s="1956"/>
      <c r="SZG313" s="1956"/>
      <c r="SZH313" s="1956"/>
      <c r="SZI313" s="1956"/>
      <c r="SZJ313" s="1956"/>
      <c r="SZK313" s="1956"/>
      <c r="SZL313" s="1956"/>
      <c r="SZM313" s="1956"/>
      <c r="SZN313" s="1956"/>
      <c r="SZO313" s="1956"/>
      <c r="SZP313" s="1956"/>
      <c r="SZQ313" s="1956"/>
      <c r="SZR313" s="1956"/>
      <c r="SZS313" s="1956"/>
      <c r="SZT313" s="1956"/>
      <c r="SZU313" s="1956"/>
      <c r="SZV313" s="1956"/>
      <c r="SZW313" s="1956"/>
      <c r="SZX313" s="1956"/>
      <c r="SZY313" s="1956"/>
      <c r="SZZ313" s="1956"/>
      <c r="TAA313" s="1956"/>
      <c r="TAB313" s="1956"/>
      <c r="TAC313" s="1956"/>
      <c r="TAD313" s="1956"/>
      <c r="TAE313" s="1956"/>
      <c r="TAF313" s="1956"/>
      <c r="TAG313" s="1956"/>
      <c r="TAH313" s="1956"/>
      <c r="TAI313" s="1956"/>
      <c r="TAJ313" s="1956"/>
      <c r="TAK313" s="1956"/>
      <c r="TAL313" s="1956"/>
      <c r="TAM313" s="1956"/>
      <c r="TAN313" s="1956"/>
      <c r="TAO313" s="1956"/>
      <c r="TAP313" s="1956"/>
      <c r="TAQ313" s="1956"/>
      <c r="TAR313" s="1956"/>
      <c r="TAS313" s="1956"/>
      <c r="TAT313" s="1956"/>
      <c r="TAU313" s="1956"/>
      <c r="TAV313" s="1956"/>
      <c r="TAW313" s="1956"/>
      <c r="TAX313" s="1956"/>
      <c r="TAY313" s="1956"/>
      <c r="TAZ313" s="1956"/>
      <c r="TBA313" s="1956"/>
      <c r="TBB313" s="1956"/>
      <c r="TBC313" s="1956"/>
      <c r="TBD313" s="1956"/>
      <c r="TBE313" s="1956"/>
      <c r="TBF313" s="1956"/>
      <c r="TBG313" s="1956"/>
      <c r="TBH313" s="1956"/>
      <c r="TBI313" s="1956"/>
      <c r="TBJ313" s="1956"/>
      <c r="TBK313" s="1956"/>
      <c r="TBL313" s="1956"/>
      <c r="TBM313" s="1956"/>
      <c r="TBN313" s="1956"/>
      <c r="TBO313" s="1956"/>
      <c r="TBP313" s="1956"/>
      <c r="TBQ313" s="1956"/>
      <c r="TBR313" s="1956"/>
      <c r="TBS313" s="1956"/>
      <c r="TBT313" s="1956"/>
      <c r="TBU313" s="1956"/>
      <c r="TBV313" s="1956"/>
      <c r="TBW313" s="1956"/>
      <c r="TBX313" s="1956"/>
      <c r="TBY313" s="1956"/>
      <c r="TBZ313" s="1956"/>
      <c r="TCA313" s="1956"/>
      <c r="TCB313" s="1956"/>
      <c r="TCC313" s="1956"/>
      <c r="TCD313" s="1956"/>
      <c r="TCE313" s="1956"/>
      <c r="TCF313" s="1956"/>
      <c r="TCG313" s="1956"/>
      <c r="TCH313" s="1956"/>
      <c r="TCI313" s="1956"/>
      <c r="TCJ313" s="1956"/>
      <c r="TCK313" s="1956"/>
      <c r="TCL313" s="1956"/>
      <c r="TCM313" s="1956"/>
      <c r="TCN313" s="1956"/>
      <c r="TCO313" s="1956"/>
      <c r="TCP313" s="1956"/>
      <c r="TCQ313" s="1956"/>
      <c r="TCR313" s="1956"/>
      <c r="TCS313" s="1956"/>
      <c r="TCT313" s="1956"/>
      <c r="TCU313" s="1956"/>
      <c r="TCV313" s="1956"/>
      <c r="TCW313" s="1956"/>
      <c r="TCX313" s="1956"/>
      <c r="TCY313" s="1956"/>
      <c r="TCZ313" s="1956"/>
      <c r="TDA313" s="1956"/>
      <c r="TDB313" s="1956"/>
      <c r="TDC313" s="1956"/>
      <c r="TDD313" s="1956"/>
      <c r="TDE313" s="1956"/>
      <c r="TDF313" s="1956"/>
      <c r="TDG313" s="1956"/>
      <c r="TDH313" s="1956"/>
      <c r="TDI313" s="1956"/>
      <c r="TDJ313" s="1956"/>
      <c r="TDK313" s="1956"/>
      <c r="TDL313" s="1956"/>
      <c r="TDM313" s="1956"/>
      <c r="TDN313" s="1956"/>
      <c r="TDO313" s="1956"/>
      <c r="TDP313" s="1956"/>
      <c r="TDQ313" s="1956"/>
      <c r="TDR313" s="1956"/>
      <c r="TDS313" s="1956"/>
      <c r="TDT313" s="1956"/>
      <c r="TDU313" s="1956"/>
      <c r="TDV313" s="1956"/>
      <c r="TDW313" s="1956"/>
      <c r="TDX313" s="1956"/>
      <c r="TDY313" s="1956"/>
      <c r="TDZ313" s="1956"/>
      <c r="TEA313" s="1956"/>
      <c r="TEB313" s="1956"/>
      <c r="TEC313" s="1956"/>
      <c r="TED313" s="1956"/>
      <c r="TEE313" s="1956"/>
      <c r="TEF313" s="1956"/>
      <c r="TEG313" s="1956"/>
      <c r="TEH313" s="1956"/>
      <c r="TEI313" s="1956"/>
      <c r="TEJ313" s="1956"/>
      <c r="TEK313" s="1956"/>
      <c r="TEL313" s="1956"/>
      <c r="TEM313" s="1956"/>
      <c r="TEN313" s="1956"/>
      <c r="TEO313" s="1956"/>
      <c r="TEP313" s="1956"/>
      <c r="TEQ313" s="1956"/>
      <c r="TER313" s="1956"/>
      <c r="TES313" s="1956"/>
      <c r="TET313" s="1956"/>
      <c r="TEU313" s="1956"/>
      <c r="TEV313" s="1956"/>
      <c r="TEW313" s="1956"/>
      <c r="TEX313" s="1956"/>
      <c r="TEY313" s="1956"/>
      <c r="TEZ313" s="1956"/>
      <c r="TFA313" s="1956"/>
      <c r="TFB313" s="1956"/>
      <c r="TFC313" s="1956"/>
      <c r="TFD313" s="1956"/>
      <c r="TFE313" s="1956"/>
      <c r="TFF313" s="1956"/>
      <c r="TFG313" s="1956"/>
      <c r="TFH313" s="1956"/>
      <c r="TFI313" s="1956"/>
      <c r="TFJ313" s="1956"/>
      <c r="TFK313" s="1956"/>
      <c r="TFL313" s="1956"/>
      <c r="TFM313" s="1956"/>
      <c r="TFN313" s="1956"/>
      <c r="TFO313" s="1956"/>
      <c r="TFP313" s="1956"/>
      <c r="TFQ313" s="1956"/>
      <c r="TFR313" s="1956"/>
      <c r="TFS313" s="1956"/>
      <c r="TFT313" s="1956"/>
      <c r="TFU313" s="1956"/>
      <c r="TFV313" s="1956"/>
      <c r="TFW313" s="1956"/>
      <c r="TFX313" s="1956"/>
      <c r="TFY313" s="1956"/>
      <c r="TFZ313" s="1956"/>
      <c r="TGA313" s="1956"/>
      <c r="TGB313" s="1956"/>
      <c r="TGC313" s="1956"/>
      <c r="TGD313" s="1956"/>
      <c r="TGE313" s="1956"/>
      <c r="TGF313" s="1956"/>
      <c r="TGG313" s="1956"/>
      <c r="TGH313" s="1956"/>
      <c r="TGI313" s="1956"/>
      <c r="TGJ313" s="1956"/>
      <c r="TGK313" s="1956"/>
      <c r="TGL313" s="1956"/>
      <c r="TGM313" s="1956"/>
      <c r="TGN313" s="1956"/>
      <c r="TGO313" s="1956"/>
      <c r="TGP313" s="1956"/>
      <c r="TGQ313" s="1956"/>
      <c r="TGR313" s="1956"/>
      <c r="TGS313" s="1956"/>
      <c r="TGT313" s="1956"/>
      <c r="TGU313" s="1956"/>
      <c r="TGV313" s="1956"/>
      <c r="TGW313" s="1956"/>
      <c r="TGX313" s="1956"/>
      <c r="TGY313" s="1956"/>
      <c r="TGZ313" s="1956"/>
      <c r="THA313" s="1956"/>
      <c r="THB313" s="1956"/>
      <c r="THC313" s="1956"/>
      <c r="THD313" s="1956"/>
      <c r="THE313" s="1956"/>
      <c r="THF313" s="1956"/>
      <c r="THG313" s="1956"/>
      <c r="THH313" s="1956"/>
      <c r="THI313" s="1956"/>
      <c r="THJ313" s="1956"/>
      <c r="THK313" s="1956"/>
      <c r="THL313" s="1956"/>
      <c r="THM313" s="1956"/>
      <c r="THN313" s="1956"/>
      <c r="THO313" s="1956"/>
      <c r="THP313" s="1956"/>
      <c r="THQ313" s="1956"/>
      <c r="THR313" s="1956"/>
      <c r="THS313" s="1956"/>
      <c r="THT313" s="1956"/>
      <c r="THU313" s="1956"/>
      <c r="THV313" s="1956"/>
      <c r="THW313" s="1956"/>
      <c r="THX313" s="1956"/>
      <c r="THY313" s="1956"/>
      <c r="THZ313" s="1956"/>
      <c r="TIA313" s="1956"/>
      <c r="TIB313" s="1956"/>
      <c r="TIC313" s="1956"/>
      <c r="TID313" s="1956"/>
      <c r="TIE313" s="1956"/>
      <c r="TIF313" s="1956"/>
      <c r="TIG313" s="1956"/>
      <c r="TIH313" s="1956"/>
      <c r="TII313" s="1956"/>
      <c r="TIJ313" s="1956"/>
      <c r="TIK313" s="1956"/>
      <c r="TIL313" s="1956"/>
      <c r="TIM313" s="1956"/>
      <c r="TIN313" s="1956"/>
      <c r="TIO313" s="1956"/>
      <c r="TIP313" s="1956"/>
      <c r="TIQ313" s="1956"/>
      <c r="TIR313" s="1956"/>
      <c r="TIS313" s="1956"/>
      <c r="TIT313" s="1956"/>
      <c r="TIU313" s="1956"/>
      <c r="TIV313" s="1956"/>
      <c r="TIW313" s="1956"/>
      <c r="TIX313" s="1956"/>
      <c r="TIY313" s="1956"/>
      <c r="TIZ313" s="1956"/>
      <c r="TJA313" s="1956"/>
      <c r="TJB313" s="1956"/>
      <c r="TJC313" s="1956"/>
      <c r="TJD313" s="1956"/>
      <c r="TJE313" s="1956"/>
      <c r="TJF313" s="1956"/>
      <c r="TJG313" s="1956"/>
      <c r="TJH313" s="1956"/>
      <c r="TJI313" s="1956"/>
      <c r="TJJ313" s="1956"/>
      <c r="TJK313" s="1956"/>
      <c r="TJL313" s="1956"/>
      <c r="TJM313" s="1956"/>
      <c r="TJN313" s="1956"/>
      <c r="TJO313" s="1956"/>
      <c r="TJP313" s="1956"/>
      <c r="TJQ313" s="1956"/>
      <c r="TJR313" s="1956"/>
      <c r="TJS313" s="1956"/>
      <c r="TJT313" s="1956"/>
      <c r="TJU313" s="1956"/>
      <c r="TJV313" s="1956"/>
      <c r="TJW313" s="1956"/>
      <c r="TJX313" s="1956"/>
      <c r="TJY313" s="1956"/>
      <c r="TJZ313" s="1956"/>
      <c r="TKA313" s="1956"/>
      <c r="TKB313" s="1956"/>
      <c r="TKC313" s="1956"/>
      <c r="TKD313" s="1956"/>
      <c r="TKE313" s="1956"/>
      <c r="TKF313" s="1956"/>
      <c r="TKG313" s="1956"/>
      <c r="TKH313" s="1956"/>
      <c r="TKI313" s="1956"/>
      <c r="TKJ313" s="1956"/>
      <c r="TKK313" s="1956"/>
      <c r="TKL313" s="1956"/>
      <c r="TKM313" s="1956"/>
      <c r="TKN313" s="1956"/>
      <c r="TKO313" s="1956"/>
      <c r="TKP313" s="1956"/>
      <c r="TKQ313" s="1956"/>
      <c r="TKR313" s="1956"/>
      <c r="TKS313" s="1956"/>
      <c r="TKT313" s="1956"/>
      <c r="TKU313" s="1956"/>
      <c r="TKV313" s="1956"/>
      <c r="TKW313" s="1956"/>
      <c r="TKX313" s="1956"/>
      <c r="TKY313" s="1956"/>
      <c r="TKZ313" s="1956"/>
      <c r="TLA313" s="1956"/>
      <c r="TLB313" s="1956"/>
      <c r="TLC313" s="1956"/>
      <c r="TLD313" s="1956"/>
      <c r="TLE313" s="1956"/>
      <c r="TLF313" s="1956"/>
      <c r="TLG313" s="1956"/>
      <c r="TLH313" s="1956"/>
      <c r="TLI313" s="1956"/>
      <c r="TLJ313" s="1956"/>
      <c r="TLK313" s="1956"/>
      <c r="TLL313" s="1956"/>
      <c r="TLM313" s="1956"/>
      <c r="TLN313" s="1956"/>
      <c r="TLO313" s="1956"/>
      <c r="TLP313" s="1956"/>
      <c r="TLQ313" s="1956"/>
      <c r="TLR313" s="1956"/>
      <c r="TLS313" s="1956"/>
      <c r="TLT313" s="1956"/>
      <c r="TLU313" s="1956"/>
      <c r="TLV313" s="1956"/>
      <c r="TLW313" s="1956"/>
      <c r="TLX313" s="1956"/>
      <c r="TLY313" s="1956"/>
      <c r="TLZ313" s="1956"/>
      <c r="TMA313" s="1956"/>
      <c r="TMB313" s="1956"/>
      <c r="TMC313" s="1956"/>
      <c r="TMD313" s="1956"/>
      <c r="TME313" s="1956"/>
      <c r="TMF313" s="1956"/>
      <c r="TMG313" s="1956"/>
      <c r="TMH313" s="1956"/>
      <c r="TMI313" s="1956"/>
      <c r="TMJ313" s="1956"/>
      <c r="TMK313" s="1956"/>
      <c r="TML313" s="1956"/>
      <c r="TMM313" s="1956"/>
      <c r="TMN313" s="1956"/>
      <c r="TMO313" s="1956"/>
      <c r="TMP313" s="1956"/>
      <c r="TMQ313" s="1956"/>
      <c r="TMR313" s="1956"/>
      <c r="TMS313" s="1956"/>
      <c r="TMT313" s="1956"/>
      <c r="TMU313" s="1956"/>
      <c r="TMV313" s="1956"/>
      <c r="TMW313" s="1956"/>
      <c r="TMX313" s="1956"/>
      <c r="TMY313" s="1956"/>
      <c r="TMZ313" s="1956"/>
      <c r="TNA313" s="1956"/>
      <c r="TNB313" s="1956"/>
      <c r="TNC313" s="1956"/>
      <c r="TND313" s="1956"/>
      <c r="TNE313" s="1956"/>
      <c r="TNF313" s="1956"/>
      <c r="TNG313" s="1956"/>
      <c r="TNH313" s="1956"/>
      <c r="TNI313" s="1956"/>
      <c r="TNJ313" s="1956"/>
      <c r="TNK313" s="1956"/>
      <c r="TNL313" s="1956"/>
      <c r="TNM313" s="1956"/>
      <c r="TNN313" s="1956"/>
      <c r="TNO313" s="1956"/>
      <c r="TNP313" s="1956"/>
      <c r="TNQ313" s="1956"/>
      <c r="TNR313" s="1956"/>
      <c r="TNS313" s="1956"/>
      <c r="TNT313" s="1956"/>
      <c r="TNU313" s="1956"/>
      <c r="TNV313" s="1956"/>
      <c r="TNW313" s="1956"/>
      <c r="TNX313" s="1956"/>
      <c r="TNY313" s="1956"/>
      <c r="TNZ313" s="1956"/>
      <c r="TOA313" s="1956"/>
      <c r="TOB313" s="1956"/>
      <c r="TOC313" s="1956"/>
      <c r="TOD313" s="1956"/>
      <c r="TOE313" s="1956"/>
      <c r="TOF313" s="1956"/>
      <c r="TOG313" s="1956"/>
      <c r="TOH313" s="1956"/>
      <c r="TOI313" s="1956"/>
      <c r="TOJ313" s="1956"/>
      <c r="TOK313" s="1956"/>
      <c r="TOL313" s="1956"/>
      <c r="TOM313" s="1956"/>
      <c r="TON313" s="1956"/>
      <c r="TOO313" s="1956"/>
      <c r="TOP313" s="1956"/>
      <c r="TOQ313" s="1956"/>
      <c r="TOR313" s="1956"/>
      <c r="TOS313" s="1956"/>
      <c r="TOT313" s="1956"/>
      <c r="TOU313" s="1956"/>
      <c r="TOV313" s="1956"/>
      <c r="TOW313" s="1956"/>
      <c r="TOX313" s="1956"/>
      <c r="TOY313" s="1956"/>
      <c r="TOZ313" s="1956"/>
      <c r="TPA313" s="1956"/>
      <c r="TPB313" s="1956"/>
      <c r="TPC313" s="1956"/>
      <c r="TPD313" s="1956"/>
      <c r="TPE313" s="1956"/>
      <c r="TPF313" s="1956"/>
      <c r="TPG313" s="1956"/>
      <c r="TPH313" s="1956"/>
      <c r="TPI313" s="1956"/>
      <c r="TPJ313" s="1956"/>
      <c r="TPK313" s="1956"/>
      <c r="TPL313" s="1956"/>
      <c r="TPM313" s="1956"/>
      <c r="TPN313" s="1956"/>
      <c r="TPO313" s="1956"/>
      <c r="TPP313" s="1956"/>
      <c r="TPQ313" s="1956"/>
      <c r="TPR313" s="1956"/>
      <c r="TPS313" s="1956"/>
      <c r="TPT313" s="1956"/>
      <c r="TPU313" s="1956"/>
      <c r="TPV313" s="1956"/>
      <c r="TPW313" s="1956"/>
      <c r="TPX313" s="1956"/>
      <c r="TPY313" s="1956"/>
      <c r="TPZ313" s="1956"/>
      <c r="TQA313" s="1956"/>
      <c r="TQB313" s="1956"/>
      <c r="TQC313" s="1956"/>
      <c r="TQD313" s="1956"/>
      <c r="TQE313" s="1956"/>
      <c r="TQF313" s="1956"/>
      <c r="TQG313" s="1956"/>
      <c r="TQH313" s="1956"/>
      <c r="TQI313" s="1956"/>
      <c r="TQJ313" s="1956"/>
      <c r="TQK313" s="1956"/>
      <c r="TQL313" s="1956"/>
      <c r="TQM313" s="1956"/>
      <c r="TQN313" s="1956"/>
      <c r="TQO313" s="1956"/>
      <c r="TQP313" s="1956"/>
      <c r="TQQ313" s="1956"/>
      <c r="TQR313" s="1956"/>
      <c r="TQS313" s="1956"/>
      <c r="TQT313" s="1956"/>
      <c r="TQU313" s="1956"/>
      <c r="TQV313" s="1956"/>
      <c r="TQW313" s="1956"/>
      <c r="TQX313" s="1956"/>
      <c r="TQY313" s="1956"/>
      <c r="TQZ313" s="1956"/>
      <c r="TRA313" s="1956"/>
      <c r="TRB313" s="1956"/>
      <c r="TRC313" s="1956"/>
      <c r="TRD313" s="1956"/>
      <c r="TRE313" s="1956"/>
      <c r="TRF313" s="1956"/>
      <c r="TRG313" s="1956"/>
      <c r="TRH313" s="1956"/>
      <c r="TRI313" s="1956"/>
      <c r="TRJ313" s="1956"/>
      <c r="TRK313" s="1956"/>
      <c r="TRL313" s="1956"/>
      <c r="TRM313" s="1956"/>
      <c r="TRN313" s="1956"/>
      <c r="TRO313" s="1956"/>
      <c r="TRP313" s="1956"/>
      <c r="TRQ313" s="1956"/>
      <c r="TRR313" s="1956"/>
      <c r="TRS313" s="1956"/>
      <c r="TRT313" s="1956"/>
      <c r="TRU313" s="1956"/>
      <c r="TRV313" s="1956"/>
      <c r="TRW313" s="1956"/>
      <c r="TRX313" s="1956"/>
      <c r="TRY313" s="1956"/>
      <c r="TRZ313" s="1956"/>
      <c r="TSA313" s="1956"/>
      <c r="TSB313" s="1956"/>
      <c r="TSC313" s="1956"/>
      <c r="TSD313" s="1956"/>
      <c r="TSE313" s="1956"/>
      <c r="TSF313" s="1956"/>
      <c r="TSG313" s="1956"/>
      <c r="TSH313" s="1956"/>
      <c r="TSI313" s="1956"/>
      <c r="TSJ313" s="1956"/>
      <c r="TSK313" s="1956"/>
      <c r="TSL313" s="1956"/>
      <c r="TSM313" s="1956"/>
      <c r="TSN313" s="1956"/>
      <c r="TSO313" s="1956"/>
      <c r="TSP313" s="1956"/>
      <c r="TSQ313" s="1956"/>
      <c r="TSR313" s="1956"/>
      <c r="TSS313" s="1956"/>
      <c r="TST313" s="1956"/>
      <c r="TSU313" s="1956"/>
      <c r="TSV313" s="1956"/>
      <c r="TSW313" s="1956"/>
      <c r="TSX313" s="1956"/>
      <c r="TSY313" s="1956"/>
      <c r="TSZ313" s="1956"/>
      <c r="TTA313" s="1956"/>
      <c r="TTB313" s="1956"/>
      <c r="TTC313" s="1956"/>
      <c r="TTD313" s="1956"/>
      <c r="TTE313" s="1956"/>
      <c r="TTF313" s="1956"/>
      <c r="TTG313" s="1956"/>
      <c r="TTH313" s="1956"/>
      <c r="TTI313" s="1956"/>
      <c r="TTJ313" s="1956"/>
      <c r="TTK313" s="1956"/>
      <c r="TTL313" s="1956"/>
      <c r="TTM313" s="1956"/>
      <c r="TTN313" s="1956"/>
      <c r="TTO313" s="1956"/>
      <c r="TTP313" s="1956"/>
      <c r="TTQ313" s="1956"/>
      <c r="TTR313" s="1956"/>
      <c r="TTS313" s="1956"/>
      <c r="TTT313" s="1956"/>
      <c r="TTU313" s="1956"/>
      <c r="TTV313" s="1956"/>
      <c r="TTW313" s="1956"/>
      <c r="TTX313" s="1956"/>
      <c r="TTY313" s="1956"/>
      <c r="TTZ313" s="1956"/>
      <c r="TUA313" s="1956"/>
      <c r="TUB313" s="1956"/>
      <c r="TUC313" s="1956"/>
      <c r="TUD313" s="1956"/>
      <c r="TUE313" s="1956"/>
      <c r="TUF313" s="1956"/>
      <c r="TUG313" s="1956"/>
      <c r="TUH313" s="1956"/>
      <c r="TUI313" s="1956"/>
      <c r="TUJ313" s="1956"/>
      <c r="TUK313" s="1956"/>
      <c r="TUL313" s="1956"/>
      <c r="TUM313" s="1956"/>
      <c r="TUN313" s="1956"/>
      <c r="TUO313" s="1956"/>
      <c r="TUP313" s="1956"/>
      <c r="TUQ313" s="1956"/>
      <c r="TUR313" s="1956"/>
      <c r="TUS313" s="1956"/>
      <c r="TUT313" s="1956"/>
      <c r="TUU313" s="1956"/>
      <c r="TUV313" s="1956"/>
      <c r="TUW313" s="1956"/>
      <c r="TUX313" s="1956"/>
      <c r="TUY313" s="1956"/>
      <c r="TUZ313" s="1956"/>
      <c r="TVA313" s="1956"/>
      <c r="TVB313" s="1956"/>
      <c r="TVC313" s="1956"/>
      <c r="TVD313" s="1956"/>
      <c r="TVE313" s="1956"/>
      <c r="TVF313" s="1956"/>
      <c r="TVG313" s="1956"/>
      <c r="TVH313" s="1956"/>
      <c r="TVI313" s="1956"/>
      <c r="TVJ313" s="1956"/>
      <c r="TVK313" s="1956"/>
      <c r="TVL313" s="1956"/>
      <c r="TVM313" s="1956"/>
      <c r="TVN313" s="1956"/>
      <c r="TVO313" s="1956"/>
      <c r="TVP313" s="1956"/>
      <c r="TVQ313" s="1956"/>
      <c r="TVR313" s="1956"/>
      <c r="TVS313" s="1956"/>
      <c r="TVT313" s="1956"/>
      <c r="TVU313" s="1956"/>
      <c r="TVV313" s="1956"/>
      <c r="TVW313" s="1956"/>
      <c r="TVX313" s="1956"/>
      <c r="TVY313" s="1956"/>
      <c r="TVZ313" s="1956"/>
      <c r="TWA313" s="1956"/>
      <c r="TWB313" s="1956"/>
      <c r="TWC313" s="1956"/>
      <c r="TWD313" s="1956"/>
      <c r="TWE313" s="1956"/>
      <c r="TWF313" s="1956"/>
      <c r="TWG313" s="1956"/>
      <c r="TWH313" s="1956"/>
      <c r="TWI313" s="1956"/>
      <c r="TWJ313" s="1956"/>
      <c r="TWK313" s="1956"/>
      <c r="TWL313" s="1956"/>
      <c r="TWM313" s="1956"/>
      <c r="TWN313" s="1956"/>
      <c r="TWO313" s="1956"/>
      <c r="TWP313" s="1956"/>
      <c r="TWQ313" s="1956"/>
      <c r="TWR313" s="1956"/>
      <c r="TWS313" s="1956"/>
      <c r="TWT313" s="1956"/>
      <c r="TWU313" s="1956"/>
      <c r="TWV313" s="1956"/>
      <c r="TWW313" s="1956"/>
      <c r="TWX313" s="1956"/>
      <c r="TWY313" s="1956"/>
      <c r="TWZ313" s="1956"/>
      <c r="TXA313" s="1956"/>
      <c r="TXB313" s="1956"/>
      <c r="TXC313" s="1956"/>
      <c r="TXD313" s="1956"/>
      <c r="TXE313" s="1956"/>
      <c r="TXF313" s="1956"/>
      <c r="TXG313" s="1956"/>
      <c r="TXH313" s="1956"/>
      <c r="TXI313" s="1956"/>
      <c r="TXJ313" s="1956"/>
      <c r="TXK313" s="1956"/>
      <c r="TXL313" s="1956"/>
      <c r="TXM313" s="1956"/>
      <c r="TXN313" s="1956"/>
      <c r="TXO313" s="1956"/>
      <c r="TXP313" s="1956"/>
      <c r="TXQ313" s="1956"/>
      <c r="TXR313" s="1956"/>
      <c r="TXS313" s="1956"/>
      <c r="TXT313" s="1956"/>
      <c r="TXU313" s="1956"/>
      <c r="TXV313" s="1956"/>
      <c r="TXW313" s="1956"/>
      <c r="TXX313" s="1956"/>
      <c r="TXY313" s="1956"/>
      <c r="TXZ313" s="1956"/>
      <c r="TYA313" s="1956"/>
      <c r="TYB313" s="1956"/>
      <c r="TYC313" s="1956"/>
      <c r="TYD313" s="1956"/>
      <c r="TYE313" s="1956"/>
      <c r="TYF313" s="1956"/>
      <c r="TYG313" s="1956"/>
      <c r="TYH313" s="1956"/>
      <c r="TYI313" s="1956"/>
      <c r="TYJ313" s="1956"/>
      <c r="TYK313" s="1956"/>
      <c r="TYL313" s="1956"/>
      <c r="TYM313" s="1956"/>
      <c r="TYN313" s="1956"/>
      <c r="TYO313" s="1956"/>
      <c r="TYP313" s="1956"/>
      <c r="TYQ313" s="1956"/>
      <c r="TYR313" s="1956"/>
      <c r="TYS313" s="1956"/>
      <c r="TYT313" s="1956"/>
      <c r="TYU313" s="1956"/>
      <c r="TYV313" s="1956"/>
      <c r="TYW313" s="1956"/>
      <c r="TYX313" s="1956"/>
      <c r="TYY313" s="1956"/>
      <c r="TYZ313" s="1956"/>
      <c r="TZA313" s="1956"/>
      <c r="TZB313" s="1956"/>
      <c r="TZC313" s="1956"/>
      <c r="TZD313" s="1956"/>
      <c r="TZE313" s="1956"/>
      <c r="TZF313" s="1956"/>
      <c r="TZG313" s="1956"/>
      <c r="TZH313" s="1956"/>
      <c r="TZI313" s="1956"/>
      <c r="TZJ313" s="1956"/>
      <c r="TZK313" s="1956"/>
      <c r="TZL313" s="1956"/>
      <c r="TZM313" s="1956"/>
      <c r="TZN313" s="1956"/>
      <c r="TZO313" s="1956"/>
      <c r="TZP313" s="1956"/>
      <c r="TZQ313" s="1956"/>
      <c r="TZR313" s="1956"/>
      <c r="TZS313" s="1956"/>
      <c r="TZT313" s="1956"/>
      <c r="TZU313" s="1956"/>
      <c r="TZV313" s="1956"/>
      <c r="TZW313" s="1956"/>
      <c r="TZX313" s="1956"/>
      <c r="TZY313" s="1956"/>
      <c r="TZZ313" s="1956"/>
      <c r="UAA313" s="1956"/>
      <c r="UAB313" s="1956"/>
      <c r="UAC313" s="1956"/>
      <c r="UAD313" s="1956"/>
      <c r="UAE313" s="1956"/>
      <c r="UAF313" s="1956"/>
      <c r="UAG313" s="1956"/>
      <c r="UAH313" s="1956"/>
      <c r="UAI313" s="1956"/>
      <c r="UAJ313" s="1956"/>
      <c r="UAK313" s="1956"/>
      <c r="UAL313" s="1956"/>
      <c r="UAM313" s="1956"/>
      <c r="UAN313" s="1956"/>
      <c r="UAO313" s="1956"/>
      <c r="UAP313" s="1956"/>
      <c r="UAQ313" s="1956"/>
      <c r="UAR313" s="1956"/>
      <c r="UAS313" s="1956"/>
      <c r="UAT313" s="1956"/>
      <c r="UAU313" s="1956"/>
      <c r="UAV313" s="1956"/>
      <c r="UAW313" s="1956"/>
      <c r="UAX313" s="1956"/>
      <c r="UAY313" s="1956"/>
      <c r="UAZ313" s="1956"/>
      <c r="UBA313" s="1956"/>
      <c r="UBB313" s="1956"/>
      <c r="UBC313" s="1956"/>
      <c r="UBD313" s="1956"/>
      <c r="UBE313" s="1956"/>
      <c r="UBF313" s="1956"/>
      <c r="UBG313" s="1956"/>
      <c r="UBH313" s="1956"/>
      <c r="UBI313" s="1956"/>
      <c r="UBJ313" s="1956"/>
      <c r="UBK313" s="1956"/>
      <c r="UBL313" s="1956"/>
      <c r="UBM313" s="1956"/>
      <c r="UBN313" s="1956"/>
      <c r="UBO313" s="1956"/>
      <c r="UBP313" s="1956"/>
      <c r="UBQ313" s="1956"/>
      <c r="UBR313" s="1956"/>
      <c r="UBS313" s="1956"/>
      <c r="UBT313" s="1956"/>
      <c r="UBU313" s="1956"/>
      <c r="UBV313" s="1956"/>
      <c r="UBW313" s="1956"/>
      <c r="UBX313" s="1956"/>
      <c r="UBY313" s="1956"/>
      <c r="UBZ313" s="1956"/>
      <c r="UCA313" s="1956"/>
      <c r="UCB313" s="1956"/>
      <c r="UCC313" s="1956"/>
      <c r="UCD313" s="1956"/>
      <c r="UCE313" s="1956"/>
      <c r="UCF313" s="1956"/>
      <c r="UCG313" s="1956"/>
      <c r="UCH313" s="1956"/>
      <c r="UCI313" s="1956"/>
      <c r="UCJ313" s="1956"/>
      <c r="UCK313" s="1956"/>
      <c r="UCL313" s="1956"/>
      <c r="UCM313" s="1956"/>
      <c r="UCN313" s="1956"/>
      <c r="UCO313" s="1956"/>
      <c r="UCP313" s="1956"/>
      <c r="UCQ313" s="1956"/>
      <c r="UCR313" s="1956"/>
      <c r="UCS313" s="1956"/>
      <c r="UCT313" s="1956"/>
      <c r="UCU313" s="1956"/>
      <c r="UCV313" s="1956"/>
      <c r="UCW313" s="1956"/>
      <c r="UCX313" s="1956"/>
      <c r="UCY313" s="1956"/>
      <c r="UCZ313" s="1956"/>
      <c r="UDA313" s="1956"/>
      <c r="UDB313" s="1956"/>
      <c r="UDC313" s="1956"/>
      <c r="UDD313" s="1956"/>
      <c r="UDE313" s="1956"/>
      <c r="UDF313" s="1956"/>
      <c r="UDG313" s="1956"/>
      <c r="UDH313" s="1956"/>
      <c r="UDI313" s="1956"/>
      <c r="UDJ313" s="1956"/>
      <c r="UDK313" s="1956"/>
      <c r="UDL313" s="1956"/>
      <c r="UDM313" s="1956"/>
      <c r="UDN313" s="1956"/>
      <c r="UDO313" s="1956"/>
      <c r="UDP313" s="1956"/>
      <c r="UDQ313" s="1956"/>
      <c r="UDR313" s="1956"/>
      <c r="UDS313" s="1956"/>
      <c r="UDT313" s="1956"/>
      <c r="UDU313" s="1956"/>
      <c r="UDV313" s="1956"/>
      <c r="UDW313" s="1956"/>
      <c r="UDX313" s="1956"/>
      <c r="UDY313" s="1956"/>
      <c r="UDZ313" s="1956"/>
      <c r="UEA313" s="1956"/>
      <c r="UEB313" s="1956"/>
      <c r="UEC313" s="1956"/>
      <c r="UED313" s="1956"/>
      <c r="UEE313" s="1956"/>
      <c r="UEF313" s="1956"/>
      <c r="UEG313" s="1956"/>
      <c r="UEH313" s="1956"/>
      <c r="UEI313" s="1956"/>
      <c r="UEJ313" s="1956"/>
      <c r="UEK313" s="1956"/>
      <c r="UEL313" s="1956"/>
      <c r="UEM313" s="1956"/>
      <c r="UEN313" s="1956"/>
      <c r="UEO313" s="1956"/>
      <c r="UEP313" s="1956"/>
      <c r="UEQ313" s="1956"/>
      <c r="UER313" s="1956"/>
      <c r="UES313" s="1956"/>
      <c r="UET313" s="1956"/>
      <c r="UEU313" s="1956"/>
      <c r="UEV313" s="1956"/>
      <c r="UEW313" s="1956"/>
      <c r="UEX313" s="1956"/>
      <c r="UEY313" s="1956"/>
      <c r="UEZ313" s="1956"/>
      <c r="UFA313" s="1956"/>
      <c r="UFB313" s="1956"/>
      <c r="UFC313" s="1956"/>
      <c r="UFD313" s="1956"/>
      <c r="UFE313" s="1956"/>
      <c r="UFF313" s="1956"/>
      <c r="UFG313" s="1956"/>
      <c r="UFH313" s="1956"/>
      <c r="UFI313" s="1956"/>
      <c r="UFJ313" s="1956"/>
      <c r="UFK313" s="1956"/>
      <c r="UFL313" s="1956"/>
      <c r="UFM313" s="1956"/>
      <c r="UFN313" s="1956"/>
      <c r="UFO313" s="1956"/>
      <c r="UFP313" s="1956"/>
      <c r="UFQ313" s="1956"/>
      <c r="UFR313" s="1956"/>
      <c r="UFS313" s="1956"/>
      <c r="UFT313" s="1956"/>
      <c r="UFU313" s="1956"/>
      <c r="UFV313" s="1956"/>
      <c r="UFW313" s="1956"/>
      <c r="UFX313" s="1956"/>
      <c r="UFY313" s="1956"/>
      <c r="UFZ313" s="1956"/>
      <c r="UGA313" s="1956"/>
      <c r="UGB313" s="1956"/>
      <c r="UGC313" s="1956"/>
      <c r="UGD313" s="1956"/>
      <c r="UGE313" s="1956"/>
      <c r="UGF313" s="1956"/>
      <c r="UGG313" s="1956"/>
      <c r="UGH313" s="1956"/>
      <c r="UGI313" s="1956"/>
      <c r="UGJ313" s="1956"/>
      <c r="UGK313" s="1956"/>
      <c r="UGL313" s="1956"/>
      <c r="UGM313" s="1956"/>
      <c r="UGN313" s="1956"/>
      <c r="UGO313" s="1956"/>
      <c r="UGP313" s="1956"/>
      <c r="UGQ313" s="1956"/>
      <c r="UGR313" s="1956"/>
      <c r="UGS313" s="1956"/>
      <c r="UGT313" s="1956"/>
      <c r="UGU313" s="1956"/>
      <c r="UGV313" s="1956"/>
      <c r="UGW313" s="1956"/>
      <c r="UGX313" s="1956"/>
      <c r="UGY313" s="1956"/>
      <c r="UGZ313" s="1956"/>
      <c r="UHA313" s="1956"/>
      <c r="UHB313" s="1956"/>
      <c r="UHC313" s="1956"/>
      <c r="UHD313" s="1956"/>
      <c r="UHE313" s="1956"/>
      <c r="UHF313" s="1956"/>
      <c r="UHG313" s="1956"/>
      <c r="UHH313" s="1956"/>
      <c r="UHI313" s="1956"/>
      <c r="UHJ313" s="1956"/>
      <c r="UHK313" s="1956"/>
      <c r="UHL313" s="1956"/>
      <c r="UHM313" s="1956"/>
      <c r="UHN313" s="1956"/>
      <c r="UHO313" s="1956"/>
      <c r="UHP313" s="1956"/>
      <c r="UHQ313" s="1956"/>
      <c r="UHR313" s="1956"/>
      <c r="UHS313" s="1956"/>
      <c r="UHT313" s="1956"/>
      <c r="UHU313" s="1956"/>
      <c r="UHV313" s="1956"/>
      <c r="UHW313" s="1956"/>
      <c r="UHX313" s="1956"/>
      <c r="UHY313" s="1956"/>
      <c r="UHZ313" s="1956"/>
      <c r="UIA313" s="1956"/>
      <c r="UIB313" s="1956"/>
      <c r="UIC313" s="1956"/>
      <c r="UID313" s="1956"/>
      <c r="UIE313" s="1956"/>
      <c r="UIF313" s="1956"/>
      <c r="UIG313" s="1956"/>
      <c r="UIH313" s="1956"/>
      <c r="UII313" s="1956"/>
      <c r="UIJ313" s="1956"/>
      <c r="UIK313" s="1956"/>
      <c r="UIL313" s="1956"/>
      <c r="UIM313" s="1956"/>
      <c r="UIN313" s="1956"/>
      <c r="UIO313" s="1956"/>
      <c r="UIP313" s="1956"/>
      <c r="UIQ313" s="1956"/>
      <c r="UIR313" s="1956"/>
      <c r="UIS313" s="1956"/>
      <c r="UIT313" s="1956"/>
      <c r="UIU313" s="1956"/>
      <c r="UIV313" s="1956"/>
      <c r="UIW313" s="1956"/>
      <c r="UIX313" s="1956"/>
      <c r="UIY313" s="1956"/>
      <c r="UIZ313" s="1956"/>
      <c r="UJA313" s="1956"/>
      <c r="UJB313" s="1956"/>
      <c r="UJC313" s="1956"/>
      <c r="UJD313" s="1956"/>
      <c r="UJE313" s="1956"/>
      <c r="UJF313" s="1956"/>
      <c r="UJG313" s="1956"/>
      <c r="UJH313" s="1956"/>
      <c r="UJI313" s="1956"/>
      <c r="UJJ313" s="1956"/>
      <c r="UJK313" s="1956"/>
      <c r="UJL313" s="1956"/>
      <c r="UJM313" s="1956"/>
      <c r="UJN313" s="1956"/>
      <c r="UJO313" s="1956"/>
      <c r="UJP313" s="1956"/>
      <c r="UJQ313" s="1956"/>
      <c r="UJR313" s="1956"/>
      <c r="UJS313" s="1956"/>
      <c r="UJT313" s="1956"/>
      <c r="UJU313" s="1956"/>
      <c r="UJV313" s="1956"/>
      <c r="UJW313" s="1956"/>
      <c r="UJX313" s="1956"/>
      <c r="UJY313" s="1956"/>
      <c r="UJZ313" s="1956"/>
      <c r="UKA313" s="1956"/>
      <c r="UKB313" s="1956"/>
      <c r="UKC313" s="1956"/>
      <c r="UKD313" s="1956"/>
      <c r="UKE313" s="1956"/>
      <c r="UKF313" s="1956"/>
      <c r="UKG313" s="1956"/>
      <c r="UKH313" s="1956"/>
      <c r="UKI313" s="1956"/>
      <c r="UKJ313" s="1956"/>
      <c r="UKK313" s="1956"/>
      <c r="UKL313" s="1956"/>
      <c r="UKM313" s="1956"/>
      <c r="UKN313" s="1956"/>
      <c r="UKO313" s="1956"/>
      <c r="UKP313" s="1956"/>
      <c r="UKQ313" s="1956"/>
      <c r="UKR313" s="1956"/>
      <c r="UKS313" s="1956"/>
      <c r="UKT313" s="1956"/>
      <c r="UKU313" s="1956"/>
      <c r="UKV313" s="1956"/>
      <c r="UKW313" s="1956"/>
      <c r="UKX313" s="1956"/>
      <c r="UKY313" s="1956"/>
      <c r="UKZ313" s="1956"/>
      <c r="ULA313" s="1956"/>
      <c r="ULB313" s="1956"/>
      <c r="ULC313" s="1956"/>
      <c r="ULD313" s="1956"/>
      <c r="ULE313" s="1956"/>
      <c r="ULF313" s="1956"/>
      <c r="ULG313" s="1956"/>
      <c r="ULH313" s="1956"/>
      <c r="ULI313" s="1956"/>
      <c r="ULJ313" s="1956"/>
      <c r="ULK313" s="1956"/>
      <c r="ULL313" s="1956"/>
      <c r="ULM313" s="1956"/>
      <c r="ULN313" s="1956"/>
      <c r="ULO313" s="1956"/>
      <c r="ULP313" s="1956"/>
      <c r="ULQ313" s="1956"/>
      <c r="ULR313" s="1956"/>
      <c r="ULS313" s="1956"/>
      <c r="ULT313" s="1956"/>
      <c r="ULU313" s="1956"/>
      <c r="ULV313" s="1956"/>
      <c r="ULW313" s="1956"/>
      <c r="ULX313" s="1956"/>
      <c r="ULY313" s="1956"/>
      <c r="ULZ313" s="1956"/>
      <c r="UMA313" s="1956"/>
      <c r="UMB313" s="1956"/>
      <c r="UMC313" s="1956"/>
      <c r="UMD313" s="1956"/>
      <c r="UME313" s="1956"/>
      <c r="UMF313" s="1956"/>
      <c r="UMG313" s="1956"/>
      <c r="UMH313" s="1956"/>
      <c r="UMI313" s="1956"/>
      <c r="UMJ313" s="1956"/>
      <c r="UMK313" s="1956"/>
      <c r="UML313" s="1956"/>
      <c r="UMM313" s="1956"/>
      <c r="UMN313" s="1956"/>
      <c r="UMO313" s="1956"/>
      <c r="UMP313" s="1956"/>
      <c r="UMQ313" s="1956"/>
      <c r="UMR313" s="1956"/>
      <c r="UMS313" s="1956"/>
      <c r="UMT313" s="1956"/>
      <c r="UMU313" s="1956"/>
      <c r="UMV313" s="1956"/>
      <c r="UMW313" s="1956"/>
      <c r="UMX313" s="1956"/>
      <c r="UMY313" s="1956"/>
      <c r="UMZ313" s="1956"/>
      <c r="UNA313" s="1956"/>
      <c r="UNB313" s="1956"/>
      <c r="UNC313" s="1956"/>
      <c r="UND313" s="1956"/>
      <c r="UNE313" s="1956"/>
      <c r="UNF313" s="1956"/>
      <c r="UNG313" s="1956"/>
      <c r="UNH313" s="1956"/>
      <c r="UNI313" s="1956"/>
      <c r="UNJ313" s="1956"/>
      <c r="UNK313" s="1956"/>
      <c r="UNL313" s="1956"/>
      <c r="UNM313" s="1956"/>
      <c r="UNN313" s="1956"/>
      <c r="UNO313" s="1956"/>
      <c r="UNP313" s="1956"/>
      <c r="UNQ313" s="1956"/>
      <c r="UNR313" s="1956"/>
      <c r="UNS313" s="1956"/>
      <c r="UNT313" s="1956"/>
      <c r="UNU313" s="1956"/>
      <c r="UNV313" s="1956"/>
      <c r="UNW313" s="1956"/>
      <c r="UNX313" s="1956"/>
      <c r="UNY313" s="1956"/>
      <c r="UNZ313" s="1956"/>
      <c r="UOA313" s="1956"/>
      <c r="UOB313" s="1956"/>
      <c r="UOC313" s="1956"/>
      <c r="UOD313" s="1956"/>
      <c r="UOE313" s="1956"/>
      <c r="UOF313" s="1956"/>
      <c r="UOG313" s="1956"/>
      <c r="UOH313" s="1956"/>
      <c r="UOI313" s="1956"/>
      <c r="UOJ313" s="1956"/>
      <c r="UOK313" s="1956"/>
      <c r="UOL313" s="1956"/>
      <c r="UOM313" s="1956"/>
      <c r="UON313" s="1956"/>
      <c r="UOO313" s="1956"/>
      <c r="UOP313" s="1956"/>
      <c r="UOQ313" s="1956"/>
      <c r="UOR313" s="1956"/>
      <c r="UOS313" s="1956"/>
      <c r="UOT313" s="1956"/>
      <c r="UOU313" s="1956"/>
      <c r="UOV313" s="1956"/>
      <c r="UOW313" s="1956"/>
      <c r="UOX313" s="1956"/>
      <c r="UOY313" s="1956"/>
      <c r="UOZ313" s="1956"/>
      <c r="UPA313" s="1956"/>
      <c r="UPB313" s="1956"/>
      <c r="UPC313" s="1956"/>
      <c r="UPD313" s="1956"/>
      <c r="UPE313" s="1956"/>
      <c r="UPF313" s="1956"/>
      <c r="UPG313" s="1956"/>
      <c r="UPH313" s="1956"/>
      <c r="UPI313" s="1956"/>
      <c r="UPJ313" s="1956"/>
      <c r="UPK313" s="1956"/>
      <c r="UPL313" s="1956"/>
      <c r="UPM313" s="1956"/>
      <c r="UPN313" s="1956"/>
      <c r="UPO313" s="1956"/>
      <c r="UPP313" s="1956"/>
      <c r="UPQ313" s="1956"/>
      <c r="UPR313" s="1956"/>
      <c r="UPS313" s="1956"/>
      <c r="UPT313" s="1956"/>
      <c r="UPU313" s="1956"/>
      <c r="UPV313" s="1956"/>
      <c r="UPW313" s="1956"/>
      <c r="UPX313" s="1956"/>
      <c r="UPY313" s="1956"/>
      <c r="UPZ313" s="1956"/>
      <c r="UQA313" s="1956"/>
      <c r="UQB313" s="1956"/>
      <c r="UQC313" s="1956"/>
      <c r="UQD313" s="1956"/>
      <c r="UQE313" s="1956"/>
      <c r="UQF313" s="1956"/>
      <c r="UQG313" s="1956"/>
      <c r="UQH313" s="1956"/>
      <c r="UQI313" s="1956"/>
      <c r="UQJ313" s="1956"/>
      <c r="UQK313" s="1956"/>
      <c r="UQL313" s="1956"/>
      <c r="UQM313" s="1956"/>
      <c r="UQN313" s="1956"/>
      <c r="UQO313" s="1956"/>
      <c r="UQP313" s="1956"/>
      <c r="UQQ313" s="1956"/>
      <c r="UQR313" s="1956"/>
      <c r="UQS313" s="1956"/>
      <c r="UQT313" s="1956"/>
      <c r="UQU313" s="1956"/>
      <c r="UQV313" s="1956"/>
      <c r="UQW313" s="1956"/>
      <c r="UQX313" s="1956"/>
      <c r="UQY313" s="1956"/>
      <c r="UQZ313" s="1956"/>
      <c r="URA313" s="1956"/>
      <c r="URB313" s="1956"/>
      <c r="URC313" s="1956"/>
      <c r="URD313" s="1956"/>
      <c r="URE313" s="1956"/>
      <c r="URF313" s="1956"/>
      <c r="URG313" s="1956"/>
      <c r="URH313" s="1956"/>
      <c r="URI313" s="1956"/>
      <c r="URJ313" s="1956"/>
      <c r="URK313" s="1956"/>
      <c r="URL313" s="1956"/>
      <c r="URM313" s="1956"/>
      <c r="URN313" s="1956"/>
      <c r="URO313" s="1956"/>
      <c r="URP313" s="1956"/>
      <c r="URQ313" s="1956"/>
      <c r="URR313" s="1956"/>
      <c r="URS313" s="1956"/>
      <c r="URT313" s="1956"/>
      <c r="URU313" s="1956"/>
      <c r="URV313" s="1956"/>
      <c r="URW313" s="1956"/>
      <c r="URX313" s="1956"/>
      <c r="URY313" s="1956"/>
      <c r="URZ313" s="1956"/>
      <c r="USA313" s="1956"/>
      <c r="USB313" s="1956"/>
      <c r="USC313" s="1956"/>
      <c r="USD313" s="1956"/>
      <c r="USE313" s="1956"/>
      <c r="USF313" s="1956"/>
      <c r="USG313" s="1956"/>
      <c r="USH313" s="1956"/>
      <c r="USI313" s="1956"/>
      <c r="USJ313" s="1956"/>
      <c r="USK313" s="1956"/>
      <c r="USL313" s="1956"/>
      <c r="USM313" s="1956"/>
      <c r="USN313" s="1956"/>
      <c r="USO313" s="1956"/>
      <c r="USP313" s="1956"/>
      <c r="USQ313" s="1956"/>
      <c r="USR313" s="1956"/>
      <c r="USS313" s="1956"/>
      <c r="UST313" s="1956"/>
      <c r="USU313" s="1956"/>
      <c r="USV313" s="1956"/>
      <c r="USW313" s="1956"/>
      <c r="USX313" s="1956"/>
      <c r="USY313" s="1956"/>
      <c r="USZ313" s="1956"/>
      <c r="UTA313" s="1956"/>
      <c r="UTB313" s="1956"/>
      <c r="UTC313" s="1956"/>
      <c r="UTD313" s="1956"/>
      <c r="UTE313" s="1956"/>
      <c r="UTF313" s="1956"/>
      <c r="UTG313" s="1956"/>
      <c r="UTH313" s="1956"/>
      <c r="UTI313" s="1956"/>
      <c r="UTJ313" s="1956"/>
      <c r="UTK313" s="1956"/>
      <c r="UTL313" s="1956"/>
      <c r="UTM313" s="1956"/>
      <c r="UTN313" s="1956"/>
      <c r="UTO313" s="1956"/>
      <c r="UTP313" s="1956"/>
      <c r="UTQ313" s="1956"/>
      <c r="UTR313" s="1956"/>
      <c r="UTS313" s="1956"/>
      <c r="UTT313" s="1956"/>
      <c r="UTU313" s="1956"/>
      <c r="UTV313" s="1956"/>
      <c r="UTW313" s="1956"/>
      <c r="UTX313" s="1956"/>
      <c r="UTY313" s="1956"/>
      <c r="UTZ313" s="1956"/>
      <c r="UUA313" s="1956"/>
      <c r="UUB313" s="1956"/>
      <c r="UUC313" s="1956"/>
      <c r="UUD313" s="1956"/>
      <c r="UUE313" s="1956"/>
      <c r="UUF313" s="1956"/>
      <c r="UUG313" s="1956"/>
      <c r="UUH313" s="1956"/>
      <c r="UUI313" s="1956"/>
      <c r="UUJ313" s="1956"/>
      <c r="UUK313" s="1956"/>
      <c r="UUL313" s="1956"/>
      <c r="UUM313" s="1956"/>
      <c r="UUN313" s="1956"/>
      <c r="UUO313" s="1956"/>
      <c r="UUP313" s="1956"/>
      <c r="UUQ313" s="1956"/>
      <c r="UUR313" s="1956"/>
      <c r="UUS313" s="1956"/>
      <c r="UUT313" s="1956"/>
      <c r="UUU313" s="1956"/>
      <c r="UUV313" s="1956"/>
      <c r="UUW313" s="1956"/>
      <c r="UUX313" s="1956"/>
      <c r="UUY313" s="1956"/>
      <c r="UUZ313" s="1956"/>
      <c r="UVA313" s="1956"/>
      <c r="UVB313" s="1956"/>
      <c r="UVC313" s="1956"/>
      <c r="UVD313" s="1956"/>
      <c r="UVE313" s="1956"/>
      <c r="UVF313" s="1956"/>
      <c r="UVG313" s="1956"/>
      <c r="UVH313" s="1956"/>
      <c r="UVI313" s="1956"/>
      <c r="UVJ313" s="1956"/>
      <c r="UVK313" s="1956"/>
      <c r="UVL313" s="1956"/>
      <c r="UVM313" s="1956"/>
      <c r="UVN313" s="1956"/>
      <c r="UVO313" s="1956"/>
      <c r="UVP313" s="1956"/>
      <c r="UVQ313" s="1956"/>
      <c r="UVR313" s="1956"/>
      <c r="UVS313" s="1956"/>
      <c r="UVT313" s="1956"/>
      <c r="UVU313" s="1956"/>
      <c r="UVV313" s="1956"/>
      <c r="UVW313" s="1956"/>
      <c r="UVX313" s="1956"/>
      <c r="UVY313" s="1956"/>
      <c r="UVZ313" s="1956"/>
      <c r="UWA313" s="1956"/>
      <c r="UWB313" s="1956"/>
      <c r="UWC313" s="1956"/>
      <c r="UWD313" s="1956"/>
      <c r="UWE313" s="1956"/>
      <c r="UWF313" s="1956"/>
      <c r="UWG313" s="1956"/>
      <c r="UWH313" s="1956"/>
      <c r="UWI313" s="1956"/>
      <c r="UWJ313" s="1956"/>
      <c r="UWK313" s="1956"/>
      <c r="UWL313" s="1956"/>
      <c r="UWM313" s="1956"/>
      <c r="UWN313" s="1956"/>
      <c r="UWO313" s="1956"/>
      <c r="UWP313" s="1956"/>
      <c r="UWQ313" s="1956"/>
      <c r="UWR313" s="1956"/>
      <c r="UWS313" s="1956"/>
      <c r="UWT313" s="1956"/>
      <c r="UWU313" s="1956"/>
      <c r="UWV313" s="1956"/>
      <c r="UWW313" s="1956"/>
      <c r="UWX313" s="1956"/>
      <c r="UWY313" s="1956"/>
      <c r="UWZ313" s="1956"/>
      <c r="UXA313" s="1956"/>
      <c r="UXB313" s="1956"/>
      <c r="UXC313" s="1956"/>
      <c r="UXD313" s="1956"/>
      <c r="UXE313" s="1956"/>
      <c r="UXF313" s="1956"/>
      <c r="UXG313" s="1956"/>
      <c r="UXH313" s="1956"/>
      <c r="UXI313" s="1956"/>
      <c r="UXJ313" s="1956"/>
      <c r="UXK313" s="1956"/>
      <c r="UXL313" s="1956"/>
      <c r="UXM313" s="1956"/>
      <c r="UXN313" s="1956"/>
      <c r="UXO313" s="1956"/>
      <c r="UXP313" s="1956"/>
      <c r="UXQ313" s="1956"/>
      <c r="UXR313" s="1956"/>
      <c r="UXS313" s="1956"/>
      <c r="UXT313" s="1956"/>
      <c r="UXU313" s="1956"/>
      <c r="UXV313" s="1956"/>
      <c r="UXW313" s="1956"/>
      <c r="UXX313" s="1956"/>
      <c r="UXY313" s="1956"/>
      <c r="UXZ313" s="1956"/>
      <c r="UYA313" s="1956"/>
      <c r="UYB313" s="1956"/>
      <c r="UYC313" s="1956"/>
      <c r="UYD313" s="1956"/>
      <c r="UYE313" s="1956"/>
      <c r="UYF313" s="1956"/>
      <c r="UYG313" s="1956"/>
      <c r="UYH313" s="1956"/>
      <c r="UYI313" s="1956"/>
      <c r="UYJ313" s="1956"/>
      <c r="UYK313" s="1956"/>
      <c r="UYL313" s="1956"/>
      <c r="UYM313" s="1956"/>
      <c r="UYN313" s="1956"/>
      <c r="UYO313" s="1956"/>
      <c r="UYP313" s="1956"/>
      <c r="UYQ313" s="1956"/>
      <c r="UYR313" s="1956"/>
      <c r="UYS313" s="1956"/>
      <c r="UYT313" s="1956"/>
      <c r="UYU313" s="1956"/>
      <c r="UYV313" s="1956"/>
      <c r="UYW313" s="1956"/>
      <c r="UYX313" s="1956"/>
      <c r="UYY313" s="1956"/>
      <c r="UYZ313" s="1956"/>
      <c r="UZA313" s="1956"/>
      <c r="UZB313" s="1956"/>
      <c r="UZC313" s="1956"/>
      <c r="UZD313" s="1956"/>
      <c r="UZE313" s="1956"/>
      <c r="UZF313" s="1956"/>
      <c r="UZG313" s="1956"/>
      <c r="UZH313" s="1956"/>
      <c r="UZI313" s="1956"/>
      <c r="UZJ313" s="1956"/>
      <c r="UZK313" s="1956"/>
      <c r="UZL313" s="1956"/>
      <c r="UZM313" s="1956"/>
      <c r="UZN313" s="1956"/>
      <c r="UZO313" s="1956"/>
      <c r="UZP313" s="1956"/>
      <c r="UZQ313" s="1956"/>
      <c r="UZR313" s="1956"/>
      <c r="UZS313" s="1956"/>
      <c r="UZT313" s="1956"/>
      <c r="UZU313" s="1956"/>
      <c r="UZV313" s="1956"/>
      <c r="UZW313" s="1956"/>
      <c r="UZX313" s="1956"/>
      <c r="UZY313" s="1956"/>
      <c r="UZZ313" s="1956"/>
      <c r="VAA313" s="1956"/>
      <c r="VAB313" s="1956"/>
      <c r="VAC313" s="1956"/>
      <c r="VAD313" s="1956"/>
      <c r="VAE313" s="1956"/>
      <c r="VAF313" s="1956"/>
      <c r="VAG313" s="1956"/>
      <c r="VAH313" s="1956"/>
      <c r="VAI313" s="1956"/>
      <c r="VAJ313" s="1956"/>
      <c r="VAK313" s="1956"/>
      <c r="VAL313" s="1956"/>
      <c r="VAM313" s="1956"/>
      <c r="VAN313" s="1956"/>
      <c r="VAO313" s="1956"/>
      <c r="VAP313" s="1956"/>
      <c r="VAQ313" s="1956"/>
      <c r="VAR313" s="1956"/>
      <c r="VAS313" s="1956"/>
      <c r="VAT313" s="1956"/>
      <c r="VAU313" s="1956"/>
      <c r="VAV313" s="1956"/>
      <c r="VAW313" s="1956"/>
      <c r="VAX313" s="1956"/>
      <c r="VAY313" s="1956"/>
      <c r="VAZ313" s="1956"/>
      <c r="VBA313" s="1956"/>
      <c r="VBB313" s="1956"/>
      <c r="VBC313" s="1956"/>
      <c r="VBD313" s="1956"/>
      <c r="VBE313" s="1956"/>
      <c r="VBF313" s="1956"/>
      <c r="VBG313" s="1956"/>
      <c r="VBH313" s="1956"/>
      <c r="VBI313" s="1956"/>
      <c r="VBJ313" s="1956"/>
      <c r="VBK313" s="1956"/>
      <c r="VBL313" s="1956"/>
      <c r="VBM313" s="1956"/>
      <c r="VBN313" s="1956"/>
      <c r="VBO313" s="1956"/>
      <c r="VBP313" s="1956"/>
      <c r="VBQ313" s="1956"/>
      <c r="VBR313" s="1956"/>
      <c r="VBS313" s="1956"/>
      <c r="VBT313" s="1956"/>
      <c r="VBU313" s="1956"/>
      <c r="VBV313" s="1956"/>
      <c r="VBW313" s="1956"/>
      <c r="VBX313" s="1956"/>
      <c r="VBY313" s="1956"/>
      <c r="VBZ313" s="1956"/>
      <c r="VCA313" s="1956"/>
      <c r="VCB313" s="1956"/>
      <c r="VCC313" s="1956"/>
      <c r="VCD313" s="1956"/>
      <c r="VCE313" s="1956"/>
      <c r="VCF313" s="1956"/>
      <c r="VCG313" s="1956"/>
      <c r="VCH313" s="1956"/>
      <c r="VCI313" s="1956"/>
      <c r="VCJ313" s="1956"/>
      <c r="VCK313" s="1956"/>
      <c r="VCL313" s="1956"/>
      <c r="VCM313" s="1956"/>
      <c r="VCN313" s="1956"/>
      <c r="VCO313" s="1956"/>
      <c r="VCP313" s="1956"/>
      <c r="VCQ313" s="1956"/>
      <c r="VCR313" s="1956"/>
      <c r="VCS313" s="1956"/>
      <c r="VCT313" s="1956"/>
      <c r="VCU313" s="1956"/>
      <c r="VCV313" s="1956"/>
      <c r="VCW313" s="1956"/>
      <c r="VCX313" s="1956"/>
      <c r="VCY313" s="1956"/>
      <c r="VCZ313" s="1956"/>
      <c r="VDA313" s="1956"/>
      <c r="VDB313" s="1956"/>
      <c r="VDC313" s="1956"/>
      <c r="VDD313" s="1956"/>
      <c r="VDE313" s="1956"/>
      <c r="VDF313" s="1956"/>
      <c r="VDG313" s="1956"/>
      <c r="VDH313" s="1956"/>
      <c r="VDI313" s="1956"/>
      <c r="VDJ313" s="1956"/>
      <c r="VDK313" s="1956"/>
      <c r="VDL313" s="1956"/>
      <c r="VDM313" s="1956"/>
      <c r="VDN313" s="1956"/>
      <c r="VDO313" s="1956"/>
      <c r="VDP313" s="1956"/>
      <c r="VDQ313" s="1956"/>
      <c r="VDR313" s="1956"/>
      <c r="VDS313" s="1956"/>
      <c r="VDT313" s="1956"/>
      <c r="VDU313" s="1956"/>
      <c r="VDV313" s="1956"/>
      <c r="VDW313" s="1956"/>
      <c r="VDX313" s="1956"/>
      <c r="VDY313" s="1956"/>
      <c r="VDZ313" s="1956"/>
      <c r="VEA313" s="1956"/>
      <c r="VEB313" s="1956"/>
      <c r="VEC313" s="1956"/>
      <c r="VED313" s="1956"/>
      <c r="VEE313" s="1956"/>
      <c r="VEF313" s="1956"/>
      <c r="VEG313" s="1956"/>
      <c r="VEH313" s="1956"/>
      <c r="VEI313" s="1956"/>
      <c r="VEJ313" s="1956"/>
      <c r="VEK313" s="1956"/>
      <c r="VEL313" s="1956"/>
      <c r="VEM313" s="1956"/>
      <c r="VEN313" s="1956"/>
      <c r="VEO313" s="1956"/>
      <c r="VEP313" s="1956"/>
      <c r="VEQ313" s="1956"/>
      <c r="VER313" s="1956"/>
      <c r="VES313" s="1956"/>
      <c r="VET313" s="1956"/>
      <c r="VEU313" s="1956"/>
      <c r="VEV313" s="1956"/>
      <c r="VEW313" s="1956"/>
      <c r="VEX313" s="1956"/>
      <c r="VEY313" s="1956"/>
      <c r="VEZ313" s="1956"/>
      <c r="VFA313" s="1956"/>
      <c r="VFB313" s="1956"/>
      <c r="VFC313" s="1956"/>
      <c r="VFD313" s="1956"/>
      <c r="VFE313" s="1956"/>
      <c r="VFF313" s="1956"/>
      <c r="VFG313" s="1956"/>
      <c r="VFH313" s="1956"/>
      <c r="VFI313" s="1956"/>
      <c r="VFJ313" s="1956"/>
      <c r="VFK313" s="1956"/>
      <c r="VFL313" s="1956"/>
      <c r="VFM313" s="1956"/>
      <c r="VFN313" s="1956"/>
      <c r="VFO313" s="1956"/>
      <c r="VFP313" s="1956"/>
      <c r="VFQ313" s="1956"/>
      <c r="VFR313" s="1956"/>
      <c r="VFS313" s="1956"/>
      <c r="VFT313" s="1956"/>
      <c r="VFU313" s="1956"/>
      <c r="VFV313" s="1956"/>
      <c r="VFW313" s="1956"/>
      <c r="VFX313" s="1956"/>
      <c r="VFY313" s="1956"/>
      <c r="VFZ313" s="1956"/>
      <c r="VGA313" s="1956"/>
      <c r="VGB313" s="1956"/>
      <c r="VGC313" s="1956"/>
      <c r="VGD313" s="1956"/>
      <c r="VGE313" s="1956"/>
      <c r="VGF313" s="1956"/>
      <c r="VGG313" s="1956"/>
      <c r="VGH313" s="1956"/>
      <c r="VGI313" s="1956"/>
      <c r="VGJ313" s="1956"/>
      <c r="VGK313" s="1956"/>
      <c r="VGL313" s="1956"/>
      <c r="VGM313" s="1956"/>
      <c r="VGN313" s="1956"/>
      <c r="VGO313" s="1956"/>
      <c r="VGP313" s="1956"/>
      <c r="VGQ313" s="1956"/>
      <c r="VGR313" s="1956"/>
      <c r="VGS313" s="1956"/>
      <c r="VGT313" s="1956"/>
      <c r="VGU313" s="1956"/>
      <c r="VGV313" s="1956"/>
      <c r="VGW313" s="1956"/>
      <c r="VGX313" s="1956"/>
      <c r="VGY313" s="1956"/>
      <c r="VGZ313" s="1956"/>
      <c r="VHA313" s="1956"/>
      <c r="VHB313" s="1956"/>
      <c r="VHC313" s="1956"/>
      <c r="VHD313" s="1956"/>
      <c r="VHE313" s="1956"/>
      <c r="VHF313" s="1956"/>
      <c r="VHG313" s="1956"/>
      <c r="VHH313" s="1956"/>
      <c r="VHI313" s="1956"/>
      <c r="VHJ313" s="1956"/>
      <c r="VHK313" s="1956"/>
      <c r="VHL313" s="1956"/>
      <c r="VHM313" s="1956"/>
      <c r="VHN313" s="1956"/>
      <c r="VHO313" s="1956"/>
      <c r="VHP313" s="1956"/>
      <c r="VHQ313" s="1956"/>
      <c r="VHR313" s="1956"/>
      <c r="VHS313" s="1956"/>
      <c r="VHT313" s="1956"/>
      <c r="VHU313" s="1956"/>
      <c r="VHV313" s="1956"/>
      <c r="VHW313" s="1956"/>
      <c r="VHX313" s="1956"/>
      <c r="VHY313" s="1956"/>
      <c r="VHZ313" s="1956"/>
      <c r="VIA313" s="1956"/>
      <c r="VIB313" s="1956"/>
      <c r="VIC313" s="1956"/>
      <c r="VID313" s="1956"/>
      <c r="VIE313" s="1956"/>
      <c r="VIF313" s="1956"/>
      <c r="VIG313" s="1956"/>
      <c r="VIH313" s="1956"/>
      <c r="VII313" s="1956"/>
      <c r="VIJ313" s="1956"/>
      <c r="VIK313" s="1956"/>
      <c r="VIL313" s="1956"/>
      <c r="VIM313" s="1956"/>
      <c r="VIN313" s="1956"/>
      <c r="VIO313" s="1956"/>
      <c r="VIP313" s="1956"/>
      <c r="VIQ313" s="1956"/>
      <c r="VIR313" s="1956"/>
      <c r="VIS313" s="1956"/>
      <c r="VIT313" s="1956"/>
      <c r="VIU313" s="1956"/>
      <c r="VIV313" s="1956"/>
      <c r="VIW313" s="1956"/>
      <c r="VIX313" s="1956"/>
      <c r="VIY313" s="1956"/>
      <c r="VIZ313" s="1956"/>
      <c r="VJA313" s="1956"/>
      <c r="VJB313" s="1956"/>
      <c r="VJC313" s="1956"/>
      <c r="VJD313" s="1956"/>
      <c r="VJE313" s="1956"/>
      <c r="VJF313" s="1956"/>
      <c r="VJG313" s="1956"/>
      <c r="VJH313" s="1956"/>
      <c r="VJI313" s="1956"/>
      <c r="VJJ313" s="1956"/>
      <c r="VJK313" s="1956"/>
      <c r="VJL313" s="1956"/>
      <c r="VJM313" s="1956"/>
      <c r="VJN313" s="1956"/>
      <c r="VJO313" s="1956"/>
      <c r="VJP313" s="1956"/>
      <c r="VJQ313" s="1956"/>
      <c r="VJR313" s="1956"/>
      <c r="VJS313" s="1956"/>
      <c r="VJT313" s="1956"/>
      <c r="VJU313" s="1956"/>
      <c r="VJV313" s="1956"/>
      <c r="VJW313" s="1956"/>
      <c r="VJX313" s="1956"/>
      <c r="VJY313" s="1956"/>
      <c r="VJZ313" s="1956"/>
      <c r="VKA313" s="1956"/>
      <c r="VKB313" s="1956"/>
      <c r="VKC313" s="1956"/>
      <c r="VKD313" s="1956"/>
      <c r="VKE313" s="1956"/>
      <c r="VKF313" s="1956"/>
      <c r="VKG313" s="1956"/>
      <c r="VKH313" s="1956"/>
      <c r="VKI313" s="1956"/>
      <c r="VKJ313" s="1956"/>
      <c r="VKK313" s="1956"/>
      <c r="VKL313" s="1956"/>
      <c r="VKM313" s="1956"/>
      <c r="VKN313" s="1956"/>
      <c r="VKO313" s="1956"/>
      <c r="VKP313" s="1956"/>
      <c r="VKQ313" s="1956"/>
      <c r="VKR313" s="1956"/>
      <c r="VKS313" s="1956"/>
      <c r="VKT313" s="1956"/>
      <c r="VKU313" s="1956"/>
      <c r="VKV313" s="1956"/>
      <c r="VKW313" s="1956"/>
      <c r="VKX313" s="1956"/>
      <c r="VKY313" s="1956"/>
      <c r="VKZ313" s="1956"/>
      <c r="VLA313" s="1956"/>
      <c r="VLB313" s="1956"/>
      <c r="VLC313" s="1956"/>
      <c r="VLD313" s="1956"/>
      <c r="VLE313" s="1956"/>
      <c r="VLF313" s="1956"/>
      <c r="VLG313" s="1956"/>
      <c r="VLH313" s="1956"/>
      <c r="VLI313" s="1956"/>
      <c r="VLJ313" s="1956"/>
      <c r="VLK313" s="1956"/>
      <c r="VLL313" s="1956"/>
      <c r="VLM313" s="1956"/>
      <c r="VLN313" s="1956"/>
      <c r="VLO313" s="1956"/>
      <c r="VLP313" s="1956"/>
      <c r="VLQ313" s="1956"/>
      <c r="VLR313" s="1956"/>
      <c r="VLS313" s="1956"/>
      <c r="VLT313" s="1956"/>
      <c r="VLU313" s="1956"/>
      <c r="VLV313" s="1956"/>
      <c r="VLW313" s="1956"/>
      <c r="VLX313" s="1956"/>
      <c r="VLY313" s="1956"/>
      <c r="VLZ313" s="1956"/>
      <c r="VMA313" s="1956"/>
      <c r="VMB313" s="1956"/>
      <c r="VMC313" s="1956"/>
      <c r="VMD313" s="1956"/>
      <c r="VME313" s="1956"/>
      <c r="VMF313" s="1956"/>
      <c r="VMG313" s="1956"/>
      <c r="VMH313" s="1956"/>
      <c r="VMI313" s="1956"/>
      <c r="VMJ313" s="1956"/>
      <c r="VMK313" s="1956"/>
      <c r="VML313" s="1956"/>
      <c r="VMM313" s="1956"/>
      <c r="VMN313" s="1956"/>
      <c r="VMO313" s="1956"/>
      <c r="VMP313" s="1956"/>
      <c r="VMQ313" s="1956"/>
      <c r="VMR313" s="1956"/>
      <c r="VMS313" s="1956"/>
      <c r="VMT313" s="1956"/>
      <c r="VMU313" s="1956"/>
      <c r="VMV313" s="1956"/>
      <c r="VMW313" s="1956"/>
      <c r="VMX313" s="1956"/>
      <c r="VMY313" s="1956"/>
      <c r="VMZ313" s="1956"/>
      <c r="VNA313" s="1956"/>
      <c r="VNB313" s="1956"/>
      <c r="VNC313" s="1956"/>
      <c r="VND313" s="1956"/>
      <c r="VNE313" s="1956"/>
      <c r="VNF313" s="1956"/>
      <c r="VNG313" s="1956"/>
      <c r="VNH313" s="1956"/>
      <c r="VNI313" s="1956"/>
      <c r="VNJ313" s="1956"/>
      <c r="VNK313" s="1956"/>
      <c r="VNL313" s="1956"/>
      <c r="VNM313" s="1956"/>
      <c r="VNN313" s="1956"/>
      <c r="VNO313" s="1956"/>
      <c r="VNP313" s="1956"/>
      <c r="VNQ313" s="1956"/>
      <c r="VNR313" s="1956"/>
      <c r="VNS313" s="1956"/>
      <c r="VNT313" s="1956"/>
      <c r="VNU313" s="1956"/>
      <c r="VNV313" s="1956"/>
      <c r="VNW313" s="1956"/>
      <c r="VNX313" s="1956"/>
      <c r="VNY313" s="1956"/>
      <c r="VNZ313" s="1956"/>
      <c r="VOA313" s="1956"/>
      <c r="VOB313" s="1956"/>
      <c r="VOC313" s="1956"/>
      <c r="VOD313" s="1956"/>
      <c r="VOE313" s="1956"/>
      <c r="VOF313" s="1956"/>
      <c r="VOG313" s="1956"/>
      <c r="VOH313" s="1956"/>
      <c r="VOI313" s="1956"/>
      <c r="VOJ313" s="1956"/>
      <c r="VOK313" s="1956"/>
      <c r="VOL313" s="1956"/>
      <c r="VOM313" s="1956"/>
      <c r="VON313" s="1956"/>
      <c r="VOO313" s="1956"/>
      <c r="VOP313" s="1956"/>
      <c r="VOQ313" s="1956"/>
      <c r="VOR313" s="1956"/>
      <c r="VOS313" s="1956"/>
      <c r="VOT313" s="1956"/>
      <c r="VOU313" s="1956"/>
      <c r="VOV313" s="1956"/>
      <c r="VOW313" s="1956"/>
      <c r="VOX313" s="1956"/>
      <c r="VOY313" s="1956"/>
      <c r="VOZ313" s="1956"/>
      <c r="VPA313" s="1956"/>
      <c r="VPB313" s="1956"/>
      <c r="VPC313" s="1956"/>
      <c r="VPD313" s="1956"/>
      <c r="VPE313" s="1956"/>
      <c r="VPF313" s="1956"/>
      <c r="VPG313" s="1956"/>
      <c r="VPH313" s="1956"/>
      <c r="VPI313" s="1956"/>
      <c r="VPJ313" s="1956"/>
      <c r="VPK313" s="1956"/>
      <c r="VPL313" s="1956"/>
      <c r="VPM313" s="1956"/>
      <c r="VPN313" s="1956"/>
      <c r="VPO313" s="1956"/>
      <c r="VPP313" s="1956"/>
      <c r="VPQ313" s="1956"/>
      <c r="VPR313" s="1956"/>
      <c r="VPS313" s="1956"/>
      <c r="VPT313" s="1956"/>
      <c r="VPU313" s="1956"/>
      <c r="VPV313" s="1956"/>
      <c r="VPW313" s="1956"/>
      <c r="VPX313" s="1956"/>
      <c r="VPY313" s="1956"/>
      <c r="VPZ313" s="1956"/>
      <c r="VQA313" s="1956"/>
      <c r="VQB313" s="1956"/>
      <c r="VQC313" s="1956"/>
      <c r="VQD313" s="1956"/>
      <c r="VQE313" s="1956"/>
      <c r="VQF313" s="1956"/>
      <c r="VQG313" s="1956"/>
      <c r="VQH313" s="1956"/>
      <c r="VQI313" s="1956"/>
      <c r="VQJ313" s="1956"/>
      <c r="VQK313" s="1956"/>
      <c r="VQL313" s="1956"/>
      <c r="VQM313" s="1956"/>
      <c r="VQN313" s="1956"/>
      <c r="VQO313" s="1956"/>
      <c r="VQP313" s="1956"/>
      <c r="VQQ313" s="1956"/>
      <c r="VQR313" s="1956"/>
      <c r="VQS313" s="1956"/>
      <c r="VQT313" s="1956"/>
      <c r="VQU313" s="1956"/>
      <c r="VQV313" s="1956"/>
      <c r="VQW313" s="1956"/>
      <c r="VQX313" s="1956"/>
      <c r="VQY313" s="1956"/>
      <c r="VQZ313" s="1956"/>
      <c r="VRA313" s="1956"/>
      <c r="VRB313" s="1956"/>
      <c r="VRC313" s="1956"/>
      <c r="VRD313" s="1956"/>
      <c r="VRE313" s="1956"/>
      <c r="VRF313" s="1956"/>
      <c r="VRG313" s="1956"/>
      <c r="VRH313" s="1956"/>
      <c r="VRI313" s="1956"/>
      <c r="VRJ313" s="1956"/>
      <c r="VRK313" s="1956"/>
      <c r="VRL313" s="1956"/>
      <c r="VRM313" s="1956"/>
      <c r="VRN313" s="1956"/>
      <c r="VRO313" s="1956"/>
      <c r="VRP313" s="1956"/>
      <c r="VRQ313" s="1956"/>
      <c r="VRR313" s="1956"/>
      <c r="VRS313" s="1956"/>
      <c r="VRT313" s="1956"/>
      <c r="VRU313" s="1956"/>
      <c r="VRV313" s="1956"/>
      <c r="VRW313" s="1956"/>
      <c r="VRX313" s="1956"/>
      <c r="VRY313" s="1956"/>
      <c r="VRZ313" s="1956"/>
      <c r="VSA313" s="1956"/>
      <c r="VSB313" s="1956"/>
      <c r="VSC313" s="1956"/>
      <c r="VSD313" s="1956"/>
      <c r="VSE313" s="1956"/>
      <c r="VSF313" s="1956"/>
      <c r="VSG313" s="1956"/>
      <c r="VSH313" s="1956"/>
      <c r="VSI313" s="1956"/>
      <c r="VSJ313" s="1956"/>
      <c r="VSK313" s="1956"/>
      <c r="VSL313" s="1956"/>
      <c r="VSM313" s="1956"/>
      <c r="VSN313" s="1956"/>
      <c r="VSO313" s="1956"/>
      <c r="VSP313" s="1956"/>
      <c r="VSQ313" s="1956"/>
      <c r="VSR313" s="1956"/>
      <c r="VSS313" s="1956"/>
      <c r="VST313" s="1956"/>
      <c r="VSU313" s="1956"/>
      <c r="VSV313" s="1956"/>
      <c r="VSW313" s="1956"/>
      <c r="VSX313" s="1956"/>
      <c r="VSY313" s="1956"/>
      <c r="VSZ313" s="1956"/>
      <c r="VTA313" s="1956"/>
      <c r="VTB313" s="1956"/>
      <c r="VTC313" s="1956"/>
      <c r="VTD313" s="1956"/>
      <c r="VTE313" s="1956"/>
      <c r="VTF313" s="1956"/>
      <c r="VTG313" s="1956"/>
      <c r="VTH313" s="1956"/>
      <c r="VTI313" s="1956"/>
      <c r="VTJ313" s="1956"/>
      <c r="VTK313" s="1956"/>
      <c r="VTL313" s="1956"/>
      <c r="VTM313" s="1956"/>
      <c r="VTN313" s="1956"/>
      <c r="VTO313" s="1956"/>
      <c r="VTP313" s="1956"/>
      <c r="VTQ313" s="1956"/>
      <c r="VTR313" s="1956"/>
      <c r="VTS313" s="1956"/>
      <c r="VTT313" s="1956"/>
      <c r="VTU313" s="1956"/>
      <c r="VTV313" s="1956"/>
      <c r="VTW313" s="1956"/>
      <c r="VTX313" s="1956"/>
      <c r="VTY313" s="1956"/>
      <c r="VTZ313" s="1956"/>
      <c r="VUA313" s="1956"/>
      <c r="VUB313" s="1956"/>
      <c r="VUC313" s="1956"/>
      <c r="VUD313" s="1956"/>
      <c r="VUE313" s="1956"/>
      <c r="VUF313" s="1956"/>
      <c r="VUG313" s="1956"/>
      <c r="VUH313" s="1956"/>
      <c r="VUI313" s="1956"/>
      <c r="VUJ313" s="1956"/>
      <c r="VUK313" s="1956"/>
      <c r="VUL313" s="1956"/>
      <c r="VUM313" s="1956"/>
      <c r="VUN313" s="1956"/>
      <c r="VUO313" s="1956"/>
      <c r="VUP313" s="1956"/>
      <c r="VUQ313" s="1956"/>
      <c r="VUR313" s="1956"/>
      <c r="VUS313" s="1956"/>
      <c r="VUT313" s="1956"/>
      <c r="VUU313" s="1956"/>
      <c r="VUV313" s="1956"/>
      <c r="VUW313" s="1956"/>
      <c r="VUX313" s="1956"/>
      <c r="VUY313" s="1956"/>
      <c r="VUZ313" s="1956"/>
      <c r="VVA313" s="1956"/>
      <c r="VVB313" s="1956"/>
      <c r="VVC313" s="1956"/>
      <c r="VVD313" s="1956"/>
      <c r="VVE313" s="1956"/>
      <c r="VVF313" s="1956"/>
      <c r="VVG313" s="1956"/>
      <c r="VVH313" s="1956"/>
      <c r="VVI313" s="1956"/>
      <c r="VVJ313" s="1956"/>
      <c r="VVK313" s="1956"/>
      <c r="VVL313" s="1956"/>
      <c r="VVM313" s="1956"/>
      <c r="VVN313" s="1956"/>
      <c r="VVO313" s="1956"/>
      <c r="VVP313" s="1956"/>
      <c r="VVQ313" s="1956"/>
      <c r="VVR313" s="1956"/>
      <c r="VVS313" s="1956"/>
      <c r="VVT313" s="1956"/>
      <c r="VVU313" s="1956"/>
      <c r="VVV313" s="1956"/>
      <c r="VVW313" s="1956"/>
      <c r="VVX313" s="1956"/>
      <c r="VVY313" s="1956"/>
      <c r="VVZ313" s="1956"/>
      <c r="VWA313" s="1956"/>
      <c r="VWB313" s="1956"/>
      <c r="VWC313" s="1956"/>
      <c r="VWD313" s="1956"/>
      <c r="VWE313" s="1956"/>
      <c r="VWF313" s="1956"/>
      <c r="VWG313" s="1956"/>
      <c r="VWH313" s="1956"/>
      <c r="VWI313" s="1956"/>
      <c r="VWJ313" s="1956"/>
      <c r="VWK313" s="1956"/>
      <c r="VWL313" s="1956"/>
      <c r="VWM313" s="1956"/>
      <c r="VWN313" s="1956"/>
      <c r="VWO313" s="1956"/>
      <c r="VWP313" s="1956"/>
      <c r="VWQ313" s="1956"/>
      <c r="VWR313" s="1956"/>
      <c r="VWS313" s="1956"/>
      <c r="VWT313" s="1956"/>
      <c r="VWU313" s="1956"/>
      <c r="VWV313" s="1956"/>
      <c r="VWW313" s="1956"/>
      <c r="VWX313" s="1956"/>
      <c r="VWY313" s="1956"/>
      <c r="VWZ313" s="1956"/>
      <c r="VXA313" s="1956"/>
      <c r="VXB313" s="1956"/>
      <c r="VXC313" s="1956"/>
      <c r="VXD313" s="1956"/>
      <c r="VXE313" s="1956"/>
      <c r="VXF313" s="1956"/>
      <c r="VXG313" s="1956"/>
      <c r="VXH313" s="1956"/>
      <c r="VXI313" s="1956"/>
      <c r="VXJ313" s="1956"/>
      <c r="VXK313" s="1956"/>
      <c r="VXL313" s="1956"/>
      <c r="VXM313" s="1956"/>
      <c r="VXN313" s="1956"/>
      <c r="VXO313" s="1956"/>
      <c r="VXP313" s="1956"/>
      <c r="VXQ313" s="1956"/>
      <c r="VXR313" s="1956"/>
      <c r="VXS313" s="1956"/>
      <c r="VXT313" s="1956"/>
      <c r="VXU313" s="1956"/>
      <c r="VXV313" s="1956"/>
      <c r="VXW313" s="1956"/>
      <c r="VXX313" s="1956"/>
      <c r="VXY313" s="1956"/>
      <c r="VXZ313" s="1956"/>
      <c r="VYA313" s="1956"/>
      <c r="VYB313" s="1956"/>
      <c r="VYC313" s="1956"/>
      <c r="VYD313" s="1956"/>
      <c r="VYE313" s="1956"/>
      <c r="VYF313" s="1956"/>
      <c r="VYG313" s="1956"/>
      <c r="VYH313" s="1956"/>
      <c r="VYI313" s="1956"/>
      <c r="VYJ313" s="1956"/>
      <c r="VYK313" s="1956"/>
      <c r="VYL313" s="1956"/>
      <c r="VYM313" s="1956"/>
      <c r="VYN313" s="1956"/>
      <c r="VYO313" s="1956"/>
      <c r="VYP313" s="1956"/>
      <c r="VYQ313" s="1956"/>
      <c r="VYR313" s="1956"/>
      <c r="VYS313" s="1956"/>
      <c r="VYT313" s="1956"/>
      <c r="VYU313" s="1956"/>
      <c r="VYV313" s="1956"/>
      <c r="VYW313" s="1956"/>
      <c r="VYX313" s="1956"/>
      <c r="VYY313" s="1956"/>
      <c r="VYZ313" s="1956"/>
      <c r="VZA313" s="1956"/>
      <c r="VZB313" s="1956"/>
      <c r="VZC313" s="1956"/>
      <c r="VZD313" s="1956"/>
      <c r="VZE313" s="1956"/>
      <c r="VZF313" s="1956"/>
      <c r="VZG313" s="1956"/>
      <c r="VZH313" s="1956"/>
      <c r="VZI313" s="1956"/>
      <c r="VZJ313" s="1956"/>
      <c r="VZK313" s="1956"/>
      <c r="VZL313" s="1956"/>
      <c r="VZM313" s="1956"/>
      <c r="VZN313" s="1956"/>
      <c r="VZO313" s="1956"/>
      <c r="VZP313" s="1956"/>
      <c r="VZQ313" s="1956"/>
      <c r="VZR313" s="1956"/>
      <c r="VZS313" s="1956"/>
      <c r="VZT313" s="1956"/>
      <c r="VZU313" s="1956"/>
      <c r="VZV313" s="1956"/>
      <c r="VZW313" s="1956"/>
      <c r="VZX313" s="1956"/>
      <c r="VZY313" s="1956"/>
      <c r="VZZ313" s="1956"/>
      <c r="WAA313" s="1956"/>
      <c r="WAB313" s="1956"/>
      <c r="WAC313" s="1956"/>
      <c r="WAD313" s="1956"/>
      <c r="WAE313" s="1956"/>
      <c r="WAF313" s="1956"/>
      <c r="WAG313" s="1956"/>
      <c r="WAH313" s="1956"/>
      <c r="WAI313" s="1956"/>
      <c r="WAJ313" s="1956"/>
      <c r="WAK313" s="1956"/>
      <c r="WAL313" s="1956"/>
      <c r="WAM313" s="1956"/>
      <c r="WAN313" s="1956"/>
      <c r="WAO313" s="1956"/>
      <c r="WAP313" s="1956"/>
      <c r="WAQ313" s="1956"/>
      <c r="WAR313" s="1956"/>
      <c r="WAS313" s="1956"/>
      <c r="WAT313" s="1956"/>
      <c r="WAU313" s="1956"/>
      <c r="WAV313" s="1956"/>
      <c r="WAW313" s="1956"/>
      <c r="WAX313" s="1956"/>
      <c r="WAY313" s="1956"/>
      <c r="WAZ313" s="1956"/>
      <c r="WBA313" s="1956"/>
      <c r="WBB313" s="1956"/>
      <c r="WBC313" s="1956"/>
      <c r="WBD313" s="1956"/>
      <c r="WBE313" s="1956"/>
      <c r="WBF313" s="1956"/>
      <c r="WBG313" s="1956"/>
      <c r="WBH313" s="1956"/>
      <c r="WBI313" s="1956"/>
      <c r="WBJ313" s="1956"/>
      <c r="WBK313" s="1956"/>
      <c r="WBL313" s="1956"/>
      <c r="WBM313" s="1956"/>
      <c r="WBN313" s="1956"/>
      <c r="WBO313" s="1956"/>
      <c r="WBP313" s="1956"/>
      <c r="WBQ313" s="1956"/>
      <c r="WBR313" s="1956"/>
      <c r="WBS313" s="1956"/>
      <c r="WBT313" s="1956"/>
      <c r="WBU313" s="1956"/>
      <c r="WBV313" s="1956"/>
      <c r="WBW313" s="1956"/>
      <c r="WBX313" s="1956"/>
      <c r="WBY313" s="1956"/>
      <c r="WBZ313" s="1956"/>
      <c r="WCA313" s="1956"/>
      <c r="WCB313" s="1956"/>
      <c r="WCC313" s="1956"/>
      <c r="WCD313" s="1956"/>
      <c r="WCE313" s="1956"/>
      <c r="WCF313" s="1956"/>
      <c r="WCG313" s="1956"/>
      <c r="WCH313" s="1956"/>
      <c r="WCI313" s="1956"/>
      <c r="WCJ313" s="1956"/>
      <c r="WCK313" s="1956"/>
      <c r="WCL313" s="1956"/>
      <c r="WCM313" s="1956"/>
      <c r="WCN313" s="1956"/>
      <c r="WCO313" s="1956"/>
      <c r="WCP313" s="1956"/>
      <c r="WCQ313" s="1956"/>
      <c r="WCR313" s="1956"/>
      <c r="WCS313" s="1956"/>
      <c r="WCT313" s="1956"/>
      <c r="WCU313" s="1956"/>
      <c r="WCV313" s="1956"/>
      <c r="WCW313" s="1956"/>
      <c r="WCX313" s="1956"/>
      <c r="WCY313" s="1956"/>
      <c r="WCZ313" s="1956"/>
      <c r="WDA313" s="1956"/>
      <c r="WDB313" s="1956"/>
      <c r="WDC313" s="1956"/>
      <c r="WDD313" s="1956"/>
      <c r="WDE313" s="1956"/>
      <c r="WDF313" s="1956"/>
      <c r="WDG313" s="1956"/>
      <c r="WDH313" s="1956"/>
      <c r="WDI313" s="1956"/>
      <c r="WDJ313" s="1956"/>
      <c r="WDK313" s="1956"/>
      <c r="WDL313" s="1956"/>
      <c r="WDM313" s="1956"/>
      <c r="WDN313" s="1956"/>
      <c r="WDO313" s="1956"/>
      <c r="WDP313" s="1956"/>
      <c r="WDQ313" s="1956"/>
      <c r="WDR313" s="1956"/>
      <c r="WDS313" s="1956"/>
      <c r="WDT313" s="1956"/>
      <c r="WDU313" s="1956"/>
      <c r="WDV313" s="1956"/>
      <c r="WDW313" s="1956"/>
      <c r="WDX313" s="1956"/>
      <c r="WDY313" s="1956"/>
      <c r="WDZ313" s="1956"/>
      <c r="WEA313" s="1956"/>
      <c r="WEB313" s="1956"/>
      <c r="WEC313" s="1956"/>
      <c r="WED313" s="1956"/>
      <c r="WEE313" s="1956"/>
      <c r="WEF313" s="1956"/>
      <c r="WEG313" s="1956"/>
      <c r="WEH313" s="1956"/>
      <c r="WEI313" s="1956"/>
      <c r="WEJ313" s="1956"/>
      <c r="WEK313" s="1956"/>
      <c r="WEL313" s="1956"/>
      <c r="WEM313" s="1956"/>
      <c r="WEN313" s="1956"/>
      <c r="WEO313" s="1956"/>
      <c r="WEP313" s="1956"/>
      <c r="WEQ313" s="1956"/>
      <c r="WER313" s="1956"/>
      <c r="WES313" s="1956"/>
      <c r="WET313" s="1956"/>
      <c r="WEU313" s="1956"/>
      <c r="WEV313" s="1956"/>
      <c r="WEW313" s="1956"/>
      <c r="WEX313" s="1956"/>
      <c r="WEY313" s="1956"/>
      <c r="WEZ313" s="1956"/>
      <c r="WFA313" s="1956"/>
      <c r="WFB313" s="1956"/>
      <c r="WFC313" s="1956"/>
      <c r="WFD313" s="1956"/>
      <c r="WFE313" s="1956"/>
      <c r="WFF313" s="1956"/>
      <c r="WFG313" s="1956"/>
      <c r="WFH313" s="1956"/>
      <c r="WFI313" s="1956"/>
      <c r="WFJ313" s="1956"/>
      <c r="WFK313" s="1956"/>
      <c r="WFL313" s="1956"/>
      <c r="WFM313" s="1956"/>
      <c r="WFN313" s="1956"/>
      <c r="WFO313" s="1956"/>
      <c r="WFP313" s="1956"/>
      <c r="WFQ313" s="1956"/>
      <c r="WFR313" s="1956"/>
      <c r="WFS313" s="1956"/>
      <c r="WFT313" s="1956"/>
      <c r="WFU313" s="1956"/>
      <c r="WFV313" s="1956"/>
      <c r="WFW313" s="1956"/>
      <c r="WFX313" s="1956"/>
      <c r="WFY313" s="1956"/>
      <c r="WFZ313" s="1956"/>
      <c r="WGA313" s="1956"/>
      <c r="WGB313" s="1956"/>
      <c r="WGC313" s="1956"/>
      <c r="WGD313" s="1956"/>
      <c r="WGE313" s="1956"/>
      <c r="WGF313" s="1956"/>
      <c r="WGG313" s="1956"/>
      <c r="WGH313" s="1956"/>
      <c r="WGI313" s="1956"/>
      <c r="WGJ313" s="1956"/>
      <c r="WGK313" s="1956"/>
      <c r="WGL313" s="1956"/>
      <c r="WGM313" s="1956"/>
      <c r="WGN313" s="1956"/>
      <c r="WGO313" s="1956"/>
      <c r="WGP313" s="1956"/>
      <c r="WGQ313" s="1956"/>
      <c r="WGR313" s="1956"/>
      <c r="WGS313" s="1956"/>
      <c r="WGT313" s="1956"/>
      <c r="WGU313" s="1956"/>
      <c r="WGV313" s="1956"/>
      <c r="WGW313" s="1956"/>
      <c r="WGX313" s="1956"/>
      <c r="WGY313" s="1956"/>
      <c r="WGZ313" s="1956"/>
      <c r="WHA313" s="1956"/>
      <c r="WHB313" s="1956"/>
      <c r="WHC313" s="1956"/>
      <c r="WHD313" s="1956"/>
      <c r="WHE313" s="1956"/>
      <c r="WHF313" s="1956"/>
      <c r="WHG313" s="1956"/>
      <c r="WHH313" s="1956"/>
      <c r="WHI313" s="1956"/>
      <c r="WHJ313" s="1956"/>
      <c r="WHK313" s="1956"/>
      <c r="WHL313" s="1956"/>
      <c r="WHM313" s="1956"/>
      <c r="WHN313" s="1956"/>
      <c r="WHO313" s="1956"/>
      <c r="WHP313" s="1956"/>
      <c r="WHQ313" s="1956"/>
      <c r="WHR313" s="1956"/>
      <c r="WHS313" s="1956"/>
      <c r="WHT313" s="1956"/>
      <c r="WHU313" s="1956"/>
      <c r="WHV313" s="1956"/>
      <c r="WHW313" s="1956"/>
      <c r="WHX313" s="1956"/>
      <c r="WHY313" s="1956"/>
      <c r="WHZ313" s="1956"/>
      <c r="WIA313" s="1956"/>
      <c r="WIB313" s="1956"/>
      <c r="WIC313" s="1956"/>
      <c r="WID313" s="1956"/>
      <c r="WIE313" s="1956"/>
      <c r="WIF313" s="1956"/>
      <c r="WIG313" s="1956"/>
      <c r="WIH313" s="1956"/>
      <c r="WII313" s="1956"/>
      <c r="WIJ313" s="1956"/>
      <c r="WIK313" s="1956"/>
      <c r="WIL313" s="1956"/>
      <c r="WIM313" s="1956"/>
      <c r="WIN313" s="1956"/>
      <c r="WIO313" s="1956"/>
      <c r="WIP313" s="1956"/>
      <c r="WIQ313" s="1956"/>
      <c r="WIR313" s="1956"/>
      <c r="WIS313" s="1956"/>
      <c r="WIT313" s="1956"/>
      <c r="WIU313" s="1956"/>
      <c r="WIV313" s="1956"/>
      <c r="WIW313" s="1956"/>
      <c r="WIX313" s="1956"/>
      <c r="WIY313" s="1956"/>
      <c r="WIZ313" s="1956"/>
      <c r="WJA313" s="1956"/>
      <c r="WJB313" s="1956"/>
      <c r="WJC313" s="1956"/>
      <c r="WJD313" s="1956"/>
      <c r="WJE313" s="1956"/>
      <c r="WJF313" s="1956"/>
      <c r="WJG313" s="1956"/>
      <c r="WJH313" s="1956"/>
      <c r="WJI313" s="1956"/>
      <c r="WJJ313" s="1956"/>
      <c r="WJK313" s="1956"/>
      <c r="WJL313" s="1956"/>
      <c r="WJM313" s="1956"/>
      <c r="WJN313" s="1956"/>
      <c r="WJO313" s="1956"/>
      <c r="WJP313" s="1956"/>
      <c r="WJQ313" s="1956"/>
      <c r="WJR313" s="1956"/>
      <c r="WJS313" s="1956"/>
      <c r="WJT313" s="1956"/>
      <c r="WJU313" s="1956"/>
      <c r="WJV313" s="1956"/>
      <c r="WJW313" s="1956"/>
      <c r="WJX313" s="1956"/>
      <c r="WJY313" s="1956"/>
      <c r="WJZ313" s="1956"/>
      <c r="WKA313" s="1956"/>
      <c r="WKB313" s="1956"/>
      <c r="WKC313" s="1956"/>
      <c r="WKD313" s="1956"/>
      <c r="WKE313" s="1956"/>
      <c r="WKF313" s="1956"/>
      <c r="WKG313" s="1956"/>
      <c r="WKH313" s="1956"/>
      <c r="WKI313" s="1956"/>
      <c r="WKJ313" s="1956"/>
      <c r="WKK313" s="1956"/>
      <c r="WKL313" s="1956"/>
      <c r="WKM313" s="1956"/>
      <c r="WKN313" s="1956"/>
      <c r="WKO313" s="1956"/>
      <c r="WKP313" s="1956"/>
      <c r="WKQ313" s="1956"/>
      <c r="WKR313" s="1956"/>
      <c r="WKS313" s="1956"/>
      <c r="WKT313" s="1956"/>
      <c r="WKU313" s="1956"/>
      <c r="WKV313" s="1956"/>
      <c r="WKW313" s="1956"/>
      <c r="WKX313" s="1956"/>
      <c r="WKY313" s="1956"/>
      <c r="WKZ313" s="1956"/>
      <c r="WLA313" s="1956"/>
      <c r="WLB313" s="1956"/>
      <c r="WLC313" s="1956"/>
      <c r="WLD313" s="1956"/>
      <c r="WLE313" s="1956"/>
      <c r="WLF313" s="1956"/>
      <c r="WLG313" s="1956"/>
      <c r="WLH313" s="1956"/>
      <c r="WLI313" s="1956"/>
      <c r="WLJ313" s="1956"/>
      <c r="WLK313" s="1956"/>
      <c r="WLL313" s="1956"/>
      <c r="WLM313" s="1956"/>
      <c r="WLN313" s="1956"/>
      <c r="WLO313" s="1956"/>
      <c r="WLP313" s="1956"/>
      <c r="WLQ313" s="1956"/>
      <c r="WLR313" s="1956"/>
      <c r="WLS313" s="1956"/>
      <c r="WLT313" s="1956"/>
      <c r="WLU313" s="1956"/>
      <c r="WLV313" s="1956"/>
      <c r="WLW313" s="1956"/>
      <c r="WLX313" s="1956"/>
      <c r="WLY313" s="1956"/>
      <c r="WLZ313" s="1956"/>
      <c r="WMA313" s="1956"/>
      <c r="WMB313" s="1956"/>
      <c r="WMC313" s="1956"/>
      <c r="WMD313" s="1956"/>
      <c r="WME313" s="1956"/>
      <c r="WMF313" s="1956"/>
      <c r="WMG313" s="1956"/>
      <c r="WMH313" s="1956"/>
      <c r="WMI313" s="1956"/>
      <c r="WMJ313" s="1956"/>
      <c r="WMK313" s="1956"/>
      <c r="WML313" s="1956"/>
      <c r="WMM313" s="1956"/>
      <c r="WMN313" s="1956"/>
      <c r="WMO313" s="1956"/>
      <c r="WMP313" s="1956"/>
      <c r="WMQ313" s="1956"/>
      <c r="WMR313" s="1956"/>
      <c r="WMS313" s="1956"/>
      <c r="WMT313" s="1956"/>
      <c r="WMU313" s="1956"/>
      <c r="WMV313" s="1956"/>
      <c r="WMW313" s="1956"/>
      <c r="WMX313" s="1956"/>
      <c r="WMY313" s="1956"/>
      <c r="WMZ313" s="1956"/>
      <c r="WNA313" s="1956"/>
      <c r="WNB313" s="1956"/>
      <c r="WNC313" s="1956"/>
      <c r="WND313" s="1956"/>
      <c r="WNE313" s="1956"/>
      <c r="WNF313" s="1956"/>
      <c r="WNG313" s="1956"/>
      <c r="WNH313" s="1956"/>
      <c r="WNI313" s="1956"/>
      <c r="WNJ313" s="1956"/>
      <c r="WNK313" s="1956"/>
      <c r="WNL313" s="1956"/>
      <c r="WNM313" s="1956"/>
      <c r="WNN313" s="1956"/>
      <c r="WNO313" s="1956"/>
      <c r="WNP313" s="1956"/>
      <c r="WNQ313" s="1956"/>
      <c r="WNR313" s="1956"/>
      <c r="WNS313" s="1956"/>
      <c r="WNT313" s="1956"/>
      <c r="WNU313" s="1956"/>
      <c r="WNV313" s="1956"/>
      <c r="WNW313" s="1956"/>
      <c r="WNX313" s="1956"/>
      <c r="WNY313" s="1956"/>
      <c r="WNZ313" s="1956"/>
      <c r="WOA313" s="1956"/>
      <c r="WOB313" s="1956"/>
      <c r="WOC313" s="1956"/>
      <c r="WOD313" s="1956"/>
      <c r="WOE313" s="1956"/>
      <c r="WOF313" s="1956"/>
      <c r="WOG313" s="1956"/>
      <c r="WOH313" s="1956"/>
      <c r="WOI313" s="1956"/>
      <c r="WOJ313" s="1956"/>
      <c r="WOK313" s="1956"/>
      <c r="WOL313" s="1956"/>
      <c r="WOM313" s="1956"/>
      <c r="WON313" s="1956"/>
      <c r="WOO313" s="1956"/>
      <c r="WOP313" s="1956"/>
      <c r="WOQ313" s="1956"/>
      <c r="WOR313" s="1956"/>
      <c r="WOS313" s="1956"/>
      <c r="WOT313" s="1956"/>
      <c r="WOU313" s="1956"/>
      <c r="WOV313" s="1956"/>
      <c r="WOW313" s="1956"/>
      <c r="WOX313" s="1956"/>
      <c r="WOY313" s="1956"/>
      <c r="WOZ313" s="1956"/>
      <c r="WPA313" s="1956"/>
      <c r="WPB313" s="1956"/>
      <c r="WPC313" s="1956"/>
      <c r="WPD313" s="1956"/>
      <c r="WPE313" s="1956"/>
      <c r="WPF313" s="1956"/>
      <c r="WPG313" s="1956"/>
      <c r="WPH313" s="1956"/>
      <c r="WPI313" s="1956"/>
      <c r="WPJ313" s="1956"/>
      <c r="WPK313" s="1956"/>
      <c r="WPL313" s="1956"/>
      <c r="WPM313" s="1956"/>
      <c r="WPN313" s="1956"/>
      <c r="WPO313" s="1956"/>
      <c r="WPP313" s="1956"/>
      <c r="WPQ313" s="1956"/>
      <c r="WPR313" s="1956"/>
      <c r="WPS313" s="1956"/>
      <c r="WPT313" s="1956"/>
      <c r="WPU313" s="1956"/>
      <c r="WPV313" s="1956"/>
      <c r="WPW313" s="1956"/>
      <c r="WPX313" s="1956"/>
      <c r="WPY313" s="1956"/>
      <c r="WPZ313" s="1956"/>
      <c r="WQA313" s="1956"/>
      <c r="WQB313" s="1956"/>
      <c r="WQC313" s="1956"/>
      <c r="WQD313" s="1956"/>
      <c r="WQE313" s="1956"/>
      <c r="WQF313" s="1956"/>
      <c r="WQG313" s="1956"/>
      <c r="WQH313" s="1956"/>
      <c r="WQI313" s="1956"/>
      <c r="WQJ313" s="1956"/>
      <c r="WQK313" s="1956"/>
      <c r="WQL313" s="1956"/>
      <c r="WQM313" s="1956"/>
      <c r="WQN313" s="1956"/>
      <c r="WQO313" s="1956"/>
      <c r="WQP313" s="1956"/>
      <c r="WQQ313" s="1956"/>
      <c r="WQR313" s="1956"/>
      <c r="WQS313" s="1956"/>
      <c r="WQT313" s="1956"/>
      <c r="WQU313" s="1956"/>
      <c r="WQV313" s="1956"/>
      <c r="WQW313" s="1956"/>
      <c r="WQX313" s="1956"/>
      <c r="WQY313" s="1956"/>
      <c r="WQZ313" s="1956"/>
      <c r="WRA313" s="1956"/>
      <c r="WRB313" s="1956"/>
      <c r="WRC313" s="1956"/>
      <c r="WRD313" s="1956"/>
      <c r="WRE313" s="1956"/>
      <c r="WRF313" s="1956"/>
      <c r="WRG313" s="1956"/>
      <c r="WRH313" s="1956"/>
      <c r="WRI313" s="1956"/>
      <c r="WRJ313" s="1956"/>
      <c r="WRK313" s="1956"/>
      <c r="WRL313" s="1956"/>
      <c r="WRM313" s="1956"/>
      <c r="WRN313" s="1956"/>
      <c r="WRO313" s="1956"/>
      <c r="WRP313" s="1956"/>
      <c r="WRQ313" s="1956"/>
      <c r="WRR313" s="1956"/>
      <c r="WRS313" s="1956"/>
      <c r="WRT313" s="1956"/>
      <c r="WRU313" s="1956"/>
      <c r="WRV313" s="1956"/>
      <c r="WRW313" s="1956"/>
      <c r="WRX313" s="1956"/>
      <c r="WRY313" s="1956"/>
      <c r="WRZ313" s="1956"/>
      <c r="WSA313" s="1956"/>
      <c r="WSB313" s="1956"/>
      <c r="WSC313" s="1956"/>
      <c r="WSD313" s="1956"/>
      <c r="WSE313" s="1956"/>
      <c r="WSF313" s="1956"/>
      <c r="WSG313" s="1956"/>
      <c r="WSH313" s="1956"/>
      <c r="WSI313" s="1956"/>
      <c r="WSJ313" s="1956"/>
      <c r="WSK313" s="1956"/>
      <c r="WSL313" s="1956"/>
      <c r="WSM313" s="1956"/>
      <c r="WSN313" s="1956"/>
      <c r="WSO313" s="1956"/>
      <c r="WSP313" s="1956"/>
      <c r="WSQ313" s="1956"/>
      <c r="WSR313" s="1956"/>
      <c r="WSS313" s="1956"/>
      <c r="WST313" s="1956"/>
      <c r="WSU313" s="1956"/>
      <c r="WSV313" s="1956"/>
      <c r="WSW313" s="1956"/>
      <c r="WSX313" s="1956"/>
      <c r="WSY313" s="1956"/>
      <c r="WSZ313" s="1956"/>
      <c r="WTA313" s="1956"/>
      <c r="WTB313" s="1956"/>
      <c r="WTC313" s="1956"/>
      <c r="WTD313" s="1956"/>
      <c r="WTE313" s="1956"/>
      <c r="WTF313" s="1956"/>
      <c r="WTG313" s="1956"/>
      <c r="WTH313" s="1956"/>
      <c r="WTI313" s="1956"/>
      <c r="WTJ313" s="1956"/>
      <c r="WTK313" s="1956"/>
      <c r="WTL313" s="1956"/>
      <c r="WTM313" s="1956"/>
      <c r="WTN313" s="1956"/>
      <c r="WTO313" s="1956"/>
      <c r="WTP313" s="1956"/>
      <c r="WTQ313" s="1956"/>
      <c r="WTR313" s="1956"/>
      <c r="WTS313" s="1956"/>
      <c r="WTT313" s="1956"/>
      <c r="WTU313" s="1956"/>
      <c r="WTV313" s="1956"/>
      <c r="WTW313" s="1956"/>
      <c r="WTX313" s="1956"/>
      <c r="WTY313" s="1956"/>
      <c r="WTZ313" s="1956"/>
      <c r="WUA313" s="1956"/>
      <c r="WUB313" s="1956"/>
      <c r="WUC313" s="1956"/>
      <c r="WUD313" s="1956"/>
      <c r="WUE313" s="1956"/>
      <c r="WUF313" s="1956"/>
      <c r="WUG313" s="1956"/>
      <c r="WUH313" s="1956"/>
      <c r="WUI313" s="1956"/>
      <c r="WUJ313" s="1956"/>
      <c r="WUK313" s="1956"/>
      <c r="WUL313" s="1956"/>
      <c r="WUM313" s="1956"/>
      <c r="WUN313" s="1956"/>
      <c r="WUO313" s="1956"/>
      <c r="WUP313" s="1956"/>
      <c r="WUQ313" s="1956"/>
      <c r="WUR313" s="1956"/>
      <c r="WUS313" s="1956"/>
      <c r="WUT313" s="1956"/>
      <c r="WUU313" s="1956"/>
      <c r="WUV313" s="1956"/>
      <c r="WUW313" s="1956"/>
      <c r="WUX313" s="1956"/>
      <c r="WUY313" s="1956"/>
      <c r="WUZ313" s="1956"/>
      <c r="WVA313" s="1956"/>
      <c r="WVB313" s="1956"/>
      <c r="WVC313" s="1956"/>
      <c r="WVD313" s="1956"/>
      <c r="WVE313" s="1956"/>
      <c r="WVF313" s="1956"/>
      <c r="WVG313" s="1956"/>
      <c r="WVH313" s="1956"/>
      <c r="WVI313" s="1956"/>
      <c r="WVJ313" s="1956"/>
      <c r="WVK313" s="1956"/>
      <c r="WVL313" s="1956"/>
      <c r="WVM313" s="1956"/>
      <c r="WVN313" s="1956"/>
      <c r="WVO313" s="1956"/>
      <c r="WVP313" s="1956"/>
      <c r="WVQ313" s="1956"/>
      <c r="WVR313" s="1956"/>
      <c r="WVS313" s="1956"/>
      <c r="WVT313" s="1956"/>
      <c r="WVU313" s="1956"/>
      <c r="WVV313" s="1956"/>
      <c r="WVW313" s="1956"/>
      <c r="WVX313" s="1956"/>
      <c r="WVY313" s="1956"/>
      <c r="WVZ313" s="1956"/>
      <c r="WWA313" s="1956"/>
      <c r="WWB313" s="1956"/>
      <c r="WWC313" s="1956"/>
      <c r="WWD313" s="1956"/>
      <c r="WWE313" s="1956"/>
      <c r="WWF313" s="1956"/>
      <c r="WWG313" s="1956"/>
      <c r="WWH313" s="1956"/>
      <c r="WWI313" s="1956"/>
      <c r="WWJ313" s="1956"/>
      <c r="WWK313" s="1956"/>
      <c r="WWL313" s="1956"/>
      <c r="WWM313" s="1956"/>
      <c r="WWN313" s="1956"/>
      <c r="WWO313" s="1956"/>
      <c r="WWP313" s="1956"/>
      <c r="WWQ313" s="1956"/>
      <c r="WWR313" s="1956"/>
      <c r="WWS313" s="1956"/>
      <c r="WWT313" s="1956"/>
      <c r="WWU313" s="1956"/>
      <c r="WWV313" s="1956"/>
      <c r="WWW313" s="1956"/>
      <c r="WWX313" s="1956"/>
      <c r="WWY313" s="1956"/>
      <c r="WWZ313" s="1956"/>
      <c r="WXA313" s="1956"/>
      <c r="WXB313" s="1956"/>
      <c r="WXC313" s="1956"/>
      <c r="WXD313" s="1956"/>
      <c r="WXE313" s="1956"/>
      <c r="WXF313" s="1956"/>
      <c r="WXG313" s="1956"/>
      <c r="WXH313" s="1956"/>
      <c r="WXI313" s="1956"/>
      <c r="WXJ313" s="1956"/>
      <c r="WXK313" s="1956"/>
      <c r="WXL313" s="1956"/>
      <c r="WXM313" s="1956"/>
      <c r="WXN313" s="1956"/>
      <c r="WXO313" s="1956"/>
      <c r="WXP313" s="1956"/>
      <c r="WXQ313" s="1956"/>
      <c r="WXR313" s="1956"/>
      <c r="WXS313" s="1956"/>
      <c r="WXT313" s="1956"/>
      <c r="WXU313" s="1956"/>
      <c r="WXV313" s="1956"/>
      <c r="WXW313" s="1956"/>
      <c r="WXX313" s="1956"/>
      <c r="WXY313" s="1956"/>
      <c r="WXZ313" s="1956"/>
      <c r="WYA313" s="1956"/>
      <c r="WYB313" s="1956"/>
      <c r="WYC313" s="1956"/>
      <c r="WYD313" s="1956"/>
      <c r="WYE313" s="1956"/>
      <c r="WYF313" s="1956"/>
      <c r="WYG313" s="1956"/>
      <c r="WYH313" s="1956"/>
      <c r="WYI313" s="1956"/>
      <c r="WYJ313" s="1956"/>
      <c r="WYK313" s="1956"/>
      <c r="WYL313" s="1956"/>
      <c r="WYM313" s="1956"/>
      <c r="WYN313" s="1956"/>
      <c r="WYO313" s="1956"/>
      <c r="WYP313" s="1956"/>
      <c r="WYQ313" s="1956"/>
      <c r="WYR313" s="1956"/>
      <c r="WYS313" s="1956"/>
      <c r="WYT313" s="1956"/>
      <c r="WYU313" s="1956"/>
      <c r="WYV313" s="1956"/>
      <c r="WYW313" s="1956"/>
      <c r="WYX313" s="1956"/>
      <c r="WYY313" s="1956"/>
      <c r="WYZ313" s="1956"/>
      <c r="WZA313" s="1956"/>
      <c r="WZB313" s="1956"/>
      <c r="WZC313" s="1956"/>
      <c r="WZD313" s="1956"/>
      <c r="WZE313" s="1956"/>
      <c r="WZF313" s="1956"/>
      <c r="WZG313" s="1956"/>
      <c r="WZH313" s="1956"/>
      <c r="WZI313" s="1956"/>
      <c r="WZJ313" s="1956"/>
      <c r="WZK313" s="1956"/>
      <c r="WZL313" s="1956"/>
      <c r="WZM313" s="1956"/>
      <c r="WZN313" s="1956"/>
      <c r="WZO313" s="1956"/>
      <c r="WZP313" s="1956"/>
      <c r="WZQ313" s="1956"/>
      <c r="WZR313" s="1956"/>
      <c r="WZS313" s="1956"/>
      <c r="WZT313" s="1956"/>
      <c r="WZU313" s="1956"/>
      <c r="WZV313" s="1956"/>
      <c r="WZW313" s="1956"/>
      <c r="WZX313" s="1956"/>
      <c r="WZY313" s="1956"/>
      <c r="WZZ313" s="1956"/>
      <c r="XAA313" s="1956"/>
      <c r="XAB313" s="1956"/>
      <c r="XAC313" s="1956"/>
      <c r="XAD313" s="1956"/>
      <c r="XAE313" s="1956"/>
      <c r="XAF313" s="1956"/>
      <c r="XAG313" s="1956"/>
      <c r="XAH313" s="1956"/>
      <c r="XAI313" s="1956"/>
      <c r="XAJ313" s="1956"/>
      <c r="XAK313" s="1956"/>
      <c r="XAL313" s="1956"/>
      <c r="XAM313" s="1956"/>
      <c r="XAN313" s="1956"/>
      <c r="XAO313" s="1956"/>
      <c r="XAP313" s="1956"/>
      <c r="XAQ313" s="1956"/>
      <c r="XAR313" s="1956"/>
      <c r="XAS313" s="1956"/>
      <c r="XAT313" s="1956"/>
      <c r="XAU313" s="1956"/>
      <c r="XAV313" s="1956"/>
      <c r="XAW313" s="1956"/>
      <c r="XAX313" s="1956"/>
      <c r="XAY313" s="1956"/>
      <c r="XAZ313" s="1956"/>
      <c r="XBA313" s="1956"/>
      <c r="XBB313" s="1956"/>
      <c r="XBC313" s="1956"/>
      <c r="XBD313" s="1956"/>
      <c r="XBE313" s="1956"/>
      <c r="XBF313" s="1956"/>
      <c r="XBG313" s="1956"/>
      <c r="XBH313" s="1956"/>
      <c r="XBI313" s="1956"/>
      <c r="XBJ313" s="1956"/>
      <c r="XBK313" s="1956"/>
      <c r="XBL313" s="1956"/>
      <c r="XBM313" s="1956"/>
      <c r="XBN313" s="1956"/>
      <c r="XBO313" s="1956"/>
      <c r="XBP313" s="1956"/>
      <c r="XBQ313" s="1956"/>
      <c r="XBR313" s="1956"/>
      <c r="XBS313" s="1956"/>
      <c r="XBT313" s="1956"/>
      <c r="XBU313" s="1956"/>
      <c r="XBV313" s="1956"/>
      <c r="XBW313" s="1956"/>
      <c r="XBX313" s="1956"/>
      <c r="XBY313" s="1956"/>
      <c r="XBZ313" s="1956"/>
      <c r="XCA313" s="1956"/>
      <c r="XCB313" s="1956"/>
      <c r="XCC313" s="1956"/>
      <c r="XCD313" s="1956"/>
      <c r="XCE313" s="1956"/>
      <c r="XCF313" s="1956"/>
      <c r="XCG313" s="1956"/>
      <c r="XCH313" s="1956"/>
      <c r="XCI313" s="1956"/>
      <c r="XCJ313" s="1956"/>
      <c r="XCK313" s="1956"/>
      <c r="XCL313" s="1956"/>
      <c r="XCM313" s="1956"/>
      <c r="XCN313" s="1956"/>
      <c r="XCO313" s="1956"/>
      <c r="XCP313" s="1956"/>
      <c r="XCQ313" s="1956"/>
      <c r="XCR313" s="1956"/>
      <c r="XCS313" s="1956"/>
      <c r="XCT313" s="1956"/>
      <c r="XCU313" s="1956"/>
      <c r="XCV313" s="1956"/>
      <c r="XCW313" s="1956"/>
      <c r="XCX313" s="1956"/>
      <c r="XCY313" s="1956"/>
      <c r="XCZ313" s="1956"/>
      <c r="XDA313" s="1956"/>
      <c r="XDB313" s="1956"/>
      <c r="XDC313" s="1956"/>
      <c r="XDD313" s="1956"/>
      <c r="XDE313" s="1956"/>
      <c r="XDF313" s="1956"/>
      <c r="XDG313" s="1956"/>
      <c r="XDH313" s="1956"/>
      <c r="XDI313" s="1956"/>
      <c r="XDJ313" s="1956"/>
      <c r="XDK313" s="1956"/>
      <c r="XDL313" s="1956"/>
      <c r="XDM313" s="1956"/>
      <c r="XDN313" s="1956"/>
      <c r="XDO313" s="1956"/>
      <c r="XDP313" s="1956"/>
      <c r="XDQ313" s="1956"/>
      <c r="XDR313" s="1956"/>
      <c r="XDS313" s="1956"/>
      <c r="XDT313" s="1956"/>
      <c r="XDU313" s="1956"/>
      <c r="XDV313" s="1956"/>
      <c r="XDW313" s="1956"/>
      <c r="XDX313" s="1956"/>
      <c r="XDY313" s="1956"/>
      <c r="XDZ313" s="1956"/>
      <c r="XEA313" s="1956"/>
      <c r="XEB313" s="1956"/>
      <c r="XEC313" s="1956"/>
      <c r="XED313" s="1956"/>
      <c r="XEE313" s="1956"/>
      <c r="XEF313" s="1956"/>
      <c r="XEG313" s="1956"/>
      <c r="XEH313" s="1956"/>
      <c r="XEI313" s="1956"/>
      <c r="XEJ313" s="1956"/>
      <c r="XEK313" s="1956"/>
      <c r="XEL313" s="1956"/>
      <c r="XEM313" s="1956"/>
      <c r="XEN313" s="1956"/>
      <c r="XEO313" s="1956"/>
      <c r="XEP313" s="1956"/>
      <c r="XEQ313" s="1956"/>
      <c r="XER313" s="1956"/>
      <c r="XES313" s="1956"/>
      <c r="XET313" s="1956"/>
      <c r="XEU313" s="1956"/>
      <c r="XEV313" s="1956"/>
      <c r="XEW313" s="1956"/>
      <c r="XEX313" s="1956"/>
      <c r="XEY313" s="1956"/>
      <c r="XEZ313" s="1956"/>
      <c r="XFA313" s="1956"/>
    </row>
    <row r="314" spans="1:16381" s="1635" customFormat="1" ht="15.75" customHeight="1" outlineLevel="1">
      <c r="A314" s="1631" t="str">
        <f t="shared" si="21"/>
        <v>FLYNN  (Holtsville)392Transportation Equipment</v>
      </c>
      <c r="B314" s="1972" t="s">
        <v>1541</v>
      </c>
      <c r="C314" s="1633" t="s">
        <v>107</v>
      </c>
      <c r="D314" s="1634" t="s">
        <v>155</v>
      </c>
      <c r="E314" s="1633">
        <v>392</v>
      </c>
      <c r="F314" s="1633" t="s">
        <v>77</v>
      </c>
      <c r="G314" s="1304">
        <v>170789.7</v>
      </c>
      <c r="H314" s="1304">
        <v>119476.59999999999</v>
      </c>
      <c r="I314" s="1304">
        <v>51313.10000000002</v>
      </c>
      <c r="J314" s="1304">
        <v>11653.99</v>
      </c>
      <c r="K314" s="1304">
        <v>91385.71</v>
      </c>
      <c r="L314" s="1304">
        <v>107822.60999999999</v>
      </c>
      <c r="M314" s="1304">
        <v>-16436.89999999998</v>
      </c>
      <c r="N314" s="1304">
        <v>7595</v>
      </c>
      <c r="O314"/>
      <c r="P314"/>
      <c r="Q314"/>
      <c r="R314"/>
      <c r="S314"/>
      <c r="T314"/>
      <c r="U314"/>
      <c r="V314"/>
      <c r="W314"/>
      <c r="X314"/>
      <c r="Y314"/>
      <c r="Z314"/>
    </row>
    <row r="315" spans="1:16381" s="1635" customFormat="1" ht="15.75" customHeight="1" outlineLevel="1">
      <c r="A315" s="1631" t="str">
        <f t="shared" si="21"/>
        <v>FLYNN  (Holtsville)393Stores Equipment</v>
      </c>
      <c r="B315" s="1972" t="s">
        <v>1542</v>
      </c>
      <c r="C315" s="1633" t="s">
        <v>107</v>
      </c>
      <c r="D315" s="1634" t="s">
        <v>155</v>
      </c>
      <c r="E315" s="1633">
        <v>393</v>
      </c>
      <c r="F315" s="1633" t="s">
        <v>78</v>
      </c>
      <c r="G315" s="1304">
        <v>0</v>
      </c>
      <c r="H315" s="1174">
        <v>0</v>
      </c>
      <c r="I315" s="1174">
        <v>0</v>
      </c>
      <c r="J315" s="1174">
        <v>0</v>
      </c>
      <c r="K315" s="1304">
        <v>0</v>
      </c>
      <c r="L315" s="1304">
        <v>0</v>
      </c>
      <c r="M315" s="1304">
        <v>0</v>
      </c>
      <c r="N315" s="1304">
        <v>0</v>
      </c>
      <c r="O315"/>
      <c r="P315"/>
      <c r="Q315"/>
      <c r="R315"/>
      <c r="S315"/>
      <c r="T315"/>
      <c r="U315"/>
      <c r="V315"/>
      <c r="W315"/>
      <c r="X315"/>
      <c r="Y315"/>
      <c r="Z315"/>
    </row>
    <row r="316" spans="1:16381" s="1635" customFormat="1" ht="15.6" customHeight="1" outlineLevel="1">
      <c r="A316" s="1631" t="str">
        <f t="shared" si="21"/>
        <v>FLYNN  (Holtsville)394Tools, Shop &amp; Garage Equipment</v>
      </c>
      <c r="B316" s="1972" t="s">
        <v>1543</v>
      </c>
      <c r="C316" s="1633" t="s">
        <v>107</v>
      </c>
      <c r="D316" s="1634" t="s">
        <v>155</v>
      </c>
      <c r="E316" s="1633">
        <v>394</v>
      </c>
      <c r="F316" s="1633" t="s">
        <v>79</v>
      </c>
      <c r="G316" s="1304">
        <v>147596</v>
      </c>
      <c r="H316" s="1304">
        <v>140945</v>
      </c>
      <c r="I316" s="1304">
        <v>6651</v>
      </c>
      <c r="J316" s="1304">
        <v>1056</v>
      </c>
      <c r="K316" s="1304">
        <v>147596</v>
      </c>
      <c r="L316" s="1304">
        <v>139889</v>
      </c>
      <c r="M316" s="1304">
        <v>7707</v>
      </c>
      <c r="N316" s="1304">
        <v>1056</v>
      </c>
      <c r="O316"/>
      <c r="P316"/>
      <c r="Q316"/>
      <c r="R316"/>
      <c r="S316"/>
      <c r="T316"/>
      <c r="U316"/>
      <c r="V316"/>
      <c r="W316"/>
      <c r="X316"/>
      <c r="Y316"/>
      <c r="Z316"/>
    </row>
    <row r="317" spans="1:16381" s="1635" customFormat="1" ht="12.75" customHeight="1" outlineLevel="1">
      <c r="A317" s="1631" t="str">
        <f t="shared" si="21"/>
        <v>FLYNN  (Holtsville)395Laboratory Equipment</v>
      </c>
      <c r="B317" s="1972" t="s">
        <v>1544</v>
      </c>
      <c r="C317" s="1633" t="s">
        <v>107</v>
      </c>
      <c r="D317" s="1634" t="s">
        <v>155</v>
      </c>
      <c r="E317" s="1633">
        <v>395</v>
      </c>
      <c r="F317" s="1633" t="s">
        <v>80</v>
      </c>
      <c r="G317" s="1304">
        <v>49048.73</v>
      </c>
      <c r="H317" s="1304">
        <v>58805.729999999996</v>
      </c>
      <c r="I317" s="1304">
        <v>-9756.9999999999927</v>
      </c>
      <c r="J317" s="1304">
        <v>0</v>
      </c>
      <c r="K317" s="1304">
        <v>49048.73</v>
      </c>
      <c r="L317" s="1304">
        <v>58805.729999999996</v>
      </c>
      <c r="M317" s="1304">
        <v>-9756.9999999999927</v>
      </c>
      <c r="N317" s="1304">
        <v>557</v>
      </c>
      <c r="O317"/>
      <c r="P317"/>
      <c r="Q317"/>
      <c r="R317"/>
      <c r="S317"/>
      <c r="T317"/>
      <c r="U317"/>
      <c r="V317"/>
      <c r="W317"/>
      <c r="X317"/>
      <c r="Y317"/>
      <c r="Z317"/>
    </row>
    <row r="318" spans="1:16381" s="1635" customFormat="1" ht="15.6" customHeight="1" outlineLevel="1">
      <c r="A318" s="1631" t="str">
        <f t="shared" si="21"/>
        <v>FLYNN  (Holtsville)396Power Operated Equipment</v>
      </c>
      <c r="B318" s="1972" t="s">
        <v>1545</v>
      </c>
      <c r="C318" s="1633" t="s">
        <v>107</v>
      </c>
      <c r="D318" s="1634" t="s">
        <v>155</v>
      </c>
      <c r="E318" s="1633">
        <v>396</v>
      </c>
      <c r="F318" s="1633" t="s">
        <v>81</v>
      </c>
      <c r="G318" s="1304">
        <v>286292.76</v>
      </c>
      <c r="H318" s="1304">
        <v>157212.75</v>
      </c>
      <c r="I318" s="1304">
        <v>129080.01000000001</v>
      </c>
      <c r="J318" s="1304">
        <v>27022</v>
      </c>
      <c r="K318" s="1304">
        <v>286292.76</v>
      </c>
      <c r="L318" s="1304">
        <v>130190.75</v>
      </c>
      <c r="M318" s="1304">
        <v>156102.01</v>
      </c>
      <c r="N318" s="1304">
        <v>27635</v>
      </c>
      <c r="O318"/>
      <c r="P318"/>
      <c r="Q318"/>
      <c r="R318"/>
      <c r="S318"/>
      <c r="T318"/>
      <c r="U318"/>
      <c r="V318"/>
      <c r="W318"/>
      <c r="X318"/>
      <c r="Y318"/>
      <c r="Z318"/>
    </row>
    <row r="319" spans="1:16381" s="1635" customFormat="1" ht="15.75" customHeight="1" outlineLevel="1">
      <c r="A319" s="1631" t="str">
        <f t="shared" si="21"/>
        <v>FLYNN  (Holtsville)397Communication Equipment</v>
      </c>
      <c r="B319" s="1972" t="s">
        <v>1546</v>
      </c>
      <c r="C319" s="1633" t="s">
        <v>107</v>
      </c>
      <c r="D319" s="1634" t="s">
        <v>155</v>
      </c>
      <c r="E319" s="1633">
        <v>397</v>
      </c>
      <c r="F319" s="1633" t="s">
        <v>82</v>
      </c>
      <c r="G319" s="1304">
        <v>349918</v>
      </c>
      <c r="H319" s="1304">
        <v>349917</v>
      </c>
      <c r="I319" s="1304">
        <v>1</v>
      </c>
      <c r="J319" s="1304">
        <v>0</v>
      </c>
      <c r="K319" s="1304">
        <v>349918</v>
      </c>
      <c r="L319" s="1304">
        <v>349917</v>
      </c>
      <c r="M319" s="1304">
        <v>1</v>
      </c>
      <c r="N319" s="1304">
        <v>0</v>
      </c>
      <c r="O319"/>
      <c r="P319"/>
      <c r="Q319"/>
      <c r="R319"/>
      <c r="S319"/>
      <c r="T319"/>
      <c r="U319"/>
      <c r="V319"/>
      <c r="W319"/>
      <c r="X319"/>
      <c r="Y319"/>
      <c r="Z319"/>
    </row>
    <row r="320" spans="1:16381" s="1635" customFormat="1" ht="15.75" customHeight="1" outlineLevel="1">
      <c r="A320" s="1631" t="str">
        <f t="shared" si="21"/>
        <v>FLYNN  (Holtsville)398Miscellaneous Equipment</v>
      </c>
      <c r="B320" s="1972" t="s">
        <v>1547</v>
      </c>
      <c r="C320" s="1633" t="s">
        <v>107</v>
      </c>
      <c r="D320" s="1634" t="s">
        <v>155</v>
      </c>
      <c r="E320" s="1633">
        <v>398</v>
      </c>
      <c r="F320" s="1633" t="s">
        <v>83</v>
      </c>
      <c r="G320" s="1304">
        <v>882659.5</v>
      </c>
      <c r="H320" s="1304">
        <v>394957.08</v>
      </c>
      <c r="I320" s="1304">
        <v>487702.42</v>
      </c>
      <c r="J320" s="1304">
        <v>28839</v>
      </c>
      <c r="K320" s="1304">
        <v>509925.5</v>
      </c>
      <c r="L320" s="1304">
        <v>366118.08</v>
      </c>
      <c r="M320" s="1304">
        <v>143807.41999999998</v>
      </c>
      <c r="N320" s="1304">
        <v>17615</v>
      </c>
      <c r="O320"/>
      <c r="P320"/>
      <c r="Q320"/>
      <c r="R320"/>
      <c r="S320"/>
      <c r="T320"/>
      <c r="U320"/>
      <c r="V320"/>
      <c r="W320"/>
      <c r="X320"/>
      <c r="Y320"/>
      <c r="Z320"/>
    </row>
    <row r="321" spans="1:26" s="1635" customFormat="1" ht="15.75" customHeight="1" outlineLevel="1">
      <c r="A321" s="1631" t="str">
        <f t="shared" si="21"/>
        <v>GOWANUS  (Brooklyn)396Power Operated Equipment</v>
      </c>
      <c r="B321" s="1972" t="s">
        <v>1548</v>
      </c>
      <c r="C321" s="1633" t="s">
        <v>107</v>
      </c>
      <c r="D321" s="1634" t="s">
        <v>156</v>
      </c>
      <c r="E321" s="1633">
        <v>396</v>
      </c>
      <c r="F321" s="1633" t="s">
        <v>81</v>
      </c>
      <c r="G321" s="1304">
        <v>28597</v>
      </c>
      <c r="H321" s="1304">
        <v>26194</v>
      </c>
      <c r="I321" s="1304">
        <v>2403</v>
      </c>
      <c r="J321" s="1304">
        <v>672</v>
      </c>
      <c r="K321" s="1304">
        <v>28597</v>
      </c>
      <c r="L321" s="1304">
        <v>25522</v>
      </c>
      <c r="M321" s="1304">
        <v>3075</v>
      </c>
      <c r="N321" s="1304">
        <v>672</v>
      </c>
      <c r="O321"/>
      <c r="P321"/>
      <c r="Q321"/>
      <c r="R321"/>
      <c r="S321"/>
      <c r="T321"/>
      <c r="U321"/>
      <c r="V321"/>
      <c r="W321"/>
      <c r="X321"/>
      <c r="Y321"/>
      <c r="Z321"/>
    </row>
    <row r="322" spans="1:26" s="1635" customFormat="1" ht="15.75" customHeight="1" outlineLevel="1">
      <c r="A322" s="1631" t="str">
        <f t="shared" si="21"/>
        <v>GOWANUS  (Brooklyn)398Miscellaneous Equipment</v>
      </c>
      <c r="B322" s="1972" t="s">
        <v>1549</v>
      </c>
      <c r="C322" s="1633" t="s">
        <v>107</v>
      </c>
      <c r="D322" s="1634" t="s">
        <v>156</v>
      </c>
      <c r="E322" s="1633">
        <v>398</v>
      </c>
      <c r="F322" s="1633" t="s">
        <v>83</v>
      </c>
      <c r="G322" s="1304">
        <v>427955.33999999997</v>
      </c>
      <c r="H322" s="1304">
        <v>427955.33999999997</v>
      </c>
      <c r="I322" s="1304">
        <v>0</v>
      </c>
      <c r="J322" s="1304">
        <v>0</v>
      </c>
      <c r="K322" s="1304">
        <v>427955.33999999997</v>
      </c>
      <c r="L322" s="1304">
        <v>427955.33999999997</v>
      </c>
      <c r="M322" s="1304">
        <v>0</v>
      </c>
      <c r="N322" s="1304">
        <v>0</v>
      </c>
      <c r="O322"/>
      <c r="P322"/>
      <c r="Q322"/>
      <c r="R322"/>
      <c r="S322"/>
      <c r="T322"/>
      <c r="U322"/>
      <c r="V322"/>
      <c r="W322"/>
      <c r="X322"/>
      <c r="Y322"/>
      <c r="Z322"/>
    </row>
    <row r="323" spans="1:26" s="1635" customFormat="1" ht="15.75" customHeight="1" outlineLevel="1">
      <c r="A323" s="1631" t="str">
        <f t="shared" si="21"/>
        <v>HARLEM RIVER YARDS  (Bronx)396Power Operated Equipment</v>
      </c>
      <c r="B323" s="1972" t="s">
        <v>1550</v>
      </c>
      <c r="C323" s="1633" t="s">
        <v>107</v>
      </c>
      <c r="D323" s="1634" t="s">
        <v>157</v>
      </c>
      <c r="E323" s="1633">
        <v>396</v>
      </c>
      <c r="F323" s="1633" t="s">
        <v>81</v>
      </c>
      <c r="G323" s="1304">
        <v>21882</v>
      </c>
      <c r="H323" s="1304">
        <v>21882</v>
      </c>
      <c r="I323" s="1304">
        <v>0</v>
      </c>
      <c r="J323" s="1304">
        <v>0</v>
      </c>
      <c r="K323" s="1304">
        <v>21882</v>
      </c>
      <c r="L323" s="1304">
        <v>21882</v>
      </c>
      <c r="M323" s="1304">
        <v>0</v>
      </c>
      <c r="N323" s="1304">
        <v>0</v>
      </c>
      <c r="O323"/>
      <c r="P323"/>
      <c r="Q323"/>
      <c r="R323"/>
      <c r="S323"/>
      <c r="T323"/>
      <c r="U323"/>
      <c r="V323"/>
      <c r="W323"/>
      <c r="X323"/>
      <c r="Y323"/>
      <c r="Z323"/>
    </row>
    <row r="324" spans="1:26" s="1635" customFormat="1" ht="15.75" customHeight="1" outlineLevel="1">
      <c r="A324" s="1631" t="str">
        <f t="shared" si="21"/>
        <v>HARLEM RIVER YARDS  (Bronx)398Miscellaneous Equipment</v>
      </c>
      <c r="B324" s="1972" t="s">
        <v>1551</v>
      </c>
      <c r="C324" s="1633" t="s">
        <v>107</v>
      </c>
      <c r="D324" s="1634" t="s">
        <v>157</v>
      </c>
      <c r="E324" s="1633">
        <v>398</v>
      </c>
      <c r="F324" s="1633" t="s">
        <v>83</v>
      </c>
      <c r="G324" s="1304">
        <v>1166179.73</v>
      </c>
      <c r="H324" s="1304">
        <v>1166179.73</v>
      </c>
      <c r="I324" s="1304">
        <v>0</v>
      </c>
      <c r="J324" s="1304">
        <v>0</v>
      </c>
      <c r="K324" s="1304">
        <v>1166179.73</v>
      </c>
      <c r="L324" s="1304">
        <v>1166179.73</v>
      </c>
      <c r="M324" s="1304">
        <v>0</v>
      </c>
      <c r="N324" s="1304">
        <v>0</v>
      </c>
      <c r="O324"/>
      <c r="P324"/>
      <c r="Q324"/>
      <c r="R324"/>
      <c r="S324"/>
      <c r="T324"/>
      <c r="U324"/>
      <c r="V324"/>
      <c r="W324"/>
      <c r="X324"/>
      <c r="Y324"/>
      <c r="Z324"/>
    </row>
    <row r="325" spans="1:26" s="1635" customFormat="1" ht="15.75" customHeight="1" outlineLevel="1">
      <c r="A325" s="1631" t="str">
        <f t="shared" si="21"/>
        <v>HELLGATE  (Bronx)396Power Operated Equipment</v>
      </c>
      <c r="B325" s="1972" t="s">
        <v>1552</v>
      </c>
      <c r="C325" s="1633" t="s">
        <v>107</v>
      </c>
      <c r="D325" s="1634" t="s">
        <v>158</v>
      </c>
      <c r="E325" s="1633">
        <v>396</v>
      </c>
      <c r="F325" s="1633" t="s">
        <v>81</v>
      </c>
      <c r="G325" s="1304">
        <v>22076</v>
      </c>
      <c r="H325" s="1304">
        <v>22076</v>
      </c>
      <c r="I325" s="1304">
        <v>0</v>
      </c>
      <c r="J325" s="1304">
        <v>0</v>
      </c>
      <c r="K325" s="1304">
        <v>22076</v>
      </c>
      <c r="L325" s="1304">
        <v>22076</v>
      </c>
      <c r="M325" s="1304">
        <v>0</v>
      </c>
      <c r="N325" s="1304">
        <v>0</v>
      </c>
      <c r="O325"/>
      <c r="P325"/>
      <c r="Q325"/>
      <c r="R325"/>
      <c r="S325"/>
      <c r="T325"/>
      <c r="U325"/>
      <c r="V325"/>
      <c r="W325"/>
      <c r="X325"/>
      <c r="Y325"/>
      <c r="Z325"/>
    </row>
    <row r="326" spans="1:26" s="1635" customFormat="1" ht="15.75" customHeight="1" outlineLevel="1">
      <c r="A326" s="1631" t="str">
        <f t="shared" si="21"/>
        <v>HELLGATE  (Bronx)398Miscellaneous Equipment</v>
      </c>
      <c r="B326" s="1972" t="s">
        <v>1553</v>
      </c>
      <c r="C326" s="1633" t="s">
        <v>107</v>
      </c>
      <c r="D326" s="1634" t="s">
        <v>158</v>
      </c>
      <c r="E326" s="1633">
        <v>398</v>
      </c>
      <c r="F326" s="1633" t="s">
        <v>83</v>
      </c>
      <c r="G326" s="1304">
        <v>1272183.1099999999</v>
      </c>
      <c r="H326" s="1304">
        <v>1272183.5899999999</v>
      </c>
      <c r="I326" s="1304">
        <v>-0.47999999998137355</v>
      </c>
      <c r="J326" s="1304">
        <v>2489</v>
      </c>
      <c r="K326" s="1304">
        <v>1272183.1099999999</v>
      </c>
      <c r="L326" s="1304">
        <v>1269694.5899999999</v>
      </c>
      <c r="M326" s="1304">
        <v>2488.5200000000186</v>
      </c>
      <c r="N326" s="1304">
        <v>3330</v>
      </c>
      <c r="O326"/>
      <c r="P326"/>
      <c r="Q326"/>
      <c r="R326"/>
      <c r="S326"/>
      <c r="T326"/>
      <c r="U326"/>
      <c r="V326"/>
      <c r="W326"/>
      <c r="X326"/>
      <c r="Y326"/>
      <c r="Z326"/>
    </row>
    <row r="327" spans="1:26" s="1635" customFormat="1" ht="15.75" customHeight="1" outlineLevel="1">
      <c r="A327" s="1631" t="str">
        <f t="shared" si="21"/>
        <v>Jarvis399Other Tangible Property</v>
      </c>
      <c r="B327" s="1972" t="s">
        <v>1554</v>
      </c>
      <c r="C327" s="1633" t="s">
        <v>107</v>
      </c>
      <c r="D327" s="1634" t="s">
        <v>162</v>
      </c>
      <c r="E327" s="1633">
        <v>399</v>
      </c>
      <c r="F327" s="1633" t="s">
        <v>84</v>
      </c>
      <c r="G327" s="1304">
        <v>427000</v>
      </c>
      <c r="H327" s="1304">
        <v>219264</v>
      </c>
      <c r="I327" s="1304">
        <v>207736</v>
      </c>
      <c r="J327" s="1304">
        <v>7117</v>
      </c>
      <c r="K327" s="1304">
        <v>427000</v>
      </c>
      <c r="L327" s="1304">
        <v>212147</v>
      </c>
      <c r="M327" s="1304">
        <v>214853</v>
      </c>
      <c r="N327" s="1304">
        <v>7117</v>
      </c>
      <c r="O327"/>
      <c r="P327"/>
      <c r="Q327"/>
      <c r="R327"/>
      <c r="S327"/>
      <c r="T327"/>
      <c r="U327"/>
      <c r="V327"/>
      <c r="W327"/>
      <c r="X327"/>
      <c r="Y327"/>
      <c r="Z327"/>
    </row>
    <row r="328" spans="1:26" s="1635" customFormat="1" ht="15.75" customHeight="1" outlineLevel="1">
      <c r="A328" s="1631" t="str">
        <f t="shared" si="21"/>
        <v>KENT  (Brooklyn)396Power Operated Equipment</v>
      </c>
      <c r="B328" s="1972" t="s">
        <v>1555</v>
      </c>
      <c r="C328" s="1633" t="s">
        <v>107</v>
      </c>
      <c r="D328" s="1634" t="s">
        <v>165</v>
      </c>
      <c r="E328" s="1633">
        <v>396</v>
      </c>
      <c r="F328" s="1633" t="s">
        <v>81</v>
      </c>
      <c r="G328" s="1304">
        <v>22076</v>
      </c>
      <c r="H328" s="1304">
        <v>22076</v>
      </c>
      <c r="I328" s="1304">
        <v>0</v>
      </c>
      <c r="J328" s="1304">
        <v>0</v>
      </c>
      <c r="K328" s="1304">
        <v>22076</v>
      </c>
      <c r="L328" s="1304">
        <v>22076</v>
      </c>
      <c r="M328" s="1304">
        <v>0</v>
      </c>
      <c r="N328" s="1304">
        <v>0</v>
      </c>
      <c r="O328"/>
      <c r="P328"/>
      <c r="Q328"/>
      <c r="R328"/>
      <c r="S328"/>
      <c r="T328"/>
      <c r="U328"/>
      <c r="V328"/>
      <c r="W328"/>
      <c r="X328"/>
      <c r="Y328"/>
      <c r="Z328"/>
    </row>
    <row r="329" spans="1:26" s="1635" customFormat="1" ht="15.75" customHeight="1" outlineLevel="1">
      <c r="A329" s="1631" t="str">
        <f t="shared" si="21"/>
        <v>KENT  (Brooklyn)398Miscellaneous Equipment</v>
      </c>
      <c r="B329" s="1632" t="s">
        <v>1556</v>
      </c>
      <c r="C329" s="1633" t="s">
        <v>107</v>
      </c>
      <c r="D329" s="1634" t="s">
        <v>165</v>
      </c>
      <c r="E329" s="1633">
        <v>398</v>
      </c>
      <c r="F329" s="1633" t="s">
        <v>83</v>
      </c>
      <c r="G329" s="1304">
        <v>228133.34</v>
      </c>
      <c r="H329" s="1304">
        <v>228133.34</v>
      </c>
      <c r="I329" s="1304">
        <v>0</v>
      </c>
      <c r="J329" s="1304">
        <v>0</v>
      </c>
      <c r="K329" s="1304">
        <v>228133.34</v>
      </c>
      <c r="L329" s="1304">
        <v>228133.34</v>
      </c>
      <c r="M329" s="1304">
        <v>0</v>
      </c>
      <c r="N329" s="1304">
        <v>0</v>
      </c>
      <c r="O329"/>
      <c r="P329"/>
      <c r="Q329"/>
      <c r="R329"/>
      <c r="S329"/>
      <c r="T329"/>
      <c r="U329"/>
      <c r="V329"/>
      <c r="W329"/>
      <c r="X329"/>
      <c r="Y329"/>
      <c r="Z329"/>
    </row>
    <row r="330" spans="1:26" s="1635" customFormat="1" ht="15.75" customHeight="1" outlineLevel="1">
      <c r="A330" s="1631" t="str">
        <f t="shared" ref="A330" si="22">CONCATENATE(D330,E330,F330)</f>
        <v>New York Energy Manager121Non-utility Property</v>
      </c>
      <c r="B330" s="1632" t="s">
        <v>1557</v>
      </c>
      <c r="C330" s="1633" t="s">
        <v>107</v>
      </c>
      <c r="D330" s="1634" t="s">
        <v>2044</v>
      </c>
      <c r="E330" s="1633">
        <v>121</v>
      </c>
      <c r="F330" s="1633" t="s">
        <v>2046</v>
      </c>
      <c r="G330" s="1304">
        <v>597048.14580000006</v>
      </c>
      <c r="H330" s="1304">
        <v>298101.92580000003</v>
      </c>
      <c r="I330" s="1304">
        <v>298946.21999999991</v>
      </c>
      <c r="J330" s="1304">
        <v>110284.2</v>
      </c>
      <c r="K330" s="1304">
        <v>597048.14579999994</v>
      </c>
      <c r="L330" s="1304">
        <v>187817.72580000001</v>
      </c>
      <c r="M330" s="1304">
        <v>409230.42</v>
      </c>
      <c r="N330" s="1304">
        <v>111295.7292</v>
      </c>
      <c r="O330"/>
      <c r="P330"/>
      <c r="Q330"/>
      <c r="R330"/>
      <c r="S330"/>
      <c r="T330"/>
      <c r="U330"/>
      <c r="V330"/>
      <c r="W330"/>
      <c r="X330"/>
      <c r="Y330"/>
      <c r="Z330"/>
    </row>
    <row r="331" spans="1:26" s="1635" customFormat="1" ht="15.75" customHeight="1" outlineLevel="1">
      <c r="A331" s="1631" t="str">
        <f t="shared" si="21"/>
        <v>POLETTI  (Astoria)390Structures &amp; Improvements</v>
      </c>
      <c r="B331" s="1632" t="s">
        <v>1558</v>
      </c>
      <c r="C331" s="1633" t="s">
        <v>107</v>
      </c>
      <c r="D331" s="1634" t="s">
        <v>161</v>
      </c>
      <c r="E331" s="1633">
        <v>390</v>
      </c>
      <c r="F331" s="1633" t="s">
        <v>69</v>
      </c>
      <c r="G331" s="1304">
        <v>3656291.83</v>
      </c>
      <c r="H331" s="1304">
        <v>1447317.4400000002</v>
      </c>
      <c r="I331" s="1304">
        <v>2208974.3899999997</v>
      </c>
      <c r="J331" s="1304">
        <v>79627</v>
      </c>
      <c r="K331" s="1304">
        <v>3656291.83</v>
      </c>
      <c r="L331" s="1304">
        <v>1367690.4400000002</v>
      </c>
      <c r="M331" s="1304">
        <v>2288601.3899999997</v>
      </c>
      <c r="N331" s="1304">
        <v>79003.08</v>
      </c>
      <c r="O331"/>
      <c r="P331"/>
      <c r="Q331"/>
      <c r="R331"/>
      <c r="S331"/>
      <c r="T331"/>
      <c r="U331"/>
      <c r="V331"/>
      <c r="W331"/>
      <c r="X331"/>
      <c r="Y331"/>
      <c r="Z331"/>
    </row>
    <row r="332" spans="1:26" s="1635" customFormat="1" ht="15.75" customHeight="1" outlineLevel="1">
      <c r="A332" s="1631" t="str">
        <f t="shared" si="21"/>
        <v>POLETTI  (Astoria)391Office Furniture &amp; Equipment</v>
      </c>
      <c r="B332" s="1632" t="s">
        <v>2057</v>
      </c>
      <c r="C332" s="1633" t="s">
        <v>107</v>
      </c>
      <c r="D332" s="1634" t="s">
        <v>161</v>
      </c>
      <c r="E332" s="1633">
        <v>391</v>
      </c>
      <c r="F332" s="1633" t="s">
        <v>76</v>
      </c>
      <c r="G332" s="1304">
        <v>833108.47999999998</v>
      </c>
      <c r="H332" s="1304">
        <v>833108.47999999998</v>
      </c>
      <c r="I332" s="1304">
        <v>0</v>
      </c>
      <c r="J332" s="1304">
        <v>0</v>
      </c>
      <c r="K332" s="1304">
        <v>833108.47999999998</v>
      </c>
      <c r="L332" s="1304">
        <v>833108.47999999998</v>
      </c>
      <c r="M332" s="1304">
        <v>0</v>
      </c>
      <c r="N332" s="1304">
        <v>0</v>
      </c>
      <c r="O332"/>
      <c r="P332"/>
      <c r="Q332"/>
      <c r="R332"/>
      <c r="S332"/>
      <c r="T332"/>
      <c r="U332"/>
      <c r="V332"/>
      <c r="W332"/>
      <c r="X332"/>
      <c r="Y332"/>
      <c r="Z332"/>
    </row>
    <row r="333" spans="1:26" s="1635" customFormat="1" ht="15.75" customHeight="1" outlineLevel="1">
      <c r="A333" s="1631" t="str">
        <f t="shared" si="21"/>
        <v>POLETTI  (Astoria)392Transportation Equipment</v>
      </c>
      <c r="B333" s="1632" t="s">
        <v>1559</v>
      </c>
      <c r="C333" s="1633" t="s">
        <v>107</v>
      </c>
      <c r="D333" s="1634" t="s">
        <v>161</v>
      </c>
      <c r="E333" s="1633">
        <v>392</v>
      </c>
      <c r="F333" s="1633" t="s">
        <v>77</v>
      </c>
      <c r="G333" s="1304">
        <v>64371.34</v>
      </c>
      <c r="H333" s="1304">
        <v>57457.629999999976</v>
      </c>
      <c r="I333" s="1304">
        <v>6913.710000000021</v>
      </c>
      <c r="J333" s="1304">
        <v>301</v>
      </c>
      <c r="K333" s="1304">
        <v>57156.34</v>
      </c>
      <c r="L333" s="1304">
        <v>57156.629999999976</v>
      </c>
      <c r="M333" s="1304">
        <v>-0.28999999997904524</v>
      </c>
      <c r="N333" s="1304">
        <v>0</v>
      </c>
      <c r="O333"/>
      <c r="P333"/>
      <c r="Q333"/>
      <c r="R333"/>
      <c r="S333"/>
      <c r="T333"/>
      <c r="U333"/>
      <c r="V333"/>
      <c r="W333"/>
      <c r="X333"/>
      <c r="Y333"/>
      <c r="Z333"/>
    </row>
    <row r="334" spans="1:26" s="1635" customFormat="1" ht="15.6" customHeight="1" outlineLevel="1">
      <c r="A334" s="1631" t="str">
        <f t="shared" si="21"/>
        <v>POLETTI  (Astoria)393Stores Equipment</v>
      </c>
      <c r="B334" s="1632" t="s">
        <v>1560</v>
      </c>
      <c r="C334" s="1633" t="s">
        <v>107</v>
      </c>
      <c r="D334" s="1634" t="s">
        <v>161</v>
      </c>
      <c r="E334" s="1633">
        <v>393</v>
      </c>
      <c r="F334" s="1633" t="s">
        <v>78</v>
      </c>
      <c r="G334" s="1304">
        <v>108837.62</v>
      </c>
      <c r="H334" s="1304">
        <v>103374.62</v>
      </c>
      <c r="I334" s="1304">
        <v>5463</v>
      </c>
      <c r="J334" s="1304">
        <v>825</v>
      </c>
      <c r="K334" s="1304">
        <v>108837.62</v>
      </c>
      <c r="L334" s="1304">
        <v>102549.62</v>
      </c>
      <c r="M334" s="1304">
        <v>6288</v>
      </c>
      <c r="N334" s="1304">
        <v>825</v>
      </c>
      <c r="O334"/>
      <c r="P334"/>
      <c r="Q334"/>
      <c r="R334"/>
      <c r="S334"/>
      <c r="T334"/>
      <c r="U334"/>
      <c r="V334"/>
      <c r="W334"/>
      <c r="X334"/>
      <c r="Y334"/>
      <c r="Z334"/>
    </row>
    <row r="335" spans="1:26" s="1635" customFormat="1" ht="15.75" customHeight="1" outlineLevel="1">
      <c r="A335" s="1631" t="str">
        <f t="shared" si="21"/>
        <v>POLETTI  (Astoria)394Tools, Shop &amp; Garage Equipment</v>
      </c>
      <c r="B335" s="1632" t="s">
        <v>1561</v>
      </c>
      <c r="C335" s="1633" t="s">
        <v>107</v>
      </c>
      <c r="D335" s="1634" t="s">
        <v>161</v>
      </c>
      <c r="E335" s="1633">
        <v>394</v>
      </c>
      <c r="F335" s="1633" t="s">
        <v>79</v>
      </c>
      <c r="G335" s="1304">
        <v>456566.00999999995</v>
      </c>
      <c r="H335" s="1304">
        <v>168057.56999999998</v>
      </c>
      <c r="I335" s="1304">
        <v>288508.43999999994</v>
      </c>
      <c r="J335" s="1304">
        <v>22521</v>
      </c>
      <c r="K335" s="1304">
        <v>456566.00999999995</v>
      </c>
      <c r="L335" s="1304">
        <v>145536.56999999998</v>
      </c>
      <c r="M335" s="1304">
        <v>311029.43999999994</v>
      </c>
      <c r="N335" s="1304">
        <v>22122</v>
      </c>
      <c r="O335"/>
      <c r="P335"/>
      <c r="Q335"/>
      <c r="R335"/>
      <c r="S335"/>
      <c r="T335"/>
      <c r="U335"/>
      <c r="V335"/>
      <c r="W335"/>
      <c r="X335"/>
      <c r="Y335"/>
      <c r="Z335"/>
    </row>
    <row r="336" spans="1:26" s="1635" customFormat="1" ht="15.75" customHeight="1" outlineLevel="1">
      <c r="A336" s="1631" t="str">
        <f t="shared" si="21"/>
        <v>POLETTI  (Astoria)395Laboratory Equipment</v>
      </c>
      <c r="B336" s="1632" t="s">
        <v>1562</v>
      </c>
      <c r="C336" s="1633" t="s">
        <v>107</v>
      </c>
      <c r="D336" s="1634" t="s">
        <v>161</v>
      </c>
      <c r="E336" s="1633">
        <v>395</v>
      </c>
      <c r="F336" s="1633" t="s">
        <v>80</v>
      </c>
      <c r="G336" s="1304">
        <v>1622974.9100000001</v>
      </c>
      <c r="H336" s="1304">
        <v>1648539.9300000002</v>
      </c>
      <c r="I336" s="1304">
        <v>-25565.020000000019</v>
      </c>
      <c r="J336" s="1304">
        <v>1991</v>
      </c>
      <c r="K336" s="1304">
        <v>1622974.9100000001</v>
      </c>
      <c r="L336" s="1304">
        <v>1646548.9300000002</v>
      </c>
      <c r="M336" s="1304">
        <v>-23574.020000000019</v>
      </c>
      <c r="N336" s="1304">
        <v>1991</v>
      </c>
      <c r="O336"/>
      <c r="P336"/>
      <c r="Q336"/>
      <c r="R336"/>
      <c r="S336"/>
      <c r="T336"/>
      <c r="U336"/>
      <c r="V336"/>
      <c r="W336"/>
      <c r="X336"/>
      <c r="Y336"/>
      <c r="Z336"/>
    </row>
    <row r="337" spans="1:26" s="1635" customFormat="1" ht="15.75" customHeight="1" outlineLevel="1">
      <c r="A337" s="1631" t="str">
        <f t="shared" si="21"/>
        <v>POLETTI  (Astoria)396Power Operated Equipment</v>
      </c>
      <c r="B337" s="1632" t="s">
        <v>1563</v>
      </c>
      <c r="C337" s="1633" t="s">
        <v>107</v>
      </c>
      <c r="D337" s="1634" t="s">
        <v>161</v>
      </c>
      <c r="E337" s="1633">
        <v>396</v>
      </c>
      <c r="F337" s="1633" t="s">
        <v>81</v>
      </c>
      <c r="G337" s="1304">
        <v>163077.91999999998</v>
      </c>
      <c r="H337" s="1304">
        <v>151870.90999999997</v>
      </c>
      <c r="I337" s="1304">
        <v>11207.010000000009</v>
      </c>
      <c r="J337" s="1304">
        <v>0</v>
      </c>
      <c r="K337" s="1304">
        <v>163077.91999999998</v>
      </c>
      <c r="L337" s="1304">
        <v>151870.90999999997</v>
      </c>
      <c r="M337" s="1304">
        <v>11207.010000000009</v>
      </c>
      <c r="N337" s="1304">
        <v>0</v>
      </c>
      <c r="O337"/>
      <c r="P337"/>
      <c r="Q337"/>
      <c r="R337"/>
      <c r="S337"/>
      <c r="T337"/>
      <c r="U337"/>
      <c r="V337"/>
      <c r="W337"/>
      <c r="X337"/>
      <c r="Y337"/>
      <c r="Z337"/>
    </row>
    <row r="338" spans="1:26" s="1635" customFormat="1" ht="15.75" customHeight="1" outlineLevel="1">
      <c r="A338" s="1631" t="str">
        <f t="shared" si="21"/>
        <v>POLETTI  (Astoria)397Communication Equipment</v>
      </c>
      <c r="B338" s="1632" t="s">
        <v>1564</v>
      </c>
      <c r="C338" s="1633" t="s">
        <v>107</v>
      </c>
      <c r="D338" s="1634" t="s">
        <v>161</v>
      </c>
      <c r="E338" s="1633">
        <v>397</v>
      </c>
      <c r="F338" s="1633" t="s">
        <v>82</v>
      </c>
      <c r="G338" s="1304">
        <v>443045</v>
      </c>
      <c r="H338" s="1304">
        <v>427385</v>
      </c>
      <c r="I338" s="1304">
        <v>15660</v>
      </c>
      <c r="J338" s="1304">
        <v>0</v>
      </c>
      <c r="K338" s="1304">
        <v>443045</v>
      </c>
      <c r="L338" s="1304">
        <v>427385</v>
      </c>
      <c r="M338" s="1304">
        <v>15660</v>
      </c>
      <c r="N338" s="1304">
        <v>0</v>
      </c>
      <c r="O338"/>
      <c r="P338"/>
      <c r="Q338"/>
      <c r="R338"/>
      <c r="S338"/>
      <c r="T338"/>
      <c r="U338"/>
      <c r="V338"/>
      <c r="W338"/>
      <c r="X338"/>
      <c r="Y338"/>
      <c r="Z338"/>
    </row>
    <row r="339" spans="1:26" s="1635" customFormat="1" ht="15.75" customHeight="1" outlineLevel="1">
      <c r="A339" s="1631" t="str">
        <f t="shared" si="21"/>
        <v>POLETTI  (Astoria)398Miscellaneous Equipment</v>
      </c>
      <c r="B339" s="1632" t="s">
        <v>1967</v>
      </c>
      <c r="C339" s="1633" t="s">
        <v>107</v>
      </c>
      <c r="D339" s="1634" t="s">
        <v>161</v>
      </c>
      <c r="E339" s="1633">
        <v>398</v>
      </c>
      <c r="F339" s="1633" t="s">
        <v>83</v>
      </c>
      <c r="G339" s="1304">
        <v>2960625.65</v>
      </c>
      <c r="H339" s="1304">
        <v>2964895.93</v>
      </c>
      <c r="I339" s="1304">
        <v>-4270.2800000002608</v>
      </c>
      <c r="J339" s="1304">
        <v>394</v>
      </c>
      <c r="K339" s="1304">
        <v>2960625.65</v>
      </c>
      <c r="L339" s="1304">
        <v>2964501.93</v>
      </c>
      <c r="M339" s="1304">
        <v>-3876.2800000002608</v>
      </c>
      <c r="N339" s="1304">
        <v>394</v>
      </c>
      <c r="O339"/>
      <c r="P339"/>
      <c r="Q339"/>
      <c r="R339"/>
      <c r="S339"/>
      <c r="T339"/>
      <c r="U339"/>
      <c r="V339"/>
      <c r="W339"/>
      <c r="X339"/>
      <c r="Y339"/>
      <c r="Z339"/>
    </row>
    <row r="340" spans="1:26" s="1635" customFormat="1" ht="15.75" customHeight="1" outlineLevel="1">
      <c r="A340" s="1631" t="str">
        <f t="shared" si="21"/>
        <v>POLETTI  (Astoria)399Other Tangible Property</v>
      </c>
      <c r="B340" s="1632" t="s">
        <v>1969</v>
      </c>
      <c r="C340" s="1633" t="s">
        <v>107</v>
      </c>
      <c r="D340" s="1634" t="s">
        <v>161</v>
      </c>
      <c r="E340" s="1633">
        <v>399</v>
      </c>
      <c r="F340" s="1633" t="s">
        <v>84</v>
      </c>
      <c r="G340" s="1304">
        <v>322930</v>
      </c>
      <c r="H340" s="1304">
        <v>322930</v>
      </c>
      <c r="I340" s="1304">
        <v>0</v>
      </c>
      <c r="J340" s="1304">
        <v>0</v>
      </c>
      <c r="K340" s="1304">
        <v>322930</v>
      </c>
      <c r="L340" s="1304">
        <v>322930</v>
      </c>
      <c r="M340" s="1304">
        <v>0</v>
      </c>
      <c r="N340" s="1304">
        <v>0</v>
      </c>
      <c r="O340"/>
      <c r="P340"/>
      <c r="Q340"/>
      <c r="R340"/>
      <c r="S340"/>
      <c r="T340"/>
      <c r="U340"/>
      <c r="V340"/>
      <c r="W340"/>
      <c r="X340"/>
      <c r="Y340"/>
      <c r="Z340"/>
    </row>
    <row r="341" spans="1:26" s="1635" customFormat="1" ht="15.75" customHeight="1" outlineLevel="1">
      <c r="A341" s="1631" t="str">
        <f t="shared" si="21"/>
        <v>POUCH TERMINAL  (Richmond)396Power Operated Equipment</v>
      </c>
      <c r="B341" s="1632" t="s">
        <v>1968</v>
      </c>
      <c r="C341" s="1633" t="s">
        <v>107</v>
      </c>
      <c r="D341" s="1634" t="s">
        <v>166</v>
      </c>
      <c r="E341" s="1633">
        <v>396</v>
      </c>
      <c r="F341" s="1633" t="s">
        <v>81</v>
      </c>
      <c r="G341" s="1304">
        <v>22076</v>
      </c>
      <c r="H341" s="1304">
        <v>22076</v>
      </c>
      <c r="I341" s="1304">
        <v>0</v>
      </c>
      <c r="J341" s="1304">
        <v>0</v>
      </c>
      <c r="K341" s="1304">
        <v>22076</v>
      </c>
      <c r="L341" s="1304">
        <v>22076</v>
      </c>
      <c r="M341" s="1304">
        <v>0</v>
      </c>
      <c r="N341" s="1304">
        <v>0</v>
      </c>
      <c r="O341"/>
      <c r="P341"/>
      <c r="Q341"/>
      <c r="R341"/>
      <c r="S341"/>
      <c r="T341"/>
      <c r="U341"/>
      <c r="V341"/>
      <c r="W341"/>
      <c r="X341"/>
      <c r="Y341"/>
      <c r="Z341"/>
    </row>
    <row r="342" spans="1:26" s="1635" customFormat="1" ht="15.75" customHeight="1" outlineLevel="1">
      <c r="A342" s="1631" t="str">
        <f t="shared" si="21"/>
        <v>POUCH TERMINAL  (Richmond)398Miscellaneous Equipment</v>
      </c>
      <c r="B342" s="1632" t="s">
        <v>1970</v>
      </c>
      <c r="C342" s="1633" t="s">
        <v>107</v>
      </c>
      <c r="D342" s="1634" t="s">
        <v>166</v>
      </c>
      <c r="E342" s="1633">
        <v>398</v>
      </c>
      <c r="F342" s="1633" t="s">
        <v>83</v>
      </c>
      <c r="G342" s="1304">
        <v>313431</v>
      </c>
      <c r="H342" s="1304">
        <v>171153</v>
      </c>
      <c r="I342" s="1304">
        <v>142278</v>
      </c>
      <c r="J342" s="1304">
        <v>0</v>
      </c>
      <c r="K342" s="1304">
        <v>313431</v>
      </c>
      <c r="L342" s="1304">
        <v>171153</v>
      </c>
      <c r="M342" s="1304">
        <v>142278</v>
      </c>
      <c r="N342" s="1304">
        <v>0</v>
      </c>
      <c r="O342"/>
      <c r="P342"/>
      <c r="Q342"/>
      <c r="R342"/>
      <c r="S342"/>
      <c r="T342"/>
      <c r="U342"/>
      <c r="V342"/>
      <c r="W342"/>
      <c r="X342"/>
      <c r="Y342"/>
      <c r="Z342"/>
    </row>
    <row r="343" spans="1:26" s="1635" customFormat="1" ht="13.05" customHeight="1" outlineLevel="1">
      <c r="A343" s="1631" t="str">
        <f t="shared" si="21"/>
        <v>VERNON BOULEVARD  (Queens)396Power Operated Equipment</v>
      </c>
      <c r="B343" s="1632" t="s">
        <v>1971</v>
      </c>
      <c r="C343" s="1633" t="s">
        <v>107</v>
      </c>
      <c r="D343" s="1634" t="s">
        <v>167</v>
      </c>
      <c r="E343" s="1633">
        <v>396</v>
      </c>
      <c r="F343" s="1633" t="s">
        <v>81</v>
      </c>
      <c r="G343" s="1304">
        <v>22076</v>
      </c>
      <c r="H343" s="1304">
        <v>11029</v>
      </c>
      <c r="I343" s="1304">
        <v>11047</v>
      </c>
      <c r="J343" s="1304">
        <v>0</v>
      </c>
      <c r="K343" s="1304">
        <v>22076</v>
      </c>
      <c r="L343" s="1304">
        <v>11029</v>
      </c>
      <c r="M343" s="1304">
        <v>11047</v>
      </c>
      <c r="N343" s="1304">
        <v>0</v>
      </c>
      <c r="O343"/>
      <c r="P343"/>
      <c r="Q343"/>
      <c r="R343"/>
      <c r="S343"/>
      <c r="T343"/>
      <c r="U343"/>
      <c r="V343"/>
      <c r="W343"/>
      <c r="X343"/>
      <c r="Y343"/>
      <c r="Z343"/>
    </row>
    <row r="344" spans="1:26" s="1665" customFormat="1" ht="15.6" customHeight="1" outlineLevel="1">
      <c r="A344" s="1631" t="str">
        <f t="shared" ref="A344" si="23">CONCATENATE(D344,E344,F344)</f>
        <v>VERNON BOULEVARD  (Queens)398Miscellaneous Equipment</v>
      </c>
      <c r="B344" s="1632" t="s">
        <v>1972</v>
      </c>
      <c r="C344" s="1633" t="s">
        <v>107</v>
      </c>
      <c r="D344" s="1634" t="s">
        <v>167</v>
      </c>
      <c r="E344" s="1657">
        <v>398</v>
      </c>
      <c r="F344" s="1664" t="s">
        <v>83</v>
      </c>
      <c r="G344" s="1304">
        <v>245850</v>
      </c>
      <c r="H344" s="1304">
        <v>100831</v>
      </c>
      <c r="I344" s="1304">
        <v>145019</v>
      </c>
      <c r="J344" s="1304">
        <v>0</v>
      </c>
      <c r="K344" s="1304">
        <v>245850</v>
      </c>
      <c r="L344" s="1304">
        <v>100831</v>
      </c>
      <c r="M344" s="1304">
        <v>145019</v>
      </c>
      <c r="N344" s="1304">
        <v>0</v>
      </c>
      <c r="O344"/>
      <c r="P344"/>
      <c r="Q344"/>
      <c r="R344"/>
      <c r="S344"/>
      <c r="T344"/>
      <c r="U344"/>
      <c r="V344"/>
      <c r="W344"/>
      <c r="X344"/>
      <c r="Y344"/>
      <c r="Z344"/>
    </row>
    <row r="345" spans="1:26" s="1665" customFormat="1" ht="15.6" customHeight="1" outlineLevel="1">
      <c r="A345" s="1631"/>
      <c r="B345" s="1632" t="s">
        <v>1973</v>
      </c>
      <c r="C345" s="1633"/>
      <c r="D345" s="1656"/>
      <c r="E345" s="1657"/>
      <c r="F345" s="1658"/>
      <c r="G345" s="1304"/>
      <c r="H345" s="1304"/>
      <c r="I345" s="1304"/>
      <c r="J345" s="1304"/>
      <c r="K345" s="1304"/>
      <c r="L345" s="1304"/>
      <c r="M345" s="1304"/>
      <c r="N345" s="1304"/>
      <c r="O345"/>
      <c r="P345"/>
      <c r="Q345"/>
      <c r="R345"/>
      <c r="S345"/>
      <c r="T345"/>
      <c r="U345"/>
      <c r="V345"/>
      <c r="W345"/>
      <c r="X345"/>
      <c r="Y345"/>
      <c r="Z345"/>
    </row>
    <row r="346" spans="1:26" s="1665" customFormat="1" ht="15.75" customHeight="1" outlineLevel="1">
      <c r="A346" s="1631" t="str">
        <f>CONCATENATE(D346,E346,F346)</f>
        <v>AdjustmentsCost of Removal Deprec to Reg Assets (Gen)</v>
      </c>
      <c r="B346" s="1632" t="s">
        <v>1974</v>
      </c>
      <c r="C346" s="1633"/>
      <c r="D346" s="1656" t="s">
        <v>183</v>
      </c>
      <c r="E346" s="1657"/>
      <c r="F346" s="1658" t="s">
        <v>1918</v>
      </c>
      <c r="G346" s="1304">
        <v>0</v>
      </c>
      <c r="H346" s="1304">
        <v>-3691987</v>
      </c>
      <c r="I346" s="1304">
        <v>3691987</v>
      </c>
      <c r="J346" s="1304">
        <v>0</v>
      </c>
      <c r="K346" s="1304">
        <v>0</v>
      </c>
      <c r="L346" s="1304">
        <v>-3800611</v>
      </c>
      <c r="M346" s="1304">
        <v>3800611</v>
      </c>
      <c r="N346" s="1304">
        <v>0</v>
      </c>
      <c r="O346"/>
      <c r="P346"/>
      <c r="Q346"/>
      <c r="R346"/>
      <c r="S346"/>
      <c r="T346"/>
      <c r="U346"/>
      <c r="V346"/>
      <c r="W346"/>
      <c r="X346"/>
      <c r="Y346"/>
      <c r="Z346"/>
    </row>
    <row r="347" spans="1:26" s="1665" customFormat="1" ht="15.75" customHeight="1" outlineLevel="1">
      <c r="A347" s="1631"/>
      <c r="B347" s="1632" t="s">
        <v>1975</v>
      </c>
      <c r="C347" s="1633"/>
      <c r="D347" s="1656"/>
      <c r="E347" s="1657"/>
      <c r="F347" s="1658"/>
      <c r="G347" s="1304"/>
      <c r="H347" s="1304"/>
      <c r="I347" s="1304"/>
      <c r="J347" s="1304"/>
      <c r="K347" s="1666"/>
      <c r="L347" s="1666"/>
      <c r="M347" s="1666"/>
      <c r="N347" s="1666"/>
      <c r="O347"/>
      <c r="P347"/>
      <c r="Q347"/>
      <c r="R347"/>
      <c r="S347"/>
      <c r="T347"/>
      <c r="U347"/>
      <c r="V347"/>
      <c r="W347"/>
      <c r="X347"/>
      <c r="Y347"/>
      <c r="Z347"/>
    </row>
    <row r="348" spans="1:26" s="1665" customFormat="1" ht="15.75" customHeight="1" outlineLevel="1">
      <c r="A348" s="1631"/>
      <c r="B348" s="1632" t="s">
        <v>2033</v>
      </c>
      <c r="C348" s="1633"/>
      <c r="D348" s="1667"/>
      <c r="E348" s="1657"/>
      <c r="F348" s="1658"/>
      <c r="G348" s="1304"/>
      <c r="H348" s="1304"/>
      <c r="I348" s="1304"/>
      <c r="J348" s="1304"/>
      <c r="K348" s="1304"/>
      <c r="L348" s="1304"/>
      <c r="M348" s="1304"/>
      <c r="N348" s="1304"/>
      <c r="O348"/>
      <c r="P348"/>
      <c r="Q348"/>
      <c r="R348"/>
      <c r="S348"/>
      <c r="T348"/>
      <c r="U348"/>
      <c r="V348"/>
      <c r="W348"/>
      <c r="X348"/>
      <c r="Y348"/>
      <c r="Z348"/>
    </row>
    <row r="349" spans="1:26" s="1665" customFormat="1" ht="15.75" customHeight="1" outlineLevel="1">
      <c r="A349" s="1631"/>
      <c r="B349" s="1632" t="s">
        <v>2086</v>
      </c>
      <c r="C349" s="1633"/>
      <c r="D349" s="1667"/>
      <c r="E349" s="1657"/>
      <c r="F349" s="1658"/>
      <c r="G349" s="1304"/>
      <c r="H349" s="1304"/>
      <c r="I349" s="1304"/>
      <c r="J349" s="1304"/>
      <c r="K349" s="1304"/>
      <c r="L349" s="1304"/>
      <c r="M349" s="1304"/>
      <c r="N349" s="1304"/>
      <c r="O349"/>
      <c r="P349"/>
      <c r="Q349"/>
      <c r="R349"/>
      <c r="S349"/>
      <c r="T349"/>
      <c r="U349"/>
      <c r="V349"/>
      <c r="W349"/>
      <c r="X349"/>
      <c r="Y349"/>
      <c r="Z349"/>
    </row>
    <row r="350" spans="1:26" s="1635" customFormat="1" ht="15.75" customHeight="1" outlineLevel="1">
      <c r="A350" s="1631" t="str">
        <f t="shared" ref="A350:A351" si="24">CONCATENATE(D350,E350,F350)</f>
        <v/>
      </c>
      <c r="B350" s="1632" t="s">
        <v>541</v>
      </c>
      <c r="C350" s="1636"/>
      <c r="D350" s="1636"/>
      <c r="E350" s="1304"/>
      <c r="F350" s="1636"/>
      <c r="G350" s="1304"/>
      <c r="H350" s="1304"/>
      <c r="I350" s="1304"/>
      <c r="J350" s="1304"/>
      <c r="K350" s="1304"/>
      <c r="L350" s="1304"/>
      <c r="M350" s="1304"/>
      <c r="N350" s="1304"/>
      <c r="O350"/>
      <c r="P350"/>
      <c r="Q350"/>
      <c r="R350"/>
      <c r="S350"/>
      <c r="T350"/>
      <c r="U350"/>
      <c r="V350"/>
      <c r="W350"/>
      <c r="X350"/>
      <c r="Y350"/>
      <c r="Z350"/>
    </row>
    <row r="351" spans="1:26" s="1635" customFormat="1" ht="15.75" customHeight="1" outlineLevel="1" thickBot="1">
      <c r="A351" s="1631" t="str">
        <f t="shared" si="24"/>
        <v/>
      </c>
      <c r="B351" s="1632" t="s">
        <v>541</v>
      </c>
      <c r="C351" s="1636"/>
      <c r="D351" s="1636"/>
      <c r="E351" s="1304"/>
      <c r="F351" s="1636"/>
      <c r="G351" s="1304"/>
      <c r="H351" s="1304"/>
      <c r="I351" s="1304"/>
      <c r="J351" s="1304"/>
      <c r="K351" s="1304"/>
      <c r="L351" s="1304"/>
      <c r="M351" s="1304"/>
      <c r="N351" s="1304"/>
      <c r="O351"/>
      <c r="P351"/>
      <c r="Q351"/>
      <c r="R351"/>
      <c r="S351"/>
      <c r="T351"/>
      <c r="U351"/>
      <c r="V351"/>
      <c r="W351"/>
      <c r="X351"/>
      <c r="Y351"/>
      <c r="Z351"/>
    </row>
    <row r="352" spans="1:26" s="1640" customFormat="1" ht="16.5" customHeight="1" thickBot="1">
      <c r="A352" s="1668"/>
      <c r="B352" s="1637">
        <v>13</v>
      </c>
      <c r="C352" s="1638"/>
      <c r="D352" s="1638"/>
      <c r="E352" s="1638"/>
      <c r="F352" s="1651" t="s">
        <v>617</v>
      </c>
      <c r="G352" s="773">
        <f t="shared" ref="G352:N352" si="25">SUBTOTAL(9,G245:G351)</f>
        <v>1516304155.5099998</v>
      </c>
      <c r="H352" s="773">
        <f t="shared" si="25"/>
        <v>546999288.08579993</v>
      </c>
      <c r="I352" s="773">
        <f t="shared" si="25"/>
        <v>969304867.57000005</v>
      </c>
      <c r="J352" s="773">
        <f t="shared" si="25"/>
        <v>59032531.010000013</v>
      </c>
      <c r="K352" s="773">
        <f t="shared" si="25"/>
        <v>1407411691.3800001</v>
      </c>
      <c r="L352" s="773">
        <f t="shared" si="25"/>
        <v>492742222.9799999</v>
      </c>
      <c r="M352" s="773">
        <f t="shared" si="25"/>
        <v>914669468.4000001</v>
      </c>
      <c r="N352" s="773">
        <f t="shared" si="25"/>
        <v>52142697.140000001</v>
      </c>
      <c r="O352"/>
      <c r="P352"/>
      <c r="Q352"/>
      <c r="R352"/>
      <c r="S352"/>
      <c r="T352"/>
      <c r="U352"/>
      <c r="V352"/>
      <c r="W352"/>
      <c r="X352"/>
      <c r="Y352"/>
      <c r="Z352"/>
    </row>
    <row r="353" spans="1:26" s="1635" customFormat="1" ht="16.5" customHeight="1" thickBot="1">
      <c r="A353" s="1631"/>
      <c r="B353" s="1632"/>
      <c r="C353" s="1641"/>
      <c r="D353" s="1655"/>
      <c r="E353" s="1641"/>
      <c r="F353" s="1652"/>
      <c r="G353" s="774"/>
      <c r="H353" s="774"/>
      <c r="I353" s="774"/>
      <c r="J353" s="774"/>
      <c r="K353" s="774"/>
      <c r="L353" s="774"/>
      <c r="M353" s="774"/>
      <c r="N353" s="774"/>
      <c r="O353"/>
      <c r="P353"/>
      <c r="Q353"/>
      <c r="R353"/>
      <c r="S353"/>
      <c r="T353"/>
      <c r="U353"/>
      <c r="V353"/>
      <c r="W353"/>
      <c r="X353"/>
      <c r="Y353"/>
      <c r="Z353"/>
    </row>
    <row r="354" spans="1:26" s="1654" customFormat="1" ht="16.5" customHeight="1" thickBot="1">
      <c r="A354" s="1669"/>
      <c r="B354" s="1653">
        <v>14</v>
      </c>
      <c r="C354" s="1639"/>
      <c r="D354" s="1650"/>
      <c r="E354" s="1639" t="s">
        <v>623</v>
      </c>
      <c r="F354" s="1651"/>
      <c r="G354" s="776">
        <f t="shared" ref="G354:N354" si="26">G352+G241+G165+G104</f>
        <v>9254353566.7099991</v>
      </c>
      <c r="H354" s="776">
        <f t="shared" si="26"/>
        <v>4392495560.7458</v>
      </c>
      <c r="I354" s="776">
        <f t="shared" si="26"/>
        <v>4861858006.1099997</v>
      </c>
      <c r="J354" s="776">
        <f t="shared" si="26"/>
        <v>248871211.86000001</v>
      </c>
      <c r="K354" s="776">
        <f t="shared" si="26"/>
        <v>8655097346.2599983</v>
      </c>
      <c r="L354" s="776">
        <f t="shared" si="26"/>
        <v>4168886962.3291206</v>
      </c>
      <c r="M354" s="776">
        <f t="shared" si="26"/>
        <v>4486210383.9308786</v>
      </c>
      <c r="N354" s="776">
        <f t="shared" si="26"/>
        <v>231319385.33000004</v>
      </c>
      <c r="O354"/>
      <c r="P354"/>
      <c r="Q354"/>
      <c r="R354"/>
      <c r="S354"/>
      <c r="T354"/>
      <c r="U354"/>
      <c r="V354"/>
      <c r="W354"/>
      <c r="X354"/>
      <c r="Y354"/>
      <c r="Z354"/>
    </row>
    <row r="355" spans="1:26" s="1635" customFormat="1" ht="15.75" customHeight="1">
      <c r="A355" s="1631"/>
      <c r="B355" s="1632"/>
      <c r="C355" s="1641"/>
      <c r="D355" s="1655"/>
      <c r="E355" s="1641"/>
      <c r="F355" s="1652"/>
      <c r="G355" s="774"/>
      <c r="H355" s="774"/>
      <c r="I355" s="774"/>
      <c r="J355" s="774"/>
      <c r="K355" s="774"/>
      <c r="L355" s="774"/>
      <c r="M355" s="774"/>
      <c r="N355" s="774"/>
      <c r="O355"/>
      <c r="P355"/>
      <c r="Q355"/>
      <c r="R355"/>
      <c r="S355"/>
      <c r="T355"/>
      <c r="U355"/>
      <c r="V355"/>
      <c r="W355"/>
      <c r="X355"/>
      <c r="Y355"/>
      <c r="Z355"/>
    </row>
    <row r="356" spans="1:26" s="1635" customFormat="1" ht="16.5" customHeight="1" thickBot="1">
      <c r="A356" s="1631"/>
      <c r="B356" s="1632"/>
      <c r="C356" s="1641"/>
      <c r="D356" s="1655"/>
      <c r="E356" s="1641"/>
      <c r="F356" s="1652"/>
      <c r="G356" s="774"/>
      <c r="H356" s="774"/>
      <c r="I356" s="774"/>
      <c r="J356" s="774"/>
      <c r="K356" s="774"/>
      <c r="L356" s="774"/>
      <c r="M356" s="774"/>
      <c r="N356" s="774"/>
      <c r="O356"/>
      <c r="P356"/>
      <c r="Q356"/>
      <c r="R356"/>
      <c r="S356"/>
      <c r="T356"/>
      <c r="U356"/>
      <c r="V356"/>
      <c r="W356"/>
      <c r="X356"/>
      <c r="Y356"/>
      <c r="Z356"/>
    </row>
    <row r="357" spans="1:26" s="1654" customFormat="1" ht="17.25" customHeight="1" thickTop="1" thickBot="1">
      <c r="A357" s="1670"/>
      <c r="B357" s="1671">
        <v>15</v>
      </c>
      <c r="C357" s="1672"/>
      <c r="D357" s="1672"/>
      <c r="E357" s="1672" t="s">
        <v>1565</v>
      </c>
      <c r="F357" s="1673"/>
      <c r="G357" s="779">
        <f t="shared" ref="G357:N357" si="27">G354+G62</f>
        <v>10131405830.74</v>
      </c>
      <c r="H357" s="779">
        <f t="shared" si="27"/>
        <v>4392495560.7458</v>
      </c>
      <c r="I357" s="779">
        <f t="shared" si="27"/>
        <v>5738910270.1399994</v>
      </c>
      <c r="J357" s="779">
        <f t="shared" si="27"/>
        <v>248871211.86000001</v>
      </c>
      <c r="K357" s="779">
        <f t="shared" si="27"/>
        <v>9455597175.8199978</v>
      </c>
      <c r="L357" s="779">
        <f t="shared" si="27"/>
        <v>4168886962.3291206</v>
      </c>
      <c r="M357" s="779">
        <f t="shared" si="27"/>
        <v>5286710213.4908791</v>
      </c>
      <c r="N357" s="779">
        <f t="shared" si="27"/>
        <v>231319385.33000004</v>
      </c>
      <c r="O357"/>
      <c r="P357"/>
      <c r="Q357"/>
      <c r="R357"/>
      <c r="S357"/>
      <c r="T357"/>
      <c r="U357"/>
      <c r="V357"/>
      <c r="W357"/>
      <c r="X357"/>
      <c r="Y357"/>
      <c r="Z357"/>
    </row>
    <row r="358" spans="1:26" s="1635" customFormat="1" ht="16.5" customHeight="1" thickTop="1">
      <c r="A358" s="1674"/>
      <c r="B358" s="1648"/>
      <c r="C358" s="783"/>
      <c r="D358" s="1648"/>
      <c r="E358" s="783"/>
      <c r="F358" s="1675"/>
      <c r="G358" s="780"/>
      <c r="H358" s="780"/>
      <c r="I358" s="780"/>
      <c r="J358" s="780"/>
      <c r="K358" s="780"/>
      <c r="L358" s="780"/>
      <c r="M358" s="780"/>
      <c r="N358" s="780"/>
      <c r="O358"/>
      <c r="P358"/>
      <c r="Q358"/>
      <c r="R358"/>
      <c r="S358"/>
      <c r="T358"/>
      <c r="U358"/>
      <c r="V358"/>
      <c r="W358"/>
      <c r="X358"/>
      <c r="Y358"/>
      <c r="Z358"/>
    </row>
    <row r="359" spans="1:26" s="1635" customFormat="1">
      <c r="A359" s="1674"/>
      <c r="B359" s="1648"/>
      <c r="C359" s="783"/>
      <c r="D359" s="1648"/>
      <c r="E359" s="783"/>
      <c r="F359" s="1676"/>
      <c r="G359" s="781"/>
      <c r="H359" s="781"/>
      <c r="I359" s="781"/>
      <c r="J359" s="781"/>
      <c r="K359" s="781"/>
      <c r="L359" s="781"/>
      <c r="M359" s="781"/>
      <c r="N359" s="781"/>
      <c r="O359"/>
      <c r="P359"/>
      <c r="Q359"/>
      <c r="R359"/>
      <c r="S359"/>
      <c r="T359"/>
      <c r="U359"/>
      <c r="V359"/>
      <c r="W359"/>
      <c r="X359"/>
      <c r="Y359"/>
      <c r="Z359"/>
    </row>
    <row r="360" spans="1:26" s="1635" customFormat="1">
      <c r="A360" s="1674"/>
      <c r="B360" s="1648"/>
      <c r="C360" s="783"/>
      <c r="D360" s="1648"/>
      <c r="E360" s="783"/>
      <c r="F360" s="1676"/>
      <c r="G360" s="781"/>
      <c r="H360" s="781"/>
      <c r="I360" s="781"/>
      <c r="J360" s="781"/>
      <c r="K360" s="781"/>
      <c r="L360" s="781"/>
      <c r="M360" s="781"/>
      <c r="N360" s="781"/>
      <c r="O360"/>
      <c r="P360"/>
      <c r="Q360"/>
      <c r="R360"/>
      <c r="S360"/>
      <c r="T360"/>
      <c r="U360"/>
      <c r="V360"/>
      <c r="W360"/>
      <c r="X360"/>
      <c r="Y360"/>
      <c r="Z360"/>
    </row>
    <row r="361" spans="1:26" s="1635" customFormat="1">
      <c r="A361" s="1674"/>
      <c r="B361" s="1648"/>
      <c r="C361" s="783"/>
      <c r="D361" s="1648"/>
      <c r="E361" s="783"/>
      <c r="F361" s="1676"/>
      <c r="G361" s="782"/>
      <c r="H361" s="1468"/>
      <c r="I361" s="1468"/>
      <c r="J361" s="781"/>
      <c r="K361" s="781"/>
      <c r="L361" s="781"/>
      <c r="M361" s="781"/>
      <c r="N361" s="781"/>
      <c r="O361"/>
      <c r="P361"/>
      <c r="Q361"/>
      <c r="R361"/>
      <c r="S361"/>
      <c r="T361"/>
      <c r="U361"/>
      <c r="V361"/>
      <c r="W361"/>
      <c r="X361"/>
      <c r="Y361"/>
      <c r="Z361"/>
    </row>
    <row r="362" spans="1:26">
      <c r="D362" s="783"/>
      <c r="F362" s="1676"/>
      <c r="G362" s="781"/>
      <c r="H362" s="781"/>
      <c r="I362" s="781"/>
      <c r="J362" s="781"/>
      <c r="K362" s="781"/>
      <c r="L362" s="781"/>
      <c r="M362" s="781"/>
      <c r="N362" s="781"/>
    </row>
    <row r="363" spans="1:26">
      <c r="C363" s="1679"/>
      <c r="D363" s="783"/>
      <c r="G363" s="781"/>
      <c r="H363" s="781"/>
      <c r="I363" s="781"/>
      <c r="J363" s="781"/>
      <c r="K363" s="781"/>
      <c r="L363" s="781"/>
      <c r="M363" s="781"/>
      <c r="N363" s="781"/>
    </row>
    <row r="364" spans="1:26">
      <c r="D364" s="783"/>
      <c r="F364" s="1676"/>
      <c r="G364" s="781"/>
      <c r="H364" s="781"/>
      <c r="I364" s="781"/>
      <c r="J364" s="781"/>
      <c r="K364" s="781"/>
      <c r="L364" s="781"/>
      <c r="M364" s="781"/>
      <c r="N364" s="781"/>
    </row>
    <row r="365" spans="1:26">
      <c r="C365" s="1679"/>
      <c r="D365" s="783"/>
      <c r="G365" s="782"/>
      <c r="H365" s="1468"/>
      <c r="I365" s="1468"/>
      <c r="J365" s="1680"/>
    </row>
    <row r="366" spans="1:26">
      <c r="C366" s="1679"/>
      <c r="D366" s="783"/>
      <c r="G366" s="782"/>
      <c r="H366" s="1468"/>
      <c r="I366" s="1468"/>
      <c r="J366" s="1680"/>
    </row>
  </sheetData>
  <sheetProtection formatCells="0"/>
  <customSheetViews>
    <customSheetView guid="{B321D76C-CDE5-48BB-9CDE-80FF97D58FCF}" scale="99" showPageBreaks="1" fitToPage="1" printArea="1" hiddenColumns="1" view="pageBreakPreview" topLeftCell="B73">
      <selection activeCell="D33" sqref="D33"/>
      <pageMargins left="0.5" right="0.5" top="0.5" bottom="0.75" header="0.3" footer="0.3"/>
      <printOptions horizontalCentered="1"/>
      <pageSetup paperSize="5" scale="63" fitToHeight="10" orientation="landscape" r:id="rId1"/>
    </customSheetView>
  </customSheetViews>
  <mergeCells count="7">
    <mergeCell ref="G10:J10"/>
    <mergeCell ref="K10:N10"/>
    <mergeCell ref="C3:M3"/>
    <mergeCell ref="C4:M4"/>
    <mergeCell ref="C5:M5"/>
    <mergeCell ref="C7:M7"/>
    <mergeCell ref="C8:M8"/>
  </mergeCells>
  <printOptions horizontalCentered="1"/>
  <pageMargins left="0.5" right="0.5" top="0.5" bottom="0.75" header="0.3" footer="0.3"/>
  <pageSetup paperSize="5" scale="56" fitToHeight="1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0070C0"/>
    <pageSetUpPr fitToPage="1"/>
  </sheetPr>
  <dimension ref="A1:M72"/>
  <sheetViews>
    <sheetView view="pageBreakPreview" zoomScale="80" zoomScaleNormal="80" zoomScaleSheetLayoutView="80" workbookViewId="0">
      <selection activeCell="R30" sqref="R30"/>
    </sheetView>
  </sheetViews>
  <sheetFormatPr defaultColWidth="9" defaultRowHeight="14.4"/>
  <cols>
    <col min="1" max="1" width="9.44140625" style="64" customWidth="1"/>
    <col min="2" max="2" width="8" style="64" customWidth="1"/>
    <col min="3" max="3" width="1.44140625" style="64" customWidth="1"/>
    <col min="4" max="4" width="16.77734375" style="64" bestFit="1" customWidth="1"/>
    <col min="5" max="5" width="2.109375" style="64" customWidth="1"/>
    <col min="6" max="6" width="19.109375" style="64" customWidth="1"/>
    <col min="7" max="7" width="2.44140625" style="64" customWidth="1"/>
    <col min="8" max="8" width="18" style="64" customWidth="1"/>
    <col min="9" max="9" width="1.44140625" style="64" customWidth="1"/>
    <col min="10" max="10" width="17.33203125" style="64" customWidth="1"/>
    <col min="11" max="11" width="29.109375" style="65" customWidth="1"/>
    <col min="12" max="12" width="4.44140625" style="65" customWidth="1"/>
    <col min="13" max="13" width="5" style="64" customWidth="1"/>
    <col min="14" max="16384" width="9" style="64"/>
  </cols>
  <sheetData>
    <row r="1" spans="1:13" s="16" customFormat="1" ht="15.6">
      <c r="A1" s="13" t="s">
        <v>966</v>
      </c>
      <c r="B1" s="19"/>
      <c r="C1" s="19"/>
      <c r="D1" s="61"/>
      <c r="E1" s="61"/>
      <c r="F1" s="19"/>
      <c r="G1" s="19"/>
      <c r="I1" s="62"/>
      <c r="J1" s="122"/>
      <c r="K1" s="21"/>
      <c r="L1" s="21"/>
    </row>
    <row r="2" spans="1:13" s="12" customFormat="1" ht="17.399999999999999">
      <c r="A2" s="11"/>
      <c r="B2" s="10"/>
      <c r="C2" s="10"/>
      <c r="D2" s="41"/>
      <c r="E2" s="41"/>
      <c r="F2" s="10"/>
      <c r="G2" s="10"/>
      <c r="H2" s="10"/>
      <c r="I2" s="10"/>
      <c r="J2" s="10"/>
      <c r="K2" s="10"/>
      <c r="L2" s="10"/>
      <c r="M2" s="813"/>
    </row>
    <row r="3" spans="1:13" s="12" customFormat="1" ht="17.399999999999999">
      <c r="A3" s="1984" t="s">
        <v>200</v>
      </c>
      <c r="B3" s="1984"/>
      <c r="C3" s="1984"/>
      <c r="D3" s="1984"/>
      <c r="E3" s="1984"/>
      <c r="F3" s="1984"/>
      <c r="G3" s="1984"/>
      <c r="H3" s="1984"/>
      <c r="I3" s="1984"/>
      <c r="J3" s="1984"/>
      <c r="K3" s="1984"/>
      <c r="L3" s="813"/>
      <c r="M3" s="66"/>
    </row>
    <row r="4" spans="1:13" s="12" customFormat="1" ht="17.399999999999999">
      <c r="A4" s="1984" t="s">
        <v>103</v>
      </c>
      <c r="B4" s="1984"/>
      <c r="C4" s="1984"/>
      <c r="D4" s="1984"/>
      <c r="E4" s="1984"/>
      <c r="F4" s="1984"/>
      <c r="G4" s="1984"/>
      <c r="H4" s="1984"/>
      <c r="I4" s="1984"/>
      <c r="J4" s="1984"/>
      <c r="K4" s="1984"/>
      <c r="L4" s="813"/>
      <c r="M4" s="66"/>
    </row>
    <row r="5" spans="1:13" s="12" customFormat="1" ht="17.399999999999999">
      <c r="A5" s="1985" t="str">
        <f>SUMMARY!A7</f>
        <v>YEAR ENDING DECEMBER 31, 2021</v>
      </c>
      <c r="B5" s="1985"/>
      <c r="C5" s="1985"/>
      <c r="D5" s="1985"/>
      <c r="E5" s="1985"/>
      <c r="F5" s="1985"/>
      <c r="G5" s="1985"/>
      <c r="H5" s="1985"/>
      <c r="I5" s="1985"/>
      <c r="J5" s="1985"/>
      <c r="K5" s="1985"/>
      <c r="L5" s="813"/>
      <c r="M5" s="66"/>
    </row>
    <row r="6" spans="1:13" s="12" customFormat="1" ht="12" customHeight="1">
      <c r="A6" s="10"/>
      <c r="B6" s="10"/>
      <c r="C6" s="10"/>
      <c r="D6" s="22"/>
      <c r="E6" s="22"/>
      <c r="F6" s="10"/>
      <c r="G6" s="10"/>
      <c r="H6" s="10"/>
      <c r="I6" s="10"/>
      <c r="J6" s="10"/>
      <c r="K6" s="10"/>
      <c r="L6" s="10"/>
      <c r="M6" s="10"/>
    </row>
    <row r="7" spans="1:13" s="12" customFormat="1" ht="17.399999999999999">
      <c r="A7" s="1986" t="s">
        <v>967</v>
      </c>
      <c r="B7" s="1986"/>
      <c r="C7" s="1986"/>
      <c r="D7" s="1986"/>
      <c r="E7" s="1986"/>
      <c r="F7" s="1986"/>
      <c r="G7" s="1986"/>
      <c r="H7" s="1986"/>
      <c r="I7" s="1986"/>
      <c r="J7" s="1986"/>
      <c r="K7" s="1986"/>
      <c r="L7" s="814"/>
      <c r="M7" s="27"/>
    </row>
    <row r="8" spans="1:13" ht="17.399999999999999">
      <c r="A8" s="1984" t="s">
        <v>292</v>
      </c>
      <c r="B8" s="1984"/>
      <c r="C8" s="1984"/>
      <c r="D8" s="1984"/>
      <c r="E8" s="1984"/>
      <c r="F8" s="1984"/>
      <c r="G8" s="1984"/>
      <c r="H8" s="1984"/>
      <c r="I8" s="1984"/>
      <c r="J8" s="1984"/>
      <c r="K8" s="1984"/>
      <c r="L8" s="813"/>
      <c r="M8" s="66"/>
    </row>
    <row r="9" spans="1:13" ht="17.399999999999999">
      <c r="A9" s="1984" t="s">
        <v>293</v>
      </c>
      <c r="B9" s="1984"/>
      <c r="C9" s="1984"/>
      <c r="D9" s="1984"/>
      <c r="E9" s="1984"/>
      <c r="F9" s="1984"/>
      <c r="G9" s="1984"/>
      <c r="H9" s="1984"/>
      <c r="I9" s="1984"/>
      <c r="J9" s="1984"/>
      <c r="K9" s="1984"/>
      <c r="L9" s="813"/>
      <c r="M9" s="66"/>
    </row>
    <row r="10" spans="1:13" ht="17.399999999999999">
      <c r="A10" s="813"/>
      <c r="B10" s="813"/>
      <c r="C10" s="813"/>
      <c r="D10" s="813"/>
      <c r="E10" s="813"/>
      <c r="F10" s="813"/>
      <c r="G10" s="813"/>
      <c r="H10" s="813"/>
      <c r="I10" s="813"/>
      <c r="J10" s="813"/>
      <c r="K10" s="813"/>
      <c r="L10" s="813"/>
      <c r="M10" s="813"/>
    </row>
    <row r="11" spans="1:13" s="263" customFormat="1" ht="15">
      <c r="B11" s="264"/>
      <c r="C11" s="264"/>
      <c r="D11" s="265"/>
      <c r="E11" s="265"/>
      <c r="F11" s="265"/>
      <c r="G11" s="265"/>
      <c r="H11" s="265"/>
      <c r="I11" s="265"/>
      <c r="J11" s="265"/>
      <c r="K11" s="266"/>
      <c r="L11" s="266"/>
    </row>
    <row r="12" spans="1:13" s="267" customFormat="1" ht="15.6">
      <c r="B12" s="268"/>
      <c r="C12" s="268"/>
      <c r="D12" s="269" t="s">
        <v>185</v>
      </c>
      <c r="E12" s="269"/>
      <c r="F12" s="269"/>
      <c r="G12" s="269"/>
      <c r="J12" s="267" t="s">
        <v>1661</v>
      </c>
      <c r="K12" s="269"/>
      <c r="L12" s="269"/>
    </row>
    <row r="13" spans="1:13" s="267" customFormat="1" ht="15.6">
      <c r="B13" s="268"/>
      <c r="C13" s="268"/>
      <c r="D13" s="267" t="s">
        <v>186</v>
      </c>
      <c r="F13" s="269" t="s">
        <v>187</v>
      </c>
      <c r="G13" s="269"/>
      <c r="H13" s="269" t="s">
        <v>188</v>
      </c>
      <c r="I13" s="269"/>
      <c r="J13" s="269" t="s">
        <v>66</v>
      </c>
      <c r="L13" s="269"/>
    </row>
    <row r="14" spans="1:13" s="267" customFormat="1" ht="15.6">
      <c r="B14" s="268"/>
      <c r="C14" s="268"/>
      <c r="D14" s="267" t="s">
        <v>189</v>
      </c>
      <c r="F14" s="267" t="s">
        <v>186</v>
      </c>
      <c r="H14" s="269" t="s">
        <v>190</v>
      </c>
      <c r="I14" s="269"/>
      <c r="J14" s="269" t="s">
        <v>186</v>
      </c>
      <c r="L14" s="269"/>
    </row>
    <row r="15" spans="1:13" s="267" customFormat="1" ht="19.2">
      <c r="A15" s="270" t="s">
        <v>1</v>
      </c>
      <c r="B15" s="270" t="s">
        <v>191</v>
      </c>
      <c r="C15" s="270"/>
      <c r="D15" s="271" t="s">
        <v>786</v>
      </c>
      <c r="E15" s="271"/>
      <c r="F15" s="272" t="s">
        <v>787</v>
      </c>
      <c r="G15" s="272"/>
      <c r="H15" s="271" t="s">
        <v>788</v>
      </c>
      <c r="I15" s="271"/>
      <c r="J15" s="271" t="s">
        <v>87</v>
      </c>
      <c r="L15" s="271"/>
    </row>
    <row r="16" spans="1:13" s="263" customFormat="1" ht="15">
      <c r="A16" s="284"/>
      <c r="B16" s="273" t="s">
        <v>192</v>
      </c>
      <c r="C16" s="273"/>
      <c r="D16" s="273" t="s">
        <v>193</v>
      </c>
      <c r="E16" s="273"/>
      <c r="F16" s="273" t="s">
        <v>194</v>
      </c>
      <c r="G16" s="273"/>
      <c r="H16" s="273" t="s">
        <v>195</v>
      </c>
      <c r="I16" s="273"/>
      <c r="J16" s="273" t="s">
        <v>196</v>
      </c>
      <c r="K16" s="274"/>
      <c r="L16" s="273"/>
    </row>
    <row r="17" spans="1:12" s="263" customFormat="1" ht="19.2">
      <c r="A17" s="815"/>
      <c r="B17" s="275"/>
      <c r="C17" s="275"/>
      <c r="D17" s="276"/>
      <c r="E17" s="276"/>
      <c r="F17" s="276"/>
      <c r="G17" s="276"/>
      <c r="H17" s="276"/>
      <c r="I17" s="276"/>
      <c r="J17" s="266"/>
      <c r="K17" s="274"/>
      <c r="L17" s="266"/>
    </row>
    <row r="18" spans="1:12" s="263" customFormat="1" ht="15.6">
      <c r="A18" s="815">
        <v>1</v>
      </c>
      <c r="B18" s="264">
        <v>1988</v>
      </c>
      <c r="C18" s="264"/>
      <c r="D18" s="1307">
        <v>108936778</v>
      </c>
      <c r="E18" s="739"/>
      <c r="F18" s="740">
        <f t="shared" ref="F18:F66" si="0">D18-H18</f>
        <v>106758042.44</v>
      </c>
      <c r="G18" s="740"/>
      <c r="H18" s="739">
        <f t="shared" ref="H18:H67" si="1">$D$18/50</f>
        <v>2178735.56</v>
      </c>
      <c r="I18" s="694"/>
      <c r="J18" s="695"/>
      <c r="K18" s="274"/>
      <c r="L18" s="266"/>
    </row>
    <row r="19" spans="1:12" s="263" customFormat="1" ht="15.6">
      <c r="A19" s="815">
        <v>2</v>
      </c>
      <c r="B19" s="264">
        <f t="shared" ref="B19:B67" si="2">1+B18</f>
        <v>1989</v>
      </c>
      <c r="C19" s="264"/>
      <c r="D19" s="741">
        <f t="shared" ref="D19:D67" si="3">D18-H18</f>
        <v>106758042.44</v>
      </c>
      <c r="E19" s="739"/>
      <c r="F19" s="740">
        <f t="shared" si="0"/>
        <v>104579306.88</v>
      </c>
      <c r="G19" s="740"/>
      <c r="H19" s="739">
        <f t="shared" si="1"/>
        <v>2178735.56</v>
      </c>
      <c r="I19" s="694"/>
      <c r="J19" s="695"/>
      <c r="K19" s="274"/>
      <c r="L19" s="266"/>
    </row>
    <row r="20" spans="1:12" s="263" customFormat="1" ht="15.6">
      <c r="A20" s="815">
        <v>3</v>
      </c>
      <c r="B20" s="264">
        <f t="shared" si="2"/>
        <v>1990</v>
      </c>
      <c r="C20" s="264"/>
      <c r="D20" s="741">
        <f t="shared" si="3"/>
        <v>104579306.88</v>
      </c>
      <c r="E20" s="739"/>
      <c r="F20" s="740">
        <f t="shared" si="0"/>
        <v>102400571.31999999</v>
      </c>
      <c r="G20" s="740"/>
      <c r="H20" s="739">
        <f t="shared" si="1"/>
        <v>2178735.56</v>
      </c>
      <c r="I20" s="694"/>
      <c r="J20" s="695"/>
      <c r="K20" s="274"/>
      <c r="L20" s="266"/>
    </row>
    <row r="21" spans="1:12" s="263" customFormat="1" ht="15.6">
      <c r="A21" s="815">
        <v>4</v>
      </c>
      <c r="B21" s="264">
        <f t="shared" si="2"/>
        <v>1991</v>
      </c>
      <c r="C21" s="264"/>
      <c r="D21" s="741">
        <f t="shared" si="3"/>
        <v>102400571.31999999</v>
      </c>
      <c r="E21" s="739"/>
      <c r="F21" s="740">
        <f t="shared" si="0"/>
        <v>100221835.75999999</v>
      </c>
      <c r="G21" s="740"/>
      <c r="H21" s="739">
        <f t="shared" si="1"/>
        <v>2178735.56</v>
      </c>
      <c r="I21" s="694"/>
      <c r="J21" s="695"/>
      <c r="K21" s="274"/>
      <c r="L21" s="266"/>
    </row>
    <row r="22" spans="1:12" s="263" customFormat="1" ht="15.6">
      <c r="A22" s="815">
        <v>5</v>
      </c>
      <c r="B22" s="264">
        <f t="shared" si="2"/>
        <v>1992</v>
      </c>
      <c r="C22" s="264"/>
      <c r="D22" s="741">
        <f t="shared" si="3"/>
        <v>100221835.75999999</v>
      </c>
      <c r="E22" s="739"/>
      <c r="F22" s="740">
        <f t="shared" si="0"/>
        <v>98043100.199999988</v>
      </c>
      <c r="G22" s="740"/>
      <c r="H22" s="739">
        <f t="shared" si="1"/>
        <v>2178735.56</v>
      </c>
      <c r="I22" s="694"/>
      <c r="J22" s="695"/>
      <c r="K22" s="274"/>
      <c r="L22" s="266"/>
    </row>
    <row r="23" spans="1:12" s="263" customFormat="1" ht="15.6">
      <c r="A23" s="815">
        <v>6</v>
      </c>
      <c r="B23" s="264">
        <f t="shared" si="2"/>
        <v>1993</v>
      </c>
      <c r="C23" s="264"/>
      <c r="D23" s="741">
        <f t="shared" si="3"/>
        <v>98043100.199999988</v>
      </c>
      <c r="E23" s="739"/>
      <c r="F23" s="740">
        <f t="shared" si="0"/>
        <v>95864364.639999986</v>
      </c>
      <c r="G23" s="740"/>
      <c r="H23" s="739">
        <f t="shared" si="1"/>
        <v>2178735.56</v>
      </c>
      <c r="I23" s="694"/>
      <c r="J23" s="695"/>
      <c r="K23" s="274"/>
      <c r="L23" s="266"/>
    </row>
    <row r="24" spans="1:12" s="263" customFormat="1" ht="15.6">
      <c r="A24" s="815">
        <v>7</v>
      </c>
      <c r="B24" s="264">
        <f t="shared" si="2"/>
        <v>1994</v>
      </c>
      <c r="C24" s="264"/>
      <c r="D24" s="741">
        <f t="shared" si="3"/>
        <v>95864364.639999986</v>
      </c>
      <c r="E24" s="739"/>
      <c r="F24" s="740">
        <f t="shared" si="0"/>
        <v>93685629.079999983</v>
      </c>
      <c r="G24" s="740"/>
      <c r="H24" s="739">
        <f t="shared" si="1"/>
        <v>2178735.56</v>
      </c>
      <c r="I24" s="694"/>
      <c r="J24" s="695"/>
      <c r="K24" s="274"/>
      <c r="L24" s="266"/>
    </row>
    <row r="25" spans="1:12" s="263" customFormat="1" ht="15.6">
      <c r="A25" s="815">
        <v>8</v>
      </c>
      <c r="B25" s="264">
        <f t="shared" si="2"/>
        <v>1995</v>
      </c>
      <c r="C25" s="264"/>
      <c r="D25" s="741">
        <f t="shared" si="3"/>
        <v>93685629.079999983</v>
      </c>
      <c r="E25" s="739"/>
      <c r="F25" s="740">
        <f t="shared" si="0"/>
        <v>91506893.519999981</v>
      </c>
      <c r="G25" s="740"/>
      <c r="H25" s="739">
        <f t="shared" si="1"/>
        <v>2178735.56</v>
      </c>
      <c r="I25" s="694"/>
      <c r="J25" s="695"/>
      <c r="K25" s="274"/>
      <c r="L25" s="266"/>
    </row>
    <row r="26" spans="1:12" s="263" customFormat="1" ht="15.6">
      <c r="A26" s="815">
        <v>9</v>
      </c>
      <c r="B26" s="264">
        <f t="shared" si="2"/>
        <v>1996</v>
      </c>
      <c r="C26" s="264"/>
      <c r="D26" s="741">
        <f t="shared" si="3"/>
        <v>91506893.519999981</v>
      </c>
      <c r="E26" s="739"/>
      <c r="F26" s="740">
        <f t="shared" si="0"/>
        <v>89328157.959999979</v>
      </c>
      <c r="G26" s="740"/>
      <c r="H26" s="739">
        <f t="shared" si="1"/>
        <v>2178735.56</v>
      </c>
      <c r="I26" s="694"/>
      <c r="J26" s="695"/>
      <c r="K26" s="274"/>
      <c r="L26" s="266"/>
    </row>
    <row r="27" spans="1:12" s="263" customFormat="1" ht="15.6">
      <c r="A27" s="815">
        <v>10</v>
      </c>
      <c r="B27" s="264">
        <f t="shared" si="2"/>
        <v>1997</v>
      </c>
      <c r="C27" s="264"/>
      <c r="D27" s="741">
        <f t="shared" si="3"/>
        <v>89328157.959999979</v>
      </c>
      <c r="E27" s="739"/>
      <c r="F27" s="740">
        <f t="shared" si="0"/>
        <v>87149422.399999976</v>
      </c>
      <c r="G27" s="740"/>
      <c r="H27" s="739">
        <f t="shared" si="1"/>
        <v>2178735.56</v>
      </c>
      <c r="I27" s="694"/>
      <c r="J27" s="696"/>
      <c r="K27" s="274"/>
      <c r="L27" s="277"/>
    </row>
    <row r="28" spans="1:12" s="263" customFormat="1" ht="15.6">
      <c r="A28" s="815">
        <v>11</v>
      </c>
      <c r="B28" s="264">
        <f t="shared" si="2"/>
        <v>1998</v>
      </c>
      <c r="C28" s="264"/>
      <c r="D28" s="741">
        <f t="shared" si="3"/>
        <v>87149422.399999976</v>
      </c>
      <c r="E28" s="739"/>
      <c r="F28" s="740">
        <f t="shared" si="0"/>
        <v>84970686.839999974</v>
      </c>
      <c r="G28" s="740"/>
      <c r="H28" s="739">
        <f t="shared" si="1"/>
        <v>2178735.56</v>
      </c>
      <c r="I28" s="694"/>
      <c r="J28" s="695"/>
      <c r="K28" s="274"/>
      <c r="L28" s="266"/>
    </row>
    <row r="29" spans="1:12" s="263" customFormat="1" ht="15.6">
      <c r="A29" s="815">
        <v>12</v>
      </c>
      <c r="B29" s="264">
        <f t="shared" si="2"/>
        <v>1999</v>
      </c>
      <c r="C29" s="264"/>
      <c r="D29" s="741">
        <f t="shared" si="3"/>
        <v>84970686.839999974</v>
      </c>
      <c r="E29" s="739"/>
      <c r="F29" s="740">
        <f t="shared" si="0"/>
        <v>82791951.279999971</v>
      </c>
      <c r="G29" s="740"/>
      <c r="H29" s="739">
        <f t="shared" si="1"/>
        <v>2178735.56</v>
      </c>
      <c r="I29" s="694"/>
      <c r="J29" s="695"/>
      <c r="K29" s="274"/>
      <c r="L29" s="266"/>
    </row>
    <row r="30" spans="1:12" s="263" customFormat="1" ht="15.6">
      <c r="A30" s="815">
        <v>13</v>
      </c>
      <c r="B30" s="264">
        <f t="shared" si="2"/>
        <v>2000</v>
      </c>
      <c r="C30" s="264"/>
      <c r="D30" s="741">
        <f t="shared" si="3"/>
        <v>82791951.279999971</v>
      </c>
      <c r="E30" s="739"/>
      <c r="F30" s="740">
        <f t="shared" si="0"/>
        <v>80613215.719999969</v>
      </c>
      <c r="G30" s="740"/>
      <c r="H30" s="739">
        <f t="shared" si="1"/>
        <v>2178735.56</v>
      </c>
      <c r="I30" s="694"/>
      <c r="J30" s="695"/>
      <c r="K30" s="274"/>
      <c r="L30" s="266"/>
    </row>
    <row r="31" spans="1:12" s="263" customFormat="1" ht="15.6">
      <c r="A31" s="815">
        <v>14</v>
      </c>
      <c r="B31" s="264">
        <f t="shared" si="2"/>
        <v>2001</v>
      </c>
      <c r="C31" s="264"/>
      <c r="D31" s="741">
        <f t="shared" si="3"/>
        <v>80613215.719999969</v>
      </c>
      <c r="E31" s="739"/>
      <c r="F31" s="740">
        <f t="shared" si="0"/>
        <v>78434480.159999967</v>
      </c>
      <c r="G31" s="740"/>
      <c r="H31" s="739">
        <f t="shared" si="1"/>
        <v>2178735.56</v>
      </c>
      <c r="I31" s="694"/>
      <c r="J31" s="695"/>
      <c r="K31" s="274"/>
      <c r="L31" s="266"/>
    </row>
    <row r="32" spans="1:12" s="263" customFormat="1" ht="15.6">
      <c r="A32" s="815">
        <v>15</v>
      </c>
      <c r="B32" s="264">
        <f t="shared" si="2"/>
        <v>2002</v>
      </c>
      <c r="C32" s="264"/>
      <c r="D32" s="741">
        <f t="shared" si="3"/>
        <v>78434480.159999967</v>
      </c>
      <c r="E32" s="739"/>
      <c r="F32" s="740">
        <f t="shared" si="0"/>
        <v>76255744.599999964</v>
      </c>
      <c r="G32" s="740"/>
      <c r="H32" s="739">
        <f t="shared" si="1"/>
        <v>2178735.56</v>
      </c>
      <c r="I32" s="694"/>
      <c r="J32" s="695"/>
      <c r="K32" s="274"/>
      <c r="L32" s="266"/>
    </row>
    <row r="33" spans="1:12" s="263" customFormat="1" ht="15.6">
      <c r="A33" s="815">
        <v>16</v>
      </c>
      <c r="B33" s="264">
        <f t="shared" si="2"/>
        <v>2003</v>
      </c>
      <c r="C33" s="264"/>
      <c r="D33" s="741">
        <f t="shared" si="3"/>
        <v>76255744.599999964</v>
      </c>
      <c r="E33" s="739"/>
      <c r="F33" s="740">
        <f t="shared" si="0"/>
        <v>74077009.039999962</v>
      </c>
      <c r="G33" s="740"/>
      <c r="H33" s="739">
        <f t="shared" si="1"/>
        <v>2178735.56</v>
      </c>
      <c r="I33" s="694"/>
      <c r="J33" s="695"/>
      <c r="K33" s="274"/>
      <c r="L33" s="266"/>
    </row>
    <row r="34" spans="1:12" s="263" customFormat="1" ht="15.6">
      <c r="A34" s="815">
        <v>17</v>
      </c>
      <c r="B34" s="264">
        <f t="shared" si="2"/>
        <v>2004</v>
      </c>
      <c r="C34" s="264"/>
      <c r="D34" s="741">
        <f t="shared" si="3"/>
        <v>74077009.039999962</v>
      </c>
      <c r="E34" s="739"/>
      <c r="F34" s="740">
        <f t="shared" si="0"/>
        <v>71898273.479999959</v>
      </c>
      <c r="G34" s="740"/>
      <c r="H34" s="739">
        <f t="shared" si="1"/>
        <v>2178735.56</v>
      </c>
      <c r="I34" s="694"/>
      <c r="J34" s="695"/>
      <c r="K34" s="274"/>
      <c r="L34" s="266"/>
    </row>
    <row r="35" spans="1:12" s="263" customFormat="1" ht="15.6">
      <c r="A35" s="815">
        <v>18</v>
      </c>
      <c r="B35" s="264">
        <f t="shared" si="2"/>
        <v>2005</v>
      </c>
      <c r="C35" s="264"/>
      <c r="D35" s="741">
        <f t="shared" si="3"/>
        <v>71898273.479999959</v>
      </c>
      <c r="E35" s="739"/>
      <c r="F35" s="740">
        <f t="shared" si="0"/>
        <v>69719537.919999957</v>
      </c>
      <c r="G35" s="740"/>
      <c r="H35" s="739">
        <f t="shared" si="1"/>
        <v>2178735.56</v>
      </c>
      <c r="I35" s="694"/>
      <c r="J35" s="695"/>
      <c r="K35" s="274"/>
      <c r="L35" s="266"/>
    </row>
    <row r="36" spans="1:12" s="263" customFormat="1" ht="15.6">
      <c r="A36" s="815">
        <v>19</v>
      </c>
      <c r="B36" s="264">
        <f t="shared" si="2"/>
        <v>2006</v>
      </c>
      <c r="C36" s="264"/>
      <c r="D36" s="741">
        <f t="shared" si="3"/>
        <v>69719537.919999957</v>
      </c>
      <c r="E36" s="739"/>
      <c r="F36" s="740">
        <f t="shared" si="0"/>
        <v>67540802.359999955</v>
      </c>
      <c r="G36" s="740"/>
      <c r="H36" s="739">
        <f t="shared" si="1"/>
        <v>2178735.56</v>
      </c>
      <c r="I36" s="694"/>
      <c r="J36" s="695"/>
      <c r="K36" s="274"/>
      <c r="L36" s="266"/>
    </row>
    <row r="37" spans="1:12" s="263" customFormat="1" ht="15.6">
      <c r="A37" s="815">
        <v>20</v>
      </c>
      <c r="B37" s="264">
        <f t="shared" si="2"/>
        <v>2007</v>
      </c>
      <c r="C37" s="264"/>
      <c r="D37" s="741">
        <f t="shared" si="3"/>
        <v>67540802.359999955</v>
      </c>
      <c r="E37" s="739"/>
      <c r="F37" s="740">
        <f t="shared" si="0"/>
        <v>65362066.799999952</v>
      </c>
      <c r="G37" s="740"/>
      <c r="H37" s="739">
        <f t="shared" si="1"/>
        <v>2178735.56</v>
      </c>
      <c r="I37" s="694"/>
      <c r="J37" s="695"/>
      <c r="K37" s="274"/>
      <c r="L37" s="266"/>
    </row>
    <row r="38" spans="1:12" s="263" customFormat="1" ht="15.6">
      <c r="A38" s="815">
        <v>21</v>
      </c>
      <c r="B38" s="264">
        <f t="shared" si="2"/>
        <v>2008</v>
      </c>
      <c r="C38" s="264"/>
      <c r="D38" s="741">
        <f t="shared" si="3"/>
        <v>65362066.799999952</v>
      </c>
      <c r="E38" s="739"/>
      <c r="F38" s="740">
        <f t="shared" si="0"/>
        <v>63183331.23999995</v>
      </c>
      <c r="G38" s="740"/>
      <c r="H38" s="739">
        <f t="shared" si="1"/>
        <v>2178735.56</v>
      </c>
      <c r="I38" s="694"/>
      <c r="J38" s="695"/>
      <c r="K38" s="274"/>
      <c r="L38" s="266"/>
    </row>
    <row r="39" spans="1:12" s="263" customFormat="1" ht="15.6">
      <c r="A39" s="815">
        <v>22</v>
      </c>
      <c r="B39" s="264">
        <f t="shared" si="2"/>
        <v>2009</v>
      </c>
      <c r="C39" s="264"/>
      <c r="D39" s="741">
        <f t="shared" si="3"/>
        <v>63183331.23999995</v>
      </c>
      <c r="E39" s="739"/>
      <c r="F39" s="740">
        <f t="shared" si="0"/>
        <v>61004595.679999948</v>
      </c>
      <c r="G39" s="740"/>
      <c r="H39" s="739">
        <f t="shared" si="1"/>
        <v>2178735.56</v>
      </c>
      <c r="I39" s="694"/>
      <c r="J39" s="695"/>
      <c r="K39" s="274"/>
      <c r="L39" s="266"/>
    </row>
    <row r="40" spans="1:12" s="263" customFormat="1" ht="15.6">
      <c r="A40" s="815">
        <v>23</v>
      </c>
      <c r="B40" s="264">
        <f t="shared" si="2"/>
        <v>2010</v>
      </c>
      <c r="C40" s="264"/>
      <c r="D40" s="741">
        <f t="shared" si="3"/>
        <v>61004595.679999948</v>
      </c>
      <c r="E40" s="739"/>
      <c r="F40" s="740">
        <f t="shared" si="0"/>
        <v>58825860.119999945</v>
      </c>
      <c r="G40" s="740"/>
      <c r="H40" s="739">
        <f t="shared" si="1"/>
        <v>2178735.56</v>
      </c>
      <c r="I40" s="694"/>
      <c r="J40" s="696"/>
      <c r="K40" s="274"/>
      <c r="L40" s="277"/>
    </row>
    <row r="41" spans="1:12" s="263" customFormat="1" ht="15.6">
      <c r="A41" s="815">
        <v>24</v>
      </c>
      <c r="B41" s="264">
        <f t="shared" si="2"/>
        <v>2011</v>
      </c>
      <c r="C41" s="264"/>
      <c r="D41" s="741">
        <f t="shared" si="3"/>
        <v>58825860.119999945</v>
      </c>
      <c r="E41" s="739"/>
      <c r="F41" s="740">
        <f t="shared" si="0"/>
        <v>56647124.559999943</v>
      </c>
      <c r="G41" s="740"/>
      <c r="H41" s="739">
        <f t="shared" si="1"/>
        <v>2178735.56</v>
      </c>
      <c r="I41" s="694"/>
      <c r="J41" s="696"/>
      <c r="K41" s="274"/>
      <c r="L41" s="277"/>
    </row>
    <row r="42" spans="1:12" s="263" customFormat="1" ht="15.6">
      <c r="A42" s="815">
        <v>25</v>
      </c>
      <c r="B42" s="278">
        <f t="shared" si="2"/>
        <v>2012</v>
      </c>
      <c r="C42" s="278"/>
      <c r="D42" s="742">
        <f t="shared" si="3"/>
        <v>56647124.559999943</v>
      </c>
      <c r="E42" s="743"/>
      <c r="F42" s="744">
        <f t="shared" si="0"/>
        <v>54468388.99999994</v>
      </c>
      <c r="G42" s="744"/>
      <c r="H42" s="743">
        <f t="shared" si="1"/>
        <v>2178735.56</v>
      </c>
      <c r="I42" s="697"/>
      <c r="J42" s="698"/>
      <c r="K42" s="274"/>
      <c r="L42" s="277"/>
    </row>
    <row r="43" spans="1:12" s="263" customFormat="1" ht="15.6">
      <c r="A43" s="815">
        <v>26</v>
      </c>
      <c r="B43" s="264">
        <f t="shared" si="2"/>
        <v>2013</v>
      </c>
      <c r="C43" s="264"/>
      <c r="D43" s="742">
        <f t="shared" si="3"/>
        <v>54468388.99999994</v>
      </c>
      <c r="E43" s="743"/>
      <c r="F43" s="744">
        <f t="shared" si="0"/>
        <v>52289653.439999938</v>
      </c>
      <c r="G43" s="744"/>
      <c r="H43" s="743">
        <f t="shared" si="1"/>
        <v>2178735.56</v>
      </c>
      <c r="I43" s="697"/>
      <c r="J43" s="699"/>
      <c r="K43" s="274"/>
      <c r="L43" s="277"/>
    </row>
    <row r="44" spans="1:12" s="263" customFormat="1" ht="15.6">
      <c r="A44" s="815">
        <v>27</v>
      </c>
      <c r="B44" s="264">
        <f t="shared" si="2"/>
        <v>2014</v>
      </c>
      <c r="C44" s="264"/>
      <c r="D44" s="742">
        <f t="shared" si="3"/>
        <v>52289653.439999938</v>
      </c>
      <c r="E44" s="743"/>
      <c r="F44" s="744">
        <f t="shared" si="0"/>
        <v>50110917.879999936</v>
      </c>
      <c r="G44" s="744"/>
      <c r="H44" s="743">
        <f t="shared" si="1"/>
        <v>2178735.56</v>
      </c>
      <c r="I44" s="697"/>
      <c r="J44" s="699"/>
      <c r="K44" s="274"/>
      <c r="L44" s="277"/>
    </row>
    <row r="45" spans="1:12" s="263" customFormat="1" ht="15.6">
      <c r="A45" s="815">
        <v>28</v>
      </c>
      <c r="B45" s="264">
        <f t="shared" si="2"/>
        <v>2015</v>
      </c>
      <c r="C45" s="264"/>
      <c r="D45" s="741">
        <f t="shared" si="3"/>
        <v>50110917.879999936</v>
      </c>
      <c r="E45" s="739"/>
      <c r="F45" s="740">
        <f t="shared" si="0"/>
        <v>47932182.319999933</v>
      </c>
      <c r="G45" s="740"/>
      <c r="H45" s="739">
        <f t="shared" si="1"/>
        <v>2178735.56</v>
      </c>
      <c r="I45" s="697"/>
      <c r="J45" s="699"/>
      <c r="K45" s="274"/>
      <c r="L45" s="266"/>
    </row>
    <row r="46" spans="1:12" s="263" customFormat="1" ht="15.6">
      <c r="A46" s="815">
        <v>29</v>
      </c>
      <c r="B46" s="264">
        <f t="shared" si="2"/>
        <v>2016</v>
      </c>
      <c r="C46" s="264"/>
      <c r="D46" s="741">
        <f t="shared" si="3"/>
        <v>47932182.319999933</v>
      </c>
      <c r="E46" s="739"/>
      <c r="F46" s="740">
        <f t="shared" si="0"/>
        <v>45753446.759999931</v>
      </c>
      <c r="G46" s="740"/>
      <c r="H46" s="739">
        <f t="shared" si="1"/>
        <v>2178735.56</v>
      </c>
      <c r="I46" s="694"/>
      <c r="J46" s="699"/>
      <c r="K46" s="274"/>
      <c r="L46" s="266"/>
    </row>
    <row r="47" spans="1:12" s="263" customFormat="1" ht="15.6">
      <c r="A47" s="815">
        <v>30</v>
      </c>
      <c r="B47" s="264">
        <f t="shared" si="2"/>
        <v>2017</v>
      </c>
      <c r="C47" s="264"/>
      <c r="D47" s="741">
        <f t="shared" si="3"/>
        <v>45753446.759999931</v>
      </c>
      <c r="E47" s="739"/>
      <c r="F47" s="740">
        <f t="shared" si="0"/>
        <v>43574711.199999928</v>
      </c>
      <c r="G47" s="740"/>
      <c r="H47" s="739">
        <f t="shared" si="1"/>
        <v>2178735.56</v>
      </c>
      <c r="I47" s="694"/>
      <c r="K47" s="274"/>
      <c r="L47" s="266"/>
    </row>
    <row r="48" spans="1:12" s="263" customFormat="1" ht="15.6">
      <c r="A48" s="815">
        <v>31</v>
      </c>
      <c r="B48" s="264">
        <f t="shared" si="2"/>
        <v>2018</v>
      </c>
      <c r="C48" s="264"/>
      <c r="D48" s="741">
        <f t="shared" si="3"/>
        <v>43574711.199999928</v>
      </c>
      <c r="E48" s="739"/>
      <c r="F48" s="740">
        <f t="shared" si="0"/>
        <v>41395975.639999926</v>
      </c>
      <c r="G48" s="740"/>
      <c r="H48" s="739">
        <f t="shared" si="1"/>
        <v>2178735.56</v>
      </c>
      <c r="I48" s="694"/>
      <c r="K48" s="274"/>
      <c r="L48" s="266"/>
    </row>
    <row r="49" spans="1:12" s="263" customFormat="1" ht="15.6">
      <c r="A49" s="815">
        <v>32</v>
      </c>
      <c r="B49" s="264">
        <f t="shared" si="2"/>
        <v>2019</v>
      </c>
      <c r="C49" s="264"/>
      <c r="D49" s="742">
        <f t="shared" si="3"/>
        <v>41395975.639999926</v>
      </c>
      <c r="E49" s="743"/>
      <c r="F49" s="744">
        <f t="shared" si="0"/>
        <v>39217240.079999924</v>
      </c>
      <c r="G49" s="744"/>
      <c r="H49" s="743">
        <f t="shared" si="1"/>
        <v>2178735.56</v>
      </c>
      <c r="I49" s="697"/>
      <c r="J49" s="1416"/>
      <c r="K49" s="274"/>
      <c r="L49" s="266"/>
    </row>
    <row r="50" spans="1:12" s="263" customFormat="1" ht="15.6">
      <c r="A50" s="815">
        <v>33</v>
      </c>
      <c r="B50" s="264">
        <f t="shared" si="2"/>
        <v>2020</v>
      </c>
      <c r="C50" s="264"/>
      <c r="D50" s="742">
        <f t="shared" si="3"/>
        <v>39217240.079999924</v>
      </c>
      <c r="E50" s="743"/>
      <c r="F50" s="744">
        <f t="shared" si="0"/>
        <v>37038504.519999921</v>
      </c>
      <c r="G50" s="744"/>
      <c r="H50" s="743">
        <f t="shared" si="1"/>
        <v>2178735.56</v>
      </c>
      <c r="I50" s="694"/>
      <c r="J50" s="1925"/>
      <c r="K50" s="274"/>
      <c r="L50" s="266"/>
    </row>
    <row r="51" spans="1:12" s="263" customFormat="1" ht="15.6">
      <c r="A51" s="815">
        <v>34</v>
      </c>
      <c r="B51" s="264">
        <f t="shared" si="2"/>
        <v>2021</v>
      </c>
      <c r="C51" s="264"/>
      <c r="D51" s="745">
        <f t="shared" si="3"/>
        <v>37038504.519999921</v>
      </c>
      <c r="E51" s="746"/>
      <c r="F51" s="747">
        <f t="shared" si="0"/>
        <v>34859768.959999919</v>
      </c>
      <c r="G51" s="747"/>
      <c r="H51" s="746">
        <f t="shared" si="1"/>
        <v>2178735.56</v>
      </c>
      <c r="I51" s="694"/>
      <c r="J51" s="1305">
        <f>+(F50+F51)/2</f>
        <v>35949136.73999992</v>
      </c>
      <c r="K51" s="274"/>
      <c r="L51" s="266"/>
    </row>
    <row r="52" spans="1:12" s="263" customFormat="1" ht="15.6">
      <c r="A52" s="815">
        <v>35</v>
      </c>
      <c r="B52" s="264">
        <f t="shared" si="2"/>
        <v>2022</v>
      </c>
      <c r="C52" s="264"/>
      <c r="D52" s="741">
        <f t="shared" si="3"/>
        <v>34859768.959999919</v>
      </c>
      <c r="E52" s="739"/>
      <c r="F52" s="740">
        <f t="shared" si="0"/>
        <v>32681033.39999992</v>
      </c>
      <c r="G52" s="740"/>
      <c r="H52" s="739">
        <f t="shared" si="1"/>
        <v>2178735.56</v>
      </c>
      <c r="I52" s="694"/>
      <c r="J52" s="1306"/>
      <c r="K52" s="274"/>
      <c r="L52" s="266"/>
    </row>
    <row r="53" spans="1:12" s="263" customFormat="1" ht="15.6">
      <c r="A53" s="815">
        <v>36</v>
      </c>
      <c r="B53" s="264">
        <f t="shared" si="2"/>
        <v>2023</v>
      </c>
      <c r="C53" s="264"/>
      <c r="D53" s="741">
        <f t="shared" si="3"/>
        <v>32681033.39999992</v>
      </c>
      <c r="E53" s="739"/>
      <c r="F53" s="740">
        <f t="shared" si="0"/>
        <v>30502297.839999922</v>
      </c>
      <c r="G53" s="740"/>
      <c r="H53" s="739">
        <f t="shared" si="1"/>
        <v>2178735.56</v>
      </c>
      <c r="I53" s="694"/>
      <c r="J53" s="1306"/>
      <c r="K53" s="274"/>
      <c r="L53" s="266"/>
    </row>
    <row r="54" spans="1:12" s="263" customFormat="1" ht="15.6">
      <c r="A54" s="815">
        <v>37</v>
      </c>
      <c r="B54" s="264">
        <f t="shared" si="2"/>
        <v>2024</v>
      </c>
      <c r="C54" s="264"/>
      <c r="D54" s="741">
        <f t="shared" si="3"/>
        <v>30502297.839999922</v>
      </c>
      <c r="E54" s="739"/>
      <c r="F54" s="740">
        <f t="shared" si="0"/>
        <v>28323562.279999923</v>
      </c>
      <c r="G54" s="740"/>
      <c r="H54" s="739">
        <f t="shared" si="1"/>
        <v>2178735.56</v>
      </c>
      <c r="I54" s="694"/>
      <c r="J54" s="1306"/>
      <c r="K54" s="274"/>
      <c r="L54" s="266"/>
    </row>
    <row r="55" spans="1:12" s="263" customFormat="1" ht="15.6">
      <c r="A55" s="815">
        <v>38</v>
      </c>
      <c r="B55" s="264">
        <f t="shared" si="2"/>
        <v>2025</v>
      </c>
      <c r="C55" s="264"/>
      <c r="D55" s="741">
        <f t="shared" si="3"/>
        <v>28323562.279999923</v>
      </c>
      <c r="E55" s="739"/>
      <c r="F55" s="740">
        <f t="shared" si="0"/>
        <v>26144826.719999924</v>
      </c>
      <c r="G55" s="740"/>
      <c r="H55" s="739">
        <f t="shared" si="1"/>
        <v>2178735.56</v>
      </c>
      <c r="I55" s="694"/>
      <c r="J55" s="1306"/>
      <c r="K55" s="274"/>
      <c r="L55" s="266"/>
    </row>
    <row r="56" spans="1:12" s="263" customFormat="1" ht="15.6">
      <c r="A56" s="815">
        <v>39</v>
      </c>
      <c r="B56" s="264">
        <f t="shared" si="2"/>
        <v>2026</v>
      </c>
      <c r="C56" s="264"/>
      <c r="D56" s="741">
        <f t="shared" si="3"/>
        <v>26144826.719999924</v>
      </c>
      <c r="E56" s="739"/>
      <c r="F56" s="740">
        <f t="shared" si="0"/>
        <v>23966091.159999926</v>
      </c>
      <c r="G56" s="740"/>
      <c r="H56" s="739">
        <f t="shared" si="1"/>
        <v>2178735.56</v>
      </c>
      <c r="I56" s="694"/>
      <c r="J56" s="1306"/>
      <c r="K56" s="274"/>
      <c r="L56" s="266"/>
    </row>
    <row r="57" spans="1:12" s="263" customFormat="1" ht="15.6">
      <c r="A57" s="815">
        <v>40</v>
      </c>
      <c r="B57" s="264">
        <f t="shared" si="2"/>
        <v>2027</v>
      </c>
      <c r="C57" s="264"/>
      <c r="D57" s="741">
        <f t="shared" si="3"/>
        <v>23966091.159999926</v>
      </c>
      <c r="E57" s="739"/>
      <c r="F57" s="740">
        <f t="shared" si="0"/>
        <v>21787355.599999927</v>
      </c>
      <c r="G57" s="740"/>
      <c r="H57" s="739">
        <f t="shared" si="1"/>
        <v>2178735.56</v>
      </c>
      <c r="I57" s="694"/>
      <c r="J57" s="1306"/>
      <c r="K57" s="274"/>
      <c r="L57" s="266"/>
    </row>
    <row r="58" spans="1:12" s="263" customFormat="1" ht="15.6">
      <c r="A58" s="815">
        <v>41</v>
      </c>
      <c r="B58" s="264">
        <f t="shared" si="2"/>
        <v>2028</v>
      </c>
      <c r="C58" s="264"/>
      <c r="D58" s="741">
        <f t="shared" si="3"/>
        <v>21787355.599999927</v>
      </c>
      <c r="E58" s="739"/>
      <c r="F58" s="740">
        <f t="shared" si="0"/>
        <v>19608620.039999928</v>
      </c>
      <c r="G58" s="740"/>
      <c r="H58" s="739">
        <f t="shared" si="1"/>
        <v>2178735.56</v>
      </c>
      <c r="I58" s="694"/>
      <c r="J58" s="1306"/>
      <c r="K58" s="274"/>
      <c r="L58" s="266"/>
    </row>
    <row r="59" spans="1:12" s="263" customFormat="1" ht="15.6">
      <c r="A59" s="815">
        <v>42</v>
      </c>
      <c r="B59" s="264">
        <f t="shared" si="2"/>
        <v>2029</v>
      </c>
      <c r="C59" s="264"/>
      <c r="D59" s="741">
        <f t="shared" si="3"/>
        <v>19608620.039999928</v>
      </c>
      <c r="E59" s="739"/>
      <c r="F59" s="740">
        <f t="shared" si="0"/>
        <v>17429884.47999993</v>
      </c>
      <c r="G59" s="740"/>
      <c r="H59" s="739">
        <f t="shared" si="1"/>
        <v>2178735.56</v>
      </c>
      <c r="I59" s="694"/>
      <c r="J59" s="1306"/>
      <c r="K59" s="274"/>
      <c r="L59" s="266"/>
    </row>
    <row r="60" spans="1:12" s="263" customFormat="1" ht="15.6">
      <c r="A60" s="815">
        <v>43</v>
      </c>
      <c r="B60" s="264">
        <f t="shared" si="2"/>
        <v>2030</v>
      </c>
      <c r="C60" s="264"/>
      <c r="D60" s="741">
        <f t="shared" si="3"/>
        <v>17429884.47999993</v>
      </c>
      <c r="E60" s="739"/>
      <c r="F60" s="740">
        <f t="shared" si="0"/>
        <v>15251148.919999929</v>
      </c>
      <c r="G60" s="740"/>
      <c r="H60" s="739">
        <f t="shared" si="1"/>
        <v>2178735.56</v>
      </c>
      <c r="I60" s="694"/>
      <c r="J60" s="1306"/>
      <c r="K60" s="274"/>
      <c r="L60" s="266"/>
    </row>
    <row r="61" spans="1:12" s="263" customFormat="1" ht="15.6">
      <c r="A61" s="815">
        <v>44</v>
      </c>
      <c r="B61" s="264">
        <f t="shared" si="2"/>
        <v>2031</v>
      </c>
      <c r="C61" s="264"/>
      <c r="D61" s="741">
        <f t="shared" si="3"/>
        <v>15251148.919999929</v>
      </c>
      <c r="E61" s="739"/>
      <c r="F61" s="740">
        <f t="shared" si="0"/>
        <v>13072413.359999929</v>
      </c>
      <c r="G61" s="740"/>
      <c r="H61" s="739">
        <f t="shared" si="1"/>
        <v>2178735.56</v>
      </c>
      <c r="I61" s="694"/>
      <c r="J61" s="1306"/>
      <c r="K61" s="274"/>
      <c r="L61" s="266"/>
    </row>
    <row r="62" spans="1:12" s="263" customFormat="1" ht="15.6">
      <c r="A62" s="815">
        <v>45</v>
      </c>
      <c r="B62" s="264">
        <f t="shared" si="2"/>
        <v>2032</v>
      </c>
      <c r="C62" s="264"/>
      <c r="D62" s="741">
        <f t="shared" si="3"/>
        <v>13072413.359999929</v>
      </c>
      <c r="E62" s="739"/>
      <c r="F62" s="740">
        <f t="shared" si="0"/>
        <v>10893677.799999928</v>
      </c>
      <c r="G62" s="740"/>
      <c r="H62" s="739">
        <f t="shared" si="1"/>
        <v>2178735.56</v>
      </c>
      <c r="I62" s="694"/>
      <c r="J62" s="1306"/>
      <c r="K62" s="274"/>
      <c r="L62" s="266"/>
    </row>
    <row r="63" spans="1:12" s="263" customFormat="1" ht="15.6">
      <c r="A63" s="815">
        <v>46</v>
      </c>
      <c r="B63" s="264">
        <f t="shared" si="2"/>
        <v>2033</v>
      </c>
      <c r="C63" s="264"/>
      <c r="D63" s="741">
        <f t="shared" si="3"/>
        <v>10893677.799999928</v>
      </c>
      <c r="E63" s="739"/>
      <c r="F63" s="740">
        <f t="shared" si="0"/>
        <v>8714942.2399999276</v>
      </c>
      <c r="G63" s="740"/>
      <c r="H63" s="739">
        <f t="shared" si="1"/>
        <v>2178735.56</v>
      </c>
      <c r="I63" s="694"/>
      <c r="J63" s="1306"/>
      <c r="K63" s="274"/>
      <c r="L63" s="266"/>
    </row>
    <row r="64" spans="1:12" s="263" customFormat="1" ht="15.6">
      <c r="A64" s="815">
        <v>47</v>
      </c>
      <c r="B64" s="264">
        <f t="shared" si="2"/>
        <v>2034</v>
      </c>
      <c r="C64" s="264"/>
      <c r="D64" s="741">
        <f t="shared" si="3"/>
        <v>8714942.2399999276</v>
      </c>
      <c r="E64" s="739"/>
      <c r="F64" s="740">
        <f t="shared" si="0"/>
        <v>6536206.6799999271</v>
      </c>
      <c r="G64" s="740"/>
      <c r="H64" s="739">
        <f t="shared" si="1"/>
        <v>2178735.56</v>
      </c>
      <c r="I64" s="694"/>
      <c r="J64" s="1306"/>
      <c r="K64" s="274"/>
      <c r="L64" s="266"/>
    </row>
    <row r="65" spans="1:12" s="263" customFormat="1" ht="15.6">
      <c r="A65" s="815">
        <v>48</v>
      </c>
      <c r="B65" s="264">
        <f t="shared" si="2"/>
        <v>2035</v>
      </c>
      <c r="C65" s="264"/>
      <c r="D65" s="741">
        <f t="shared" si="3"/>
        <v>6536206.6799999271</v>
      </c>
      <c r="E65" s="739"/>
      <c r="F65" s="740">
        <f t="shared" si="0"/>
        <v>4357471.1199999265</v>
      </c>
      <c r="G65" s="740"/>
      <c r="H65" s="739">
        <f t="shared" si="1"/>
        <v>2178735.56</v>
      </c>
      <c r="I65" s="694"/>
      <c r="J65" s="1306"/>
      <c r="K65" s="274"/>
      <c r="L65" s="266"/>
    </row>
    <row r="66" spans="1:12" s="263" customFormat="1" ht="15.6">
      <c r="A66" s="815">
        <v>49</v>
      </c>
      <c r="B66" s="264">
        <f t="shared" si="2"/>
        <v>2036</v>
      </c>
      <c r="C66" s="264"/>
      <c r="D66" s="741">
        <f t="shared" si="3"/>
        <v>4357471.1199999265</v>
      </c>
      <c r="E66" s="739"/>
      <c r="F66" s="740">
        <f t="shared" si="0"/>
        <v>2178735.5599999265</v>
      </c>
      <c r="G66" s="740"/>
      <c r="H66" s="739">
        <f t="shared" si="1"/>
        <v>2178735.56</v>
      </c>
      <c r="I66" s="694"/>
      <c r="J66" s="1306"/>
      <c r="K66" s="274"/>
      <c r="L66" s="266"/>
    </row>
    <row r="67" spans="1:12" s="263" customFormat="1" ht="15.6">
      <c r="A67" s="815">
        <v>50</v>
      </c>
      <c r="B67" s="264">
        <f t="shared" si="2"/>
        <v>2037</v>
      </c>
      <c r="C67" s="264"/>
      <c r="D67" s="745">
        <f t="shared" si="3"/>
        <v>2178735.5599999265</v>
      </c>
      <c r="E67" s="739"/>
      <c r="F67" s="747">
        <f>D67-H67</f>
        <v>-7.3574483394622803E-8</v>
      </c>
      <c r="G67" s="740"/>
      <c r="H67" s="746">
        <f t="shared" si="1"/>
        <v>2178735.56</v>
      </c>
      <c r="I67" s="694"/>
      <c r="J67" s="1306"/>
      <c r="K67" s="274"/>
      <c r="L67" s="266"/>
    </row>
    <row r="68" spans="1:12" s="263" customFormat="1" ht="15">
      <c r="B68" s="264"/>
      <c r="C68" s="264"/>
      <c r="D68" s="602"/>
      <c r="E68" s="694"/>
      <c r="F68" s="602"/>
      <c r="G68" s="602"/>
      <c r="H68" s="602"/>
      <c r="I68" s="602"/>
      <c r="J68" s="602"/>
      <c r="K68" s="266"/>
      <c r="L68" s="266"/>
    </row>
    <row r="69" spans="1:12" s="263" customFormat="1" ht="16.2" thickBot="1">
      <c r="A69" s="815">
        <v>51</v>
      </c>
      <c r="B69" s="279" t="s">
        <v>4</v>
      </c>
      <c r="C69" s="264"/>
      <c r="D69" s="602"/>
      <c r="E69" s="694"/>
      <c r="F69" s="602"/>
      <c r="G69" s="602"/>
      <c r="H69" s="700">
        <f>SUM(H18:H67)</f>
        <v>108936778.00000007</v>
      </c>
      <c r="I69" s="599"/>
      <c r="J69" s="599"/>
      <c r="K69" s="266"/>
      <c r="L69" s="266"/>
    </row>
    <row r="70" spans="1:12" s="263" customFormat="1" ht="15.6" thickTop="1">
      <c r="C70" s="264"/>
      <c r="D70" s="699"/>
      <c r="E70" s="694"/>
      <c r="F70" s="699"/>
      <c r="G70" s="602"/>
      <c r="H70" s="699"/>
      <c r="I70" s="699"/>
      <c r="J70" s="699"/>
      <c r="K70" s="266"/>
      <c r="L70" s="266"/>
    </row>
    <row r="71" spans="1:12" s="280" customFormat="1" ht="13.8">
      <c r="D71" s="701"/>
      <c r="E71" s="701"/>
      <c r="F71" s="701"/>
      <c r="G71" s="701"/>
      <c r="H71" s="701"/>
      <c r="I71" s="701"/>
      <c r="J71" s="701"/>
      <c r="K71" s="281"/>
      <c r="L71" s="281"/>
    </row>
    <row r="72" spans="1:12" s="280" customFormat="1" ht="13.8">
      <c r="K72" s="281"/>
      <c r="L72" s="281"/>
    </row>
  </sheetData>
  <sheetProtection algorithmName="SHA-512" hashValue="ZVZCOeJ+1sJkgdvKtJHbKhHEqkzLlnPxS3M4smbA3Jy8x6pB2S3tZ/z4s59B/NfaHvenMgdkfUXXxoORLWo5Eg==" saltValue="bbyKAiret7cVZ4RzlgzNgg==" spinCount="100000" sheet="1" objects="1" scenarios="1"/>
  <customSheetViews>
    <customSheetView guid="{B321D76C-CDE5-48BB-9CDE-80FF97D58FCF}" scale="90" showPageBreaks="1" fitToPage="1" printArea="1" view="pageBreakPreview" topLeftCell="A4">
      <selection activeCell="D33" sqref="D33"/>
      <rowBreaks count="1" manualBreakCount="1">
        <brk id="71" max="16383" man="1"/>
      </rowBreaks>
      <pageMargins left="0.2" right="0.2" top="0.33" bottom="0.28000000000000003" header="0.05" footer="0.05"/>
      <printOptions horizontalCentered="1"/>
      <pageSetup scale="65" orientation="portrait" r:id="rId1"/>
    </customSheetView>
  </customSheetViews>
  <mergeCells count="6">
    <mergeCell ref="A9:K9"/>
    <mergeCell ref="A7:K7"/>
    <mergeCell ref="A8:K8"/>
    <mergeCell ref="A3:K3"/>
    <mergeCell ref="A4:K4"/>
    <mergeCell ref="A5:K5"/>
  </mergeCells>
  <printOptions horizontalCentered="1"/>
  <pageMargins left="0.2" right="0.2" top="0.33" bottom="0.28000000000000003" header="0.05" footer="0.05"/>
  <pageSetup scale="65" orientation="portrait" r:id="rId2"/>
  <rowBreaks count="1" manualBreakCount="1">
    <brk id="71"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tabColor rgb="FF0070C0"/>
    <pageSetUpPr fitToPage="1"/>
  </sheetPr>
  <dimension ref="A1:Q89"/>
  <sheetViews>
    <sheetView view="pageBreakPreview" zoomScale="80" zoomScaleNormal="80" zoomScaleSheetLayoutView="80" workbookViewId="0">
      <selection activeCell="O34" sqref="O34"/>
    </sheetView>
  </sheetViews>
  <sheetFormatPr defaultRowHeight="13.2"/>
  <cols>
    <col min="1" max="1" width="3.44140625" style="44" customWidth="1"/>
    <col min="2" max="2" width="12" style="44" hidden="1" customWidth="1"/>
    <col min="3" max="3" width="16.109375" style="44" customWidth="1"/>
    <col min="4" max="4" width="1.44140625" style="44" customWidth="1"/>
    <col min="5" max="5" width="53.77734375" style="44" customWidth="1"/>
    <col min="6" max="6" width="18.21875" style="44" customWidth="1"/>
    <col min="7" max="9" width="18.21875" style="90" customWidth="1"/>
    <col min="10" max="13" width="18.21875" style="44" customWidth="1"/>
    <col min="14" max="14" width="18.77734375" style="44" customWidth="1"/>
    <col min="15" max="254" width="9" style="44"/>
    <col min="255" max="255" width="12" style="44" customWidth="1"/>
    <col min="256" max="256" width="8.109375" style="44" bestFit="1" customWidth="1"/>
    <col min="257" max="257" width="40.77734375" style="44" bestFit="1" customWidth="1"/>
    <col min="258" max="258" width="11.77734375" style="44" bestFit="1" customWidth="1"/>
    <col min="259" max="259" width="11.21875" style="44" bestFit="1" customWidth="1"/>
    <col min="260" max="260" width="13" style="44" bestFit="1" customWidth="1"/>
    <col min="261" max="510" width="9" style="44"/>
    <col min="511" max="511" width="12" style="44" customWidth="1"/>
    <col min="512" max="512" width="8.109375" style="44" bestFit="1" customWidth="1"/>
    <col min="513" max="513" width="40.77734375" style="44" bestFit="1" customWidth="1"/>
    <col min="514" max="514" width="11.77734375" style="44" bestFit="1" customWidth="1"/>
    <col min="515" max="515" width="11.21875" style="44" bestFit="1" customWidth="1"/>
    <col min="516" max="516" width="13" style="44" bestFit="1" customWidth="1"/>
    <col min="517" max="766" width="9" style="44"/>
    <col min="767" max="767" width="12" style="44" customWidth="1"/>
    <col min="768" max="768" width="8.109375" style="44" bestFit="1" customWidth="1"/>
    <col min="769" max="769" width="40.77734375" style="44" bestFit="1" customWidth="1"/>
    <col min="770" max="770" width="11.77734375" style="44" bestFit="1" customWidth="1"/>
    <col min="771" max="771" width="11.21875" style="44" bestFit="1" customWidth="1"/>
    <col min="772" max="772" width="13" style="44" bestFit="1" customWidth="1"/>
    <col min="773" max="1022" width="9" style="44"/>
    <col min="1023" max="1023" width="12" style="44" customWidth="1"/>
    <col min="1024" max="1024" width="8.109375" style="44" bestFit="1" customWidth="1"/>
    <col min="1025" max="1025" width="40.77734375" style="44" bestFit="1" customWidth="1"/>
    <col min="1026" max="1026" width="11.77734375" style="44" bestFit="1" customWidth="1"/>
    <col min="1027" max="1027" width="11.21875" style="44" bestFit="1" customWidth="1"/>
    <col min="1028" max="1028" width="13" style="44" bestFit="1" customWidth="1"/>
    <col min="1029" max="1278" width="9" style="44"/>
    <col min="1279" max="1279" width="12" style="44" customWidth="1"/>
    <col min="1280" max="1280" width="8.109375" style="44" bestFit="1" customWidth="1"/>
    <col min="1281" max="1281" width="40.77734375" style="44" bestFit="1" customWidth="1"/>
    <col min="1282" max="1282" width="11.77734375" style="44" bestFit="1" customWidth="1"/>
    <col min="1283" max="1283" width="11.21875" style="44" bestFit="1" customWidth="1"/>
    <col min="1284" max="1284" width="13" style="44" bestFit="1" customWidth="1"/>
    <col min="1285" max="1534" width="9" style="44"/>
    <col min="1535" max="1535" width="12" style="44" customWidth="1"/>
    <col min="1536" max="1536" width="8.109375" style="44" bestFit="1" customWidth="1"/>
    <col min="1537" max="1537" width="40.77734375" style="44" bestFit="1" customWidth="1"/>
    <col min="1538" max="1538" width="11.77734375" style="44" bestFit="1" customWidth="1"/>
    <col min="1539" max="1539" width="11.21875" style="44" bestFit="1" customWidth="1"/>
    <col min="1540" max="1540" width="13" style="44" bestFit="1" customWidth="1"/>
    <col min="1541" max="1790" width="9" style="44"/>
    <col min="1791" max="1791" width="12" style="44" customWidth="1"/>
    <col min="1792" max="1792" width="8.109375" style="44" bestFit="1" customWidth="1"/>
    <col min="1793" max="1793" width="40.77734375" style="44" bestFit="1" customWidth="1"/>
    <col min="1794" max="1794" width="11.77734375" style="44" bestFit="1" customWidth="1"/>
    <col min="1795" max="1795" width="11.21875" style="44" bestFit="1" customWidth="1"/>
    <col min="1796" max="1796" width="13" style="44" bestFit="1" customWidth="1"/>
    <col min="1797" max="2046" width="9" style="44"/>
    <col min="2047" max="2047" width="12" style="44" customWidth="1"/>
    <col min="2048" max="2048" width="8.109375" style="44" bestFit="1" customWidth="1"/>
    <col min="2049" max="2049" width="40.77734375" style="44" bestFit="1" customWidth="1"/>
    <col min="2050" max="2050" width="11.77734375" style="44" bestFit="1" customWidth="1"/>
    <col min="2051" max="2051" width="11.21875" style="44" bestFit="1" customWidth="1"/>
    <col min="2052" max="2052" width="13" style="44" bestFit="1" customWidth="1"/>
    <col min="2053" max="2302" width="9" style="44"/>
    <col min="2303" max="2303" width="12" style="44" customWidth="1"/>
    <col min="2304" max="2304" width="8.109375" style="44" bestFit="1" customWidth="1"/>
    <col min="2305" max="2305" width="40.77734375" style="44" bestFit="1" customWidth="1"/>
    <col min="2306" max="2306" width="11.77734375" style="44" bestFit="1" customWidth="1"/>
    <col min="2307" max="2307" width="11.21875" style="44" bestFit="1" customWidth="1"/>
    <col min="2308" max="2308" width="13" style="44" bestFit="1" customWidth="1"/>
    <col min="2309" max="2558" width="9" style="44"/>
    <col min="2559" max="2559" width="12" style="44" customWidth="1"/>
    <col min="2560" max="2560" width="8.109375" style="44" bestFit="1" customWidth="1"/>
    <col min="2561" max="2561" width="40.77734375" style="44" bestFit="1" customWidth="1"/>
    <col min="2562" max="2562" width="11.77734375" style="44" bestFit="1" customWidth="1"/>
    <col min="2563" max="2563" width="11.21875" style="44" bestFit="1" customWidth="1"/>
    <col min="2564" max="2564" width="13" style="44" bestFit="1" customWidth="1"/>
    <col min="2565" max="2814" width="9" style="44"/>
    <col min="2815" max="2815" width="12" style="44" customWidth="1"/>
    <col min="2816" max="2816" width="8.109375" style="44" bestFit="1" customWidth="1"/>
    <col min="2817" max="2817" width="40.77734375" style="44" bestFit="1" customWidth="1"/>
    <col min="2818" max="2818" width="11.77734375" style="44" bestFit="1" customWidth="1"/>
    <col min="2819" max="2819" width="11.21875" style="44" bestFit="1" customWidth="1"/>
    <col min="2820" max="2820" width="13" style="44" bestFit="1" customWidth="1"/>
    <col min="2821" max="3070" width="9" style="44"/>
    <col min="3071" max="3071" width="12" style="44" customWidth="1"/>
    <col min="3072" max="3072" width="8.109375" style="44" bestFit="1" customWidth="1"/>
    <col min="3073" max="3073" width="40.77734375" style="44" bestFit="1" customWidth="1"/>
    <col min="3074" max="3074" width="11.77734375" style="44" bestFit="1" customWidth="1"/>
    <col min="3075" max="3075" width="11.21875" style="44" bestFit="1" customWidth="1"/>
    <col min="3076" max="3076" width="13" style="44" bestFit="1" customWidth="1"/>
    <col min="3077" max="3326" width="9" style="44"/>
    <col min="3327" max="3327" width="12" style="44" customWidth="1"/>
    <col min="3328" max="3328" width="8.109375" style="44" bestFit="1" customWidth="1"/>
    <col min="3329" max="3329" width="40.77734375" style="44" bestFit="1" customWidth="1"/>
    <col min="3330" max="3330" width="11.77734375" style="44" bestFit="1" customWidth="1"/>
    <col min="3331" max="3331" width="11.21875" style="44" bestFit="1" customWidth="1"/>
    <col min="3332" max="3332" width="13" style="44" bestFit="1" customWidth="1"/>
    <col min="3333" max="3582" width="9" style="44"/>
    <col min="3583" max="3583" width="12" style="44" customWidth="1"/>
    <col min="3584" max="3584" width="8.109375" style="44" bestFit="1" customWidth="1"/>
    <col min="3585" max="3585" width="40.77734375" style="44" bestFit="1" customWidth="1"/>
    <col min="3586" max="3586" width="11.77734375" style="44" bestFit="1" customWidth="1"/>
    <col min="3587" max="3587" width="11.21875" style="44" bestFit="1" customWidth="1"/>
    <col min="3588" max="3588" width="13" style="44" bestFit="1" customWidth="1"/>
    <col min="3589" max="3838" width="9" style="44"/>
    <col min="3839" max="3839" width="12" style="44" customWidth="1"/>
    <col min="3840" max="3840" width="8.109375" style="44" bestFit="1" customWidth="1"/>
    <col min="3841" max="3841" width="40.77734375" style="44" bestFit="1" customWidth="1"/>
    <col min="3842" max="3842" width="11.77734375" style="44" bestFit="1" customWidth="1"/>
    <col min="3843" max="3843" width="11.21875" style="44" bestFit="1" customWidth="1"/>
    <col min="3844" max="3844" width="13" style="44" bestFit="1" customWidth="1"/>
    <col min="3845" max="4094" width="9" style="44"/>
    <col min="4095" max="4095" width="12" style="44" customWidth="1"/>
    <col min="4096" max="4096" width="8.109375" style="44" bestFit="1" customWidth="1"/>
    <col min="4097" max="4097" width="40.77734375" style="44" bestFit="1" customWidth="1"/>
    <col min="4098" max="4098" width="11.77734375" style="44" bestFit="1" customWidth="1"/>
    <col min="4099" max="4099" width="11.21875" style="44" bestFit="1" customWidth="1"/>
    <col min="4100" max="4100" width="13" style="44" bestFit="1" customWidth="1"/>
    <col min="4101" max="4350" width="9" style="44"/>
    <col min="4351" max="4351" width="12" style="44" customWidth="1"/>
    <col min="4352" max="4352" width="8.109375" style="44" bestFit="1" customWidth="1"/>
    <col min="4353" max="4353" width="40.77734375" style="44" bestFit="1" customWidth="1"/>
    <col min="4354" max="4354" width="11.77734375" style="44" bestFit="1" customWidth="1"/>
    <col min="4355" max="4355" width="11.21875" style="44" bestFit="1" customWidth="1"/>
    <col min="4356" max="4356" width="13" style="44" bestFit="1" customWidth="1"/>
    <col min="4357" max="4606" width="9" style="44"/>
    <col min="4607" max="4607" width="12" style="44" customWidth="1"/>
    <col min="4608" max="4608" width="8.109375" style="44" bestFit="1" customWidth="1"/>
    <col min="4609" max="4609" width="40.77734375" style="44" bestFit="1" customWidth="1"/>
    <col min="4610" max="4610" width="11.77734375" style="44" bestFit="1" customWidth="1"/>
    <col min="4611" max="4611" width="11.21875" style="44" bestFit="1" customWidth="1"/>
    <col min="4612" max="4612" width="13" style="44" bestFit="1" customWidth="1"/>
    <col min="4613" max="4862" width="9" style="44"/>
    <col min="4863" max="4863" width="12" style="44" customWidth="1"/>
    <col min="4864" max="4864" width="8.109375" style="44" bestFit="1" customWidth="1"/>
    <col min="4865" max="4865" width="40.77734375" style="44" bestFit="1" customWidth="1"/>
    <col min="4866" max="4866" width="11.77734375" style="44" bestFit="1" customWidth="1"/>
    <col min="4867" max="4867" width="11.21875" style="44" bestFit="1" customWidth="1"/>
    <col min="4868" max="4868" width="13" style="44" bestFit="1" customWidth="1"/>
    <col min="4869" max="5118" width="9" style="44"/>
    <col min="5119" max="5119" width="12" style="44" customWidth="1"/>
    <col min="5120" max="5120" width="8.109375" style="44" bestFit="1" customWidth="1"/>
    <col min="5121" max="5121" width="40.77734375" style="44" bestFit="1" customWidth="1"/>
    <col min="5122" max="5122" width="11.77734375" style="44" bestFit="1" customWidth="1"/>
    <col min="5123" max="5123" width="11.21875" style="44" bestFit="1" customWidth="1"/>
    <col min="5124" max="5124" width="13" style="44" bestFit="1" customWidth="1"/>
    <col min="5125" max="5374" width="9" style="44"/>
    <col min="5375" max="5375" width="12" style="44" customWidth="1"/>
    <col min="5376" max="5376" width="8.109375" style="44" bestFit="1" customWidth="1"/>
    <col min="5377" max="5377" width="40.77734375" style="44" bestFit="1" customWidth="1"/>
    <col min="5378" max="5378" width="11.77734375" style="44" bestFit="1" customWidth="1"/>
    <col min="5379" max="5379" width="11.21875" style="44" bestFit="1" customWidth="1"/>
    <col min="5380" max="5380" width="13" style="44" bestFit="1" customWidth="1"/>
    <col min="5381" max="5630" width="9" style="44"/>
    <col min="5631" max="5631" width="12" style="44" customWidth="1"/>
    <col min="5632" max="5632" width="8.109375" style="44" bestFit="1" customWidth="1"/>
    <col min="5633" max="5633" width="40.77734375" style="44" bestFit="1" customWidth="1"/>
    <col min="5634" max="5634" width="11.77734375" style="44" bestFit="1" customWidth="1"/>
    <col min="5635" max="5635" width="11.21875" style="44" bestFit="1" customWidth="1"/>
    <col min="5636" max="5636" width="13" style="44" bestFit="1" customWidth="1"/>
    <col min="5637" max="5886" width="9" style="44"/>
    <col min="5887" max="5887" width="12" style="44" customWidth="1"/>
    <col min="5888" max="5888" width="8.109375" style="44" bestFit="1" customWidth="1"/>
    <col min="5889" max="5889" width="40.77734375" style="44" bestFit="1" customWidth="1"/>
    <col min="5890" max="5890" width="11.77734375" style="44" bestFit="1" customWidth="1"/>
    <col min="5891" max="5891" width="11.21875" style="44" bestFit="1" customWidth="1"/>
    <col min="5892" max="5892" width="13" style="44" bestFit="1" customWidth="1"/>
    <col min="5893" max="6142" width="9" style="44"/>
    <col min="6143" max="6143" width="12" style="44" customWidth="1"/>
    <col min="6144" max="6144" width="8.109375" style="44" bestFit="1" customWidth="1"/>
    <col min="6145" max="6145" width="40.77734375" style="44" bestFit="1" customWidth="1"/>
    <col min="6146" max="6146" width="11.77734375" style="44" bestFit="1" customWidth="1"/>
    <col min="6147" max="6147" width="11.21875" style="44" bestFit="1" customWidth="1"/>
    <col min="6148" max="6148" width="13" style="44" bestFit="1" customWidth="1"/>
    <col min="6149" max="6398" width="9" style="44"/>
    <col min="6399" max="6399" width="12" style="44" customWidth="1"/>
    <col min="6400" max="6400" width="8.109375" style="44" bestFit="1" customWidth="1"/>
    <col min="6401" max="6401" width="40.77734375" style="44" bestFit="1" customWidth="1"/>
    <col min="6402" max="6402" width="11.77734375" style="44" bestFit="1" customWidth="1"/>
    <col min="6403" max="6403" width="11.21875" style="44" bestFit="1" customWidth="1"/>
    <col min="6404" max="6404" width="13" style="44" bestFit="1" customWidth="1"/>
    <col min="6405" max="6654" width="9" style="44"/>
    <col min="6655" max="6655" width="12" style="44" customWidth="1"/>
    <col min="6656" max="6656" width="8.109375" style="44" bestFit="1" customWidth="1"/>
    <col min="6657" max="6657" width="40.77734375" style="44" bestFit="1" customWidth="1"/>
    <col min="6658" max="6658" width="11.77734375" style="44" bestFit="1" customWidth="1"/>
    <col min="6659" max="6659" width="11.21875" style="44" bestFit="1" customWidth="1"/>
    <col min="6660" max="6660" width="13" style="44" bestFit="1" customWidth="1"/>
    <col min="6661" max="6910" width="9" style="44"/>
    <col min="6911" max="6911" width="12" style="44" customWidth="1"/>
    <col min="6912" max="6912" width="8.109375" style="44" bestFit="1" customWidth="1"/>
    <col min="6913" max="6913" width="40.77734375" style="44" bestFit="1" customWidth="1"/>
    <col min="6914" max="6914" width="11.77734375" style="44" bestFit="1" customWidth="1"/>
    <col min="6915" max="6915" width="11.21875" style="44" bestFit="1" customWidth="1"/>
    <col min="6916" max="6916" width="13" style="44" bestFit="1" customWidth="1"/>
    <col min="6917" max="7166" width="9" style="44"/>
    <col min="7167" max="7167" width="12" style="44" customWidth="1"/>
    <col min="7168" max="7168" width="8.109375" style="44" bestFit="1" customWidth="1"/>
    <col min="7169" max="7169" width="40.77734375" style="44" bestFit="1" customWidth="1"/>
    <col min="7170" max="7170" width="11.77734375" style="44" bestFit="1" customWidth="1"/>
    <col min="7171" max="7171" width="11.21875" style="44" bestFit="1" customWidth="1"/>
    <col min="7172" max="7172" width="13" style="44" bestFit="1" customWidth="1"/>
    <col min="7173" max="7422" width="9" style="44"/>
    <col min="7423" max="7423" width="12" style="44" customWidth="1"/>
    <col min="7424" max="7424" width="8.109375" style="44" bestFit="1" customWidth="1"/>
    <col min="7425" max="7425" width="40.77734375" style="44" bestFit="1" customWidth="1"/>
    <col min="7426" max="7426" width="11.77734375" style="44" bestFit="1" customWidth="1"/>
    <col min="7427" max="7427" width="11.21875" style="44" bestFit="1" customWidth="1"/>
    <col min="7428" max="7428" width="13" style="44" bestFit="1" customWidth="1"/>
    <col min="7429" max="7678" width="9" style="44"/>
    <col min="7679" max="7679" width="12" style="44" customWidth="1"/>
    <col min="7680" max="7680" width="8.109375" style="44" bestFit="1" customWidth="1"/>
    <col min="7681" max="7681" width="40.77734375" style="44" bestFit="1" customWidth="1"/>
    <col min="7682" max="7682" width="11.77734375" style="44" bestFit="1" customWidth="1"/>
    <col min="7683" max="7683" width="11.21875" style="44" bestFit="1" customWidth="1"/>
    <col min="7684" max="7684" width="13" style="44" bestFit="1" customWidth="1"/>
    <col min="7685" max="7934" width="9" style="44"/>
    <col min="7935" max="7935" width="12" style="44" customWidth="1"/>
    <col min="7936" max="7936" width="8.109375" style="44" bestFit="1" customWidth="1"/>
    <col min="7937" max="7937" width="40.77734375" style="44" bestFit="1" customWidth="1"/>
    <col min="7938" max="7938" width="11.77734375" style="44" bestFit="1" customWidth="1"/>
    <col min="7939" max="7939" width="11.21875" style="44" bestFit="1" customWidth="1"/>
    <col min="7940" max="7940" width="13" style="44" bestFit="1" customWidth="1"/>
    <col min="7941" max="8190" width="9" style="44"/>
    <col min="8191" max="8191" width="12" style="44" customWidth="1"/>
    <col min="8192" max="8192" width="8.109375" style="44" bestFit="1" customWidth="1"/>
    <col min="8193" max="8193" width="40.77734375" style="44" bestFit="1" customWidth="1"/>
    <col min="8194" max="8194" width="11.77734375" style="44" bestFit="1" customWidth="1"/>
    <col min="8195" max="8195" width="11.21875" style="44" bestFit="1" customWidth="1"/>
    <col min="8196" max="8196" width="13" style="44" bestFit="1" customWidth="1"/>
    <col min="8197" max="8446" width="9" style="44"/>
    <col min="8447" max="8447" width="12" style="44" customWidth="1"/>
    <col min="8448" max="8448" width="8.109375" style="44" bestFit="1" customWidth="1"/>
    <col min="8449" max="8449" width="40.77734375" style="44" bestFit="1" customWidth="1"/>
    <col min="8450" max="8450" width="11.77734375" style="44" bestFit="1" customWidth="1"/>
    <col min="8451" max="8451" width="11.21875" style="44" bestFit="1" customWidth="1"/>
    <col min="8452" max="8452" width="13" style="44" bestFit="1" customWidth="1"/>
    <col min="8453" max="8702" width="9" style="44"/>
    <col min="8703" max="8703" width="12" style="44" customWidth="1"/>
    <col min="8704" max="8704" width="8.109375" style="44" bestFit="1" customWidth="1"/>
    <col min="8705" max="8705" width="40.77734375" style="44" bestFit="1" customWidth="1"/>
    <col min="8706" max="8706" width="11.77734375" style="44" bestFit="1" customWidth="1"/>
    <col min="8707" max="8707" width="11.21875" style="44" bestFit="1" customWidth="1"/>
    <col min="8708" max="8708" width="13" style="44" bestFit="1" customWidth="1"/>
    <col min="8709" max="8958" width="9" style="44"/>
    <col min="8959" max="8959" width="12" style="44" customWidth="1"/>
    <col min="8960" max="8960" width="8.109375" style="44" bestFit="1" customWidth="1"/>
    <col min="8961" max="8961" width="40.77734375" style="44" bestFit="1" customWidth="1"/>
    <col min="8962" max="8962" width="11.77734375" style="44" bestFit="1" customWidth="1"/>
    <col min="8963" max="8963" width="11.21875" style="44" bestFit="1" customWidth="1"/>
    <col min="8964" max="8964" width="13" style="44" bestFit="1" customWidth="1"/>
    <col min="8965" max="9214" width="9" style="44"/>
    <col min="9215" max="9215" width="12" style="44" customWidth="1"/>
    <col min="9216" max="9216" width="8.109375" style="44" bestFit="1" customWidth="1"/>
    <col min="9217" max="9217" width="40.77734375" style="44" bestFit="1" customWidth="1"/>
    <col min="9218" max="9218" width="11.77734375" style="44" bestFit="1" customWidth="1"/>
    <col min="9219" max="9219" width="11.21875" style="44" bestFit="1" customWidth="1"/>
    <col min="9220" max="9220" width="13" style="44" bestFit="1" customWidth="1"/>
    <col min="9221" max="9470" width="9" style="44"/>
    <col min="9471" max="9471" width="12" style="44" customWidth="1"/>
    <col min="9472" max="9472" width="8.109375" style="44" bestFit="1" customWidth="1"/>
    <col min="9473" max="9473" width="40.77734375" style="44" bestFit="1" customWidth="1"/>
    <col min="9474" max="9474" width="11.77734375" style="44" bestFit="1" customWidth="1"/>
    <col min="9475" max="9475" width="11.21875" style="44" bestFit="1" customWidth="1"/>
    <col min="9476" max="9476" width="13" style="44" bestFit="1" customWidth="1"/>
    <col min="9477" max="9726" width="9" style="44"/>
    <col min="9727" max="9727" width="12" style="44" customWidth="1"/>
    <col min="9728" max="9728" width="8.109375" style="44" bestFit="1" customWidth="1"/>
    <col min="9729" max="9729" width="40.77734375" style="44" bestFit="1" customWidth="1"/>
    <col min="9730" max="9730" width="11.77734375" style="44" bestFit="1" customWidth="1"/>
    <col min="9731" max="9731" width="11.21875" style="44" bestFit="1" customWidth="1"/>
    <col min="9732" max="9732" width="13" style="44" bestFit="1" customWidth="1"/>
    <col min="9733" max="9982" width="9" style="44"/>
    <col min="9983" max="9983" width="12" style="44" customWidth="1"/>
    <col min="9984" max="9984" width="8.109375" style="44" bestFit="1" customWidth="1"/>
    <col min="9985" max="9985" width="40.77734375" style="44" bestFit="1" customWidth="1"/>
    <col min="9986" max="9986" width="11.77734375" style="44" bestFit="1" customWidth="1"/>
    <col min="9987" max="9987" width="11.21875" style="44" bestFit="1" customWidth="1"/>
    <col min="9988" max="9988" width="13" style="44" bestFit="1" customWidth="1"/>
    <col min="9989" max="10238" width="9" style="44"/>
    <col min="10239" max="10239" width="12" style="44" customWidth="1"/>
    <col min="10240" max="10240" width="8.109375" style="44" bestFit="1" customWidth="1"/>
    <col min="10241" max="10241" width="40.77734375" style="44" bestFit="1" customWidth="1"/>
    <col min="10242" max="10242" width="11.77734375" style="44" bestFit="1" customWidth="1"/>
    <col min="10243" max="10243" width="11.21875" style="44" bestFit="1" customWidth="1"/>
    <col min="10244" max="10244" width="13" style="44" bestFit="1" customWidth="1"/>
    <col min="10245" max="10494" width="9" style="44"/>
    <col min="10495" max="10495" width="12" style="44" customWidth="1"/>
    <col min="10496" max="10496" width="8.109375" style="44" bestFit="1" customWidth="1"/>
    <col min="10497" max="10497" width="40.77734375" style="44" bestFit="1" customWidth="1"/>
    <col min="10498" max="10498" width="11.77734375" style="44" bestFit="1" customWidth="1"/>
    <col min="10499" max="10499" width="11.21875" style="44" bestFit="1" customWidth="1"/>
    <col min="10500" max="10500" width="13" style="44" bestFit="1" customWidth="1"/>
    <col min="10501" max="10750" width="9" style="44"/>
    <col min="10751" max="10751" width="12" style="44" customWidth="1"/>
    <col min="10752" max="10752" width="8.109375" style="44" bestFit="1" customWidth="1"/>
    <col min="10753" max="10753" width="40.77734375" style="44" bestFit="1" customWidth="1"/>
    <col min="10754" max="10754" width="11.77734375" style="44" bestFit="1" customWidth="1"/>
    <col min="10755" max="10755" width="11.21875" style="44" bestFit="1" customWidth="1"/>
    <col min="10756" max="10756" width="13" style="44" bestFit="1" customWidth="1"/>
    <col min="10757" max="11006" width="9" style="44"/>
    <col min="11007" max="11007" width="12" style="44" customWidth="1"/>
    <col min="11008" max="11008" width="8.109375" style="44" bestFit="1" customWidth="1"/>
    <col min="11009" max="11009" width="40.77734375" style="44" bestFit="1" customWidth="1"/>
    <col min="11010" max="11010" width="11.77734375" style="44" bestFit="1" customWidth="1"/>
    <col min="11011" max="11011" width="11.21875" style="44" bestFit="1" customWidth="1"/>
    <col min="11012" max="11012" width="13" style="44" bestFit="1" customWidth="1"/>
    <col min="11013" max="11262" width="9" style="44"/>
    <col min="11263" max="11263" width="12" style="44" customWidth="1"/>
    <col min="11264" max="11264" width="8.109375" style="44" bestFit="1" customWidth="1"/>
    <col min="11265" max="11265" width="40.77734375" style="44" bestFit="1" customWidth="1"/>
    <col min="11266" max="11266" width="11.77734375" style="44" bestFit="1" customWidth="1"/>
    <col min="11267" max="11267" width="11.21875" style="44" bestFit="1" customWidth="1"/>
    <col min="11268" max="11268" width="13" style="44" bestFit="1" customWidth="1"/>
    <col min="11269" max="11518" width="9" style="44"/>
    <col min="11519" max="11519" width="12" style="44" customWidth="1"/>
    <col min="11520" max="11520" width="8.109375" style="44" bestFit="1" customWidth="1"/>
    <col min="11521" max="11521" width="40.77734375" style="44" bestFit="1" customWidth="1"/>
    <col min="11522" max="11522" width="11.77734375" style="44" bestFit="1" customWidth="1"/>
    <col min="11523" max="11523" width="11.21875" style="44" bestFit="1" customWidth="1"/>
    <col min="11524" max="11524" width="13" style="44" bestFit="1" customWidth="1"/>
    <col min="11525" max="11774" width="9" style="44"/>
    <col min="11775" max="11775" width="12" style="44" customWidth="1"/>
    <col min="11776" max="11776" width="8.109375" style="44" bestFit="1" customWidth="1"/>
    <col min="11777" max="11777" width="40.77734375" style="44" bestFit="1" customWidth="1"/>
    <col min="11778" max="11778" width="11.77734375" style="44" bestFit="1" customWidth="1"/>
    <col min="11779" max="11779" width="11.21875" style="44" bestFit="1" customWidth="1"/>
    <col min="11780" max="11780" width="13" style="44" bestFit="1" customWidth="1"/>
    <col min="11781" max="12030" width="9" style="44"/>
    <col min="12031" max="12031" width="12" style="44" customWidth="1"/>
    <col min="12032" max="12032" width="8.109375" style="44" bestFit="1" customWidth="1"/>
    <col min="12033" max="12033" width="40.77734375" style="44" bestFit="1" customWidth="1"/>
    <col min="12034" max="12034" width="11.77734375" style="44" bestFit="1" customWidth="1"/>
    <col min="12035" max="12035" width="11.21875" style="44" bestFit="1" customWidth="1"/>
    <col min="12036" max="12036" width="13" style="44" bestFit="1" customWidth="1"/>
    <col min="12037" max="12286" width="9" style="44"/>
    <col min="12287" max="12287" width="12" style="44" customWidth="1"/>
    <col min="12288" max="12288" width="8.109375" style="44" bestFit="1" customWidth="1"/>
    <col min="12289" max="12289" width="40.77734375" style="44" bestFit="1" customWidth="1"/>
    <col min="12290" max="12290" width="11.77734375" style="44" bestFit="1" customWidth="1"/>
    <col min="12291" max="12291" width="11.21875" style="44" bestFit="1" customWidth="1"/>
    <col min="12292" max="12292" width="13" style="44" bestFit="1" customWidth="1"/>
    <col min="12293" max="12542" width="9" style="44"/>
    <col min="12543" max="12543" width="12" style="44" customWidth="1"/>
    <col min="12544" max="12544" width="8.109375" style="44" bestFit="1" customWidth="1"/>
    <col min="12545" max="12545" width="40.77734375" style="44" bestFit="1" customWidth="1"/>
    <col min="12546" max="12546" width="11.77734375" style="44" bestFit="1" customWidth="1"/>
    <col min="12547" max="12547" width="11.21875" style="44" bestFit="1" customWidth="1"/>
    <col min="12548" max="12548" width="13" style="44" bestFit="1" customWidth="1"/>
    <col min="12549" max="12798" width="9" style="44"/>
    <col min="12799" max="12799" width="12" style="44" customWidth="1"/>
    <col min="12800" max="12800" width="8.109375" style="44" bestFit="1" customWidth="1"/>
    <col min="12801" max="12801" width="40.77734375" style="44" bestFit="1" customWidth="1"/>
    <col min="12802" max="12802" width="11.77734375" style="44" bestFit="1" customWidth="1"/>
    <col min="12803" max="12803" width="11.21875" style="44" bestFit="1" customWidth="1"/>
    <col min="12804" max="12804" width="13" style="44" bestFit="1" customWidth="1"/>
    <col min="12805" max="13054" width="9" style="44"/>
    <col min="13055" max="13055" width="12" style="44" customWidth="1"/>
    <col min="13056" max="13056" width="8.109375" style="44" bestFit="1" customWidth="1"/>
    <col min="13057" max="13057" width="40.77734375" style="44" bestFit="1" customWidth="1"/>
    <col min="13058" max="13058" width="11.77734375" style="44" bestFit="1" customWidth="1"/>
    <col min="13059" max="13059" width="11.21875" style="44" bestFit="1" customWidth="1"/>
    <col min="13060" max="13060" width="13" style="44" bestFit="1" customWidth="1"/>
    <col min="13061" max="13310" width="9" style="44"/>
    <col min="13311" max="13311" width="12" style="44" customWidth="1"/>
    <col min="13312" max="13312" width="8.109375" style="44" bestFit="1" customWidth="1"/>
    <col min="13313" max="13313" width="40.77734375" style="44" bestFit="1" customWidth="1"/>
    <col min="13314" max="13314" width="11.77734375" style="44" bestFit="1" customWidth="1"/>
    <col min="13315" max="13315" width="11.21875" style="44" bestFit="1" customWidth="1"/>
    <col min="13316" max="13316" width="13" style="44" bestFit="1" customWidth="1"/>
    <col min="13317" max="13566" width="9" style="44"/>
    <col min="13567" max="13567" width="12" style="44" customWidth="1"/>
    <col min="13568" max="13568" width="8.109375" style="44" bestFit="1" customWidth="1"/>
    <col min="13569" max="13569" width="40.77734375" style="44" bestFit="1" customWidth="1"/>
    <col min="13570" max="13570" width="11.77734375" style="44" bestFit="1" customWidth="1"/>
    <col min="13571" max="13571" width="11.21875" style="44" bestFit="1" customWidth="1"/>
    <col min="13572" max="13572" width="13" style="44" bestFit="1" customWidth="1"/>
    <col min="13573" max="13822" width="9" style="44"/>
    <col min="13823" max="13823" width="12" style="44" customWidth="1"/>
    <col min="13824" max="13824" width="8.109375" style="44" bestFit="1" customWidth="1"/>
    <col min="13825" max="13825" width="40.77734375" style="44" bestFit="1" customWidth="1"/>
    <col min="13826" max="13826" width="11.77734375" style="44" bestFit="1" customWidth="1"/>
    <col min="13827" max="13827" width="11.21875" style="44" bestFit="1" customWidth="1"/>
    <col min="13828" max="13828" width="13" style="44" bestFit="1" customWidth="1"/>
    <col min="13829" max="14078" width="9" style="44"/>
    <col min="14079" max="14079" width="12" style="44" customWidth="1"/>
    <col min="14080" max="14080" width="8.109375" style="44" bestFit="1" customWidth="1"/>
    <col min="14081" max="14081" width="40.77734375" style="44" bestFit="1" customWidth="1"/>
    <col min="14082" max="14082" width="11.77734375" style="44" bestFit="1" customWidth="1"/>
    <col min="14083" max="14083" width="11.21875" style="44" bestFit="1" customWidth="1"/>
    <col min="14084" max="14084" width="13" style="44" bestFit="1" customWidth="1"/>
    <col min="14085" max="14334" width="9" style="44"/>
    <col min="14335" max="14335" width="12" style="44" customWidth="1"/>
    <col min="14336" max="14336" width="8.109375" style="44" bestFit="1" customWidth="1"/>
    <col min="14337" max="14337" width="40.77734375" style="44" bestFit="1" customWidth="1"/>
    <col min="14338" max="14338" width="11.77734375" style="44" bestFit="1" customWidth="1"/>
    <col min="14339" max="14339" width="11.21875" style="44" bestFit="1" customWidth="1"/>
    <col min="14340" max="14340" width="13" style="44" bestFit="1" customWidth="1"/>
    <col min="14341" max="14590" width="9" style="44"/>
    <col min="14591" max="14591" width="12" style="44" customWidth="1"/>
    <col min="14592" max="14592" width="8.109375" style="44" bestFit="1" customWidth="1"/>
    <col min="14593" max="14593" width="40.77734375" style="44" bestFit="1" customWidth="1"/>
    <col min="14594" max="14594" width="11.77734375" style="44" bestFit="1" customWidth="1"/>
    <col min="14595" max="14595" width="11.21875" style="44" bestFit="1" customWidth="1"/>
    <col min="14596" max="14596" width="13" style="44" bestFit="1" customWidth="1"/>
    <col min="14597" max="14846" width="9" style="44"/>
    <col min="14847" max="14847" width="12" style="44" customWidth="1"/>
    <col min="14848" max="14848" width="8.109375" style="44" bestFit="1" customWidth="1"/>
    <col min="14849" max="14849" width="40.77734375" style="44" bestFit="1" customWidth="1"/>
    <col min="14850" max="14850" width="11.77734375" style="44" bestFit="1" customWidth="1"/>
    <col min="14851" max="14851" width="11.21875" style="44" bestFit="1" customWidth="1"/>
    <col min="14852" max="14852" width="13" style="44" bestFit="1" customWidth="1"/>
    <col min="14853" max="15102" width="9" style="44"/>
    <col min="15103" max="15103" width="12" style="44" customWidth="1"/>
    <col min="15104" max="15104" width="8.109375" style="44" bestFit="1" customWidth="1"/>
    <col min="15105" max="15105" width="40.77734375" style="44" bestFit="1" customWidth="1"/>
    <col min="15106" max="15106" width="11.77734375" style="44" bestFit="1" customWidth="1"/>
    <col min="15107" max="15107" width="11.21875" style="44" bestFit="1" customWidth="1"/>
    <col min="15108" max="15108" width="13" style="44" bestFit="1" customWidth="1"/>
    <col min="15109" max="15358" width="9" style="44"/>
    <col min="15359" max="15359" width="12" style="44" customWidth="1"/>
    <col min="15360" max="15360" width="8.109375" style="44" bestFit="1" customWidth="1"/>
    <col min="15361" max="15361" width="40.77734375" style="44" bestFit="1" customWidth="1"/>
    <col min="15362" max="15362" width="11.77734375" style="44" bestFit="1" customWidth="1"/>
    <col min="15363" max="15363" width="11.21875" style="44" bestFit="1" customWidth="1"/>
    <col min="15364" max="15364" width="13" style="44" bestFit="1" customWidth="1"/>
    <col min="15365" max="15614" width="9" style="44"/>
    <col min="15615" max="15615" width="12" style="44" customWidth="1"/>
    <col min="15616" max="15616" width="8.109375" style="44" bestFit="1" customWidth="1"/>
    <col min="15617" max="15617" width="40.77734375" style="44" bestFit="1" customWidth="1"/>
    <col min="15618" max="15618" width="11.77734375" style="44" bestFit="1" customWidth="1"/>
    <col min="15619" max="15619" width="11.21875" style="44" bestFit="1" customWidth="1"/>
    <col min="15620" max="15620" width="13" style="44" bestFit="1" customWidth="1"/>
    <col min="15621" max="15870" width="9" style="44"/>
    <col min="15871" max="15871" width="12" style="44" customWidth="1"/>
    <col min="15872" max="15872" width="8.109375" style="44" bestFit="1" customWidth="1"/>
    <col min="15873" max="15873" width="40.77734375" style="44" bestFit="1" customWidth="1"/>
    <col min="15874" max="15874" width="11.77734375" style="44" bestFit="1" customWidth="1"/>
    <col min="15875" max="15875" width="11.21875" style="44" bestFit="1" customWidth="1"/>
    <col min="15876" max="15876" width="13" style="44" bestFit="1" customWidth="1"/>
    <col min="15877" max="16126" width="9" style="44"/>
    <col min="16127" max="16127" width="12" style="44" customWidth="1"/>
    <col min="16128" max="16128" width="8.109375" style="44" bestFit="1" customWidth="1"/>
    <col min="16129" max="16129" width="40.77734375" style="44" bestFit="1" customWidth="1"/>
    <col min="16130" max="16130" width="11.77734375" style="44" bestFit="1" customWidth="1"/>
    <col min="16131" max="16131" width="11.21875" style="44" bestFit="1" customWidth="1"/>
    <col min="16132" max="16132" width="13" style="44" bestFit="1" customWidth="1"/>
    <col min="16133" max="16383" width="9" style="44"/>
    <col min="16384" max="16384" width="9" style="44" customWidth="1"/>
  </cols>
  <sheetData>
    <row r="1" spans="1:17" s="16" customFormat="1" ht="15.6">
      <c r="A1" s="421" t="s">
        <v>911</v>
      </c>
      <c r="C1" s="82"/>
      <c r="D1" s="13"/>
      <c r="E1" s="61"/>
      <c r="G1" s="89"/>
      <c r="H1" s="89"/>
      <c r="I1" s="89"/>
      <c r="J1" s="81"/>
      <c r="K1" s="81"/>
    </row>
    <row r="2" spans="1:17" s="12" customFormat="1" ht="15">
      <c r="B2" s="19"/>
      <c r="C2" s="19"/>
      <c r="D2" s="19"/>
      <c r="F2" s="19"/>
      <c r="G2" s="90"/>
      <c r="H2" s="90"/>
      <c r="I2" s="90"/>
      <c r="J2" s="44"/>
      <c r="K2" s="44"/>
      <c r="L2" s="19"/>
      <c r="M2" s="19"/>
    </row>
    <row r="3" spans="1:17" s="12" customFormat="1">
      <c r="G3" s="90"/>
      <c r="H3" s="90"/>
      <c r="I3" s="90"/>
      <c r="J3" s="44"/>
      <c r="K3" s="44"/>
    </row>
    <row r="4" spans="1:17" s="12" customFormat="1" ht="17.399999999999999">
      <c r="A4" s="389"/>
      <c r="B4" s="10"/>
      <c r="C4" s="10"/>
      <c r="D4" s="10"/>
      <c r="E4" s="10"/>
      <c r="F4" s="10"/>
      <c r="G4" s="390"/>
      <c r="H4" s="390"/>
      <c r="I4" s="390"/>
      <c r="J4" s="391"/>
      <c r="K4" s="391"/>
      <c r="L4" s="10"/>
      <c r="M4" s="19"/>
    </row>
    <row r="5" spans="1:17" s="12" customFormat="1" ht="17.399999999999999">
      <c r="A5" s="1984" t="s">
        <v>199</v>
      </c>
      <c r="B5" s="1984"/>
      <c r="C5" s="1984"/>
      <c r="D5" s="1984"/>
      <c r="E5" s="1984"/>
      <c r="F5" s="1984"/>
      <c r="G5" s="1984"/>
      <c r="H5" s="1984"/>
      <c r="I5" s="1984"/>
      <c r="J5" s="1984"/>
      <c r="K5" s="1984"/>
      <c r="L5" s="1984"/>
      <c r="M5" s="1984"/>
      <c r="N5" s="43"/>
    </row>
    <row r="6" spans="1:17" s="12" customFormat="1" ht="17.399999999999999">
      <c r="A6" s="1984" t="s">
        <v>103</v>
      </c>
      <c r="B6" s="1984"/>
      <c r="C6" s="1984"/>
      <c r="D6" s="1984"/>
      <c r="E6" s="1984"/>
      <c r="F6" s="1984"/>
      <c r="G6" s="1984"/>
      <c r="H6" s="1984"/>
      <c r="I6" s="1984"/>
      <c r="J6" s="1984"/>
      <c r="K6" s="1984"/>
      <c r="L6" s="1984"/>
      <c r="M6" s="1984"/>
      <c r="N6" s="66"/>
    </row>
    <row r="7" spans="1:17" s="12" customFormat="1" ht="17.399999999999999">
      <c r="A7" s="1985" t="str">
        <f>SUMMARY!A7</f>
        <v>YEAR ENDING DECEMBER 31, 2021</v>
      </c>
      <c r="B7" s="1985"/>
      <c r="C7" s="1985"/>
      <c r="D7" s="1985"/>
      <c r="E7" s="1985"/>
      <c r="F7" s="1985"/>
      <c r="G7" s="1985"/>
      <c r="H7" s="1985"/>
      <c r="I7" s="1985"/>
      <c r="J7" s="1985"/>
      <c r="K7" s="1985"/>
      <c r="L7" s="1985"/>
      <c r="M7" s="1985"/>
      <c r="N7" s="43"/>
    </row>
    <row r="8" spans="1:17" s="12" customFormat="1" ht="17.399999999999999">
      <c r="A8" s="389"/>
      <c r="B8" s="389"/>
      <c r="C8" s="389"/>
      <c r="D8" s="389"/>
      <c r="E8" s="389"/>
      <c r="F8" s="392"/>
      <c r="G8" s="390"/>
      <c r="H8" s="390"/>
      <c r="I8" s="390"/>
      <c r="J8" s="391"/>
      <c r="K8" s="391"/>
      <c r="L8" s="389"/>
    </row>
    <row r="9" spans="1:17" s="12" customFormat="1" ht="15.6">
      <c r="A9" s="1979" t="s">
        <v>1117</v>
      </c>
      <c r="B9" s="1979"/>
      <c r="C9" s="1979"/>
      <c r="D9" s="1979"/>
      <c r="E9" s="1979"/>
      <c r="F9" s="1979"/>
      <c r="G9" s="1979"/>
      <c r="H9" s="1979"/>
      <c r="I9" s="1979"/>
      <c r="J9" s="1979"/>
      <c r="K9" s="1979"/>
      <c r="L9" s="1979"/>
      <c r="M9" s="1979"/>
    </row>
    <row r="10" spans="1:17" s="12" customFormat="1" ht="15.6">
      <c r="A10" s="1995" t="s">
        <v>1118</v>
      </c>
      <c r="B10" s="1995"/>
      <c r="C10" s="1995"/>
      <c r="D10" s="1995"/>
      <c r="E10" s="1995"/>
      <c r="F10" s="1995"/>
      <c r="G10" s="1995"/>
      <c r="H10" s="1995"/>
      <c r="I10" s="1995"/>
      <c r="J10" s="1995"/>
      <c r="K10" s="1995"/>
      <c r="L10" s="1995"/>
      <c r="M10" s="1995"/>
    </row>
    <row r="11" spans="1:17" s="12" customFormat="1" ht="15" customHeight="1">
      <c r="A11" s="58"/>
      <c r="B11" s="104"/>
      <c r="C11" s="104"/>
      <c r="D11" s="104"/>
      <c r="E11" s="117"/>
      <c r="F11" s="58"/>
      <c r="G11" s="58"/>
      <c r="H11" s="58"/>
      <c r="I11" s="58"/>
      <c r="J11" s="118"/>
      <c r="K11" s="118"/>
      <c r="L11" s="118"/>
      <c r="M11" s="118"/>
      <c r="N11" s="118"/>
      <c r="O11" s="44"/>
      <c r="P11" s="19"/>
      <c r="Q11" s="19"/>
    </row>
    <row r="12" spans="1:17" s="82" customFormat="1" ht="15" customHeight="1">
      <c r="B12" s="19"/>
      <c r="C12" s="19"/>
      <c r="D12" s="19"/>
      <c r="E12" s="234"/>
      <c r="F12" s="2051">
        <v>2021</v>
      </c>
      <c r="G12" s="2052"/>
      <c r="H12" s="2052"/>
      <c r="I12" s="2053"/>
      <c r="J12" s="2051">
        <v>2020</v>
      </c>
      <c r="K12" s="2052"/>
      <c r="L12" s="2052"/>
      <c r="M12" s="2053"/>
      <c r="N12" s="89"/>
      <c r="O12" s="81"/>
      <c r="P12" s="19"/>
      <c r="Q12" s="19"/>
    </row>
    <row r="13" spans="1:17" s="82" customFormat="1" ht="15.6">
      <c r="F13" s="387" t="s">
        <v>192</v>
      </c>
      <c r="G13" s="387" t="s">
        <v>193</v>
      </c>
      <c r="H13" s="387" t="s">
        <v>194</v>
      </c>
      <c r="I13" s="387" t="s">
        <v>195</v>
      </c>
      <c r="J13" s="387" t="s">
        <v>196</v>
      </c>
      <c r="K13" s="387" t="s">
        <v>371</v>
      </c>
      <c r="L13" s="387" t="s">
        <v>372</v>
      </c>
      <c r="M13" s="387" t="s">
        <v>900</v>
      </c>
      <c r="N13" s="89"/>
      <c r="O13" s="81"/>
    </row>
    <row r="14" spans="1:17" s="82" customFormat="1" ht="15.6">
      <c r="F14" s="235" t="s">
        <v>105</v>
      </c>
      <c r="H14" s="235" t="s">
        <v>105</v>
      </c>
      <c r="I14" s="235"/>
      <c r="J14" s="235" t="s">
        <v>105</v>
      </c>
      <c r="L14" s="235" t="s">
        <v>105</v>
      </c>
      <c r="M14" s="235"/>
      <c r="N14" s="89"/>
      <c r="O14" s="81"/>
    </row>
    <row r="15" spans="1:17" s="81" customFormat="1" ht="15.6">
      <c r="F15" s="235" t="s">
        <v>234</v>
      </c>
      <c r="G15" s="235" t="s">
        <v>150</v>
      </c>
      <c r="H15" s="235" t="s">
        <v>234</v>
      </c>
      <c r="I15" s="235" t="s">
        <v>68</v>
      </c>
      <c r="J15" s="235" t="s">
        <v>234</v>
      </c>
      <c r="K15" s="235" t="s">
        <v>150</v>
      </c>
      <c r="L15" s="235" t="s">
        <v>234</v>
      </c>
      <c r="M15" s="235" t="s">
        <v>68</v>
      </c>
      <c r="N15" s="89"/>
      <c r="O15" s="82"/>
    </row>
    <row r="16" spans="1:17" s="81" customFormat="1" ht="16.2" thickBot="1">
      <c r="A16" s="236" t="s">
        <v>465</v>
      </c>
      <c r="B16" s="215" t="s">
        <v>215</v>
      </c>
      <c r="C16" s="215" t="s">
        <v>255</v>
      </c>
      <c r="D16" s="215"/>
      <c r="E16" s="215" t="s">
        <v>247</v>
      </c>
      <c r="F16" s="215" t="s">
        <v>791</v>
      </c>
      <c r="G16" s="215" t="s">
        <v>280</v>
      </c>
      <c r="H16" s="215" t="s">
        <v>792</v>
      </c>
      <c r="I16" s="215" t="s">
        <v>793</v>
      </c>
      <c r="J16" s="215" t="s">
        <v>791</v>
      </c>
      <c r="K16" s="215" t="s">
        <v>280</v>
      </c>
      <c r="L16" s="215" t="s">
        <v>792</v>
      </c>
      <c r="M16" s="215" t="s">
        <v>793</v>
      </c>
      <c r="N16" s="237"/>
      <c r="O16" s="19"/>
    </row>
    <row r="17" spans="2:15" s="81" customFormat="1" ht="15.6">
      <c r="B17" s="238"/>
      <c r="C17" s="1308">
        <v>37072</v>
      </c>
      <c r="D17" s="1308"/>
      <c r="E17" s="1309" t="s">
        <v>1868</v>
      </c>
      <c r="F17" s="1214">
        <v>8374457.5199999996</v>
      </c>
      <c r="G17" s="1214">
        <v>-3400915.52</v>
      </c>
      <c r="H17" s="1214">
        <v>4973542</v>
      </c>
      <c r="I17" s="1214">
        <v>-183075</v>
      </c>
      <c r="J17" s="1214">
        <v>8374457.5199999996</v>
      </c>
      <c r="K17" s="1214">
        <v>-3217840.52</v>
      </c>
      <c r="L17" s="1214">
        <v>5156617</v>
      </c>
      <c r="M17" s="1214">
        <v>-183075</v>
      </c>
      <c r="N17" s="810"/>
      <c r="O17" s="19"/>
    </row>
    <row r="18" spans="2:15" s="81" customFormat="1" ht="15.6">
      <c r="B18" s="238"/>
      <c r="C18" s="1308">
        <v>37072</v>
      </c>
      <c r="D18" s="1308"/>
      <c r="E18" s="1309" t="s">
        <v>1869</v>
      </c>
      <c r="F18" s="1214">
        <v>2686912.39</v>
      </c>
      <c r="G18" s="1214">
        <v>-1121887.3899999999</v>
      </c>
      <c r="H18" s="1214">
        <v>1565025</v>
      </c>
      <c r="I18" s="1214">
        <v>-57608</v>
      </c>
      <c r="J18" s="1214">
        <v>2686912.39</v>
      </c>
      <c r="K18" s="1214">
        <v>-1064279.3899999999</v>
      </c>
      <c r="L18" s="1214">
        <v>1622633</v>
      </c>
      <c r="M18" s="1214">
        <v>-57608</v>
      </c>
      <c r="N18" s="810"/>
      <c r="O18" s="19"/>
    </row>
    <row r="19" spans="2:15" s="81" customFormat="1" ht="15.6">
      <c r="B19" s="238"/>
      <c r="C19" s="1308">
        <v>37072</v>
      </c>
      <c r="D19" s="1308"/>
      <c r="E19" s="1309" t="s">
        <v>1870</v>
      </c>
      <c r="F19" s="1214">
        <v>3403806.2</v>
      </c>
      <c r="G19" s="1214">
        <v>-1406557.2</v>
      </c>
      <c r="H19" s="1214">
        <v>1997249</v>
      </c>
      <c r="I19" s="1214">
        <v>-73518</v>
      </c>
      <c r="J19" s="1214">
        <v>3403806.2</v>
      </c>
      <c r="K19" s="1214">
        <v>-1333039.2</v>
      </c>
      <c r="L19" s="1214">
        <v>2070767</v>
      </c>
      <c r="M19" s="1214">
        <v>-73518</v>
      </c>
      <c r="N19" s="810"/>
      <c r="O19" s="19"/>
    </row>
    <row r="20" spans="2:15" s="81" customFormat="1" ht="15.6">
      <c r="B20" s="238"/>
      <c r="C20" s="1308">
        <v>37072</v>
      </c>
      <c r="D20" s="1308"/>
      <c r="E20" s="1309" t="s">
        <v>1871</v>
      </c>
      <c r="F20" s="1214">
        <v>413814.61</v>
      </c>
      <c r="G20" s="1214">
        <v>-172577.61</v>
      </c>
      <c r="H20" s="1214">
        <v>241237</v>
      </c>
      <c r="I20" s="1214">
        <v>-8880</v>
      </c>
      <c r="J20" s="1214">
        <v>413814.61</v>
      </c>
      <c r="K20" s="1214">
        <v>-163697.60999999999</v>
      </c>
      <c r="L20" s="1214">
        <v>250117</v>
      </c>
      <c r="M20" s="1214">
        <v>-8880</v>
      </c>
      <c r="N20" s="810"/>
      <c r="O20" s="19"/>
    </row>
    <row r="21" spans="2:15" s="81" customFormat="1" ht="15.6">
      <c r="B21" s="238"/>
      <c r="C21" s="1308">
        <v>37072</v>
      </c>
      <c r="D21" s="1308"/>
      <c r="E21" s="1309" t="s">
        <v>1871</v>
      </c>
      <c r="F21" s="1214">
        <v>413814.59</v>
      </c>
      <c r="G21" s="1214">
        <v>-172577.59</v>
      </c>
      <c r="H21" s="1214">
        <v>241237</v>
      </c>
      <c r="I21" s="1214">
        <v>-8880</v>
      </c>
      <c r="J21" s="1214">
        <v>413814.59</v>
      </c>
      <c r="K21" s="1214">
        <v>-163697.59</v>
      </c>
      <c r="L21" s="1214">
        <v>250117</v>
      </c>
      <c r="M21" s="1214">
        <v>-8880</v>
      </c>
      <c r="N21" s="810"/>
      <c r="O21" s="19"/>
    </row>
    <row r="22" spans="2:15" s="81" customFormat="1" ht="15.6">
      <c r="B22" s="238"/>
      <c r="C22" s="1308">
        <v>37072</v>
      </c>
      <c r="D22" s="1308"/>
      <c r="E22" s="1309" t="s">
        <v>1872</v>
      </c>
      <c r="F22" s="1214">
        <v>374733.43</v>
      </c>
      <c r="G22" s="1214">
        <v>-155221.43</v>
      </c>
      <c r="H22" s="1214">
        <v>219512</v>
      </c>
      <c r="I22" s="1214">
        <v>-8080</v>
      </c>
      <c r="J22" s="1214">
        <v>374733.43</v>
      </c>
      <c r="K22" s="1214">
        <v>-147141.43</v>
      </c>
      <c r="L22" s="1214">
        <v>227592</v>
      </c>
      <c r="M22" s="1214">
        <v>-8080</v>
      </c>
      <c r="N22" s="810"/>
      <c r="O22" s="19"/>
    </row>
    <row r="23" spans="2:15" s="81" customFormat="1" ht="15.6">
      <c r="B23" s="238"/>
      <c r="C23" s="1308">
        <v>37072</v>
      </c>
      <c r="D23" s="1308"/>
      <c r="E23" s="1309" t="s">
        <v>1873</v>
      </c>
      <c r="F23" s="1214">
        <v>14348612.939999999</v>
      </c>
      <c r="G23" s="1214">
        <v>-5584646.9400000004</v>
      </c>
      <c r="H23" s="1214">
        <v>8763966</v>
      </c>
      <c r="I23" s="1214">
        <v>-322600</v>
      </c>
      <c r="J23" s="1214">
        <v>14348612.939999999</v>
      </c>
      <c r="K23" s="1214">
        <v>-5262046.9400000004</v>
      </c>
      <c r="L23" s="1214">
        <v>9086566</v>
      </c>
      <c r="M23" s="1214">
        <v>-322600</v>
      </c>
      <c r="N23" s="810"/>
      <c r="O23" s="19"/>
    </row>
    <row r="24" spans="2:15" s="81" customFormat="1" ht="15.6">
      <c r="B24" s="238"/>
      <c r="C24" s="1308">
        <v>37072</v>
      </c>
      <c r="D24" s="1308"/>
      <c r="E24" s="1309" t="s">
        <v>1874</v>
      </c>
      <c r="F24" s="1214">
        <v>875338.42</v>
      </c>
      <c r="G24" s="1214">
        <v>-355787.42</v>
      </c>
      <c r="H24" s="1214">
        <v>519551</v>
      </c>
      <c r="I24" s="1214">
        <v>-19125</v>
      </c>
      <c r="J24" s="1214">
        <v>875338.42</v>
      </c>
      <c r="K24" s="1214">
        <v>-336662.42</v>
      </c>
      <c r="L24" s="1214">
        <v>538676</v>
      </c>
      <c r="M24" s="1214">
        <v>-19125</v>
      </c>
      <c r="N24" s="810"/>
      <c r="O24" s="19"/>
    </row>
    <row r="25" spans="2:15" s="81" customFormat="1" ht="15.6">
      <c r="B25" s="238"/>
      <c r="C25" s="1308">
        <v>37438</v>
      </c>
      <c r="D25" s="1308"/>
      <c r="E25" s="1309" t="s">
        <v>1875</v>
      </c>
      <c r="F25" s="1214">
        <v>3759861.41</v>
      </c>
      <c r="G25" s="1214">
        <v>-1495673.41</v>
      </c>
      <c r="H25" s="1214">
        <v>2264188</v>
      </c>
      <c r="I25" s="1214">
        <v>-83344</v>
      </c>
      <c r="J25" s="1214">
        <v>3759861.41</v>
      </c>
      <c r="K25" s="1214">
        <v>-1412329.41</v>
      </c>
      <c r="L25" s="1214">
        <v>2347532</v>
      </c>
      <c r="M25" s="1214">
        <v>-83344</v>
      </c>
      <c r="N25" s="810"/>
      <c r="O25" s="19"/>
    </row>
    <row r="26" spans="2:15" s="81" customFormat="1" ht="15.6">
      <c r="B26" s="238"/>
      <c r="C26" s="1308">
        <v>37257</v>
      </c>
      <c r="D26" s="1308"/>
      <c r="E26" s="1309" t="s">
        <v>1876</v>
      </c>
      <c r="F26" s="1214">
        <v>206433.72</v>
      </c>
      <c r="G26" s="1214">
        <v>-82879.72</v>
      </c>
      <c r="H26" s="1214">
        <v>123554</v>
      </c>
      <c r="I26" s="1214">
        <v>-4548</v>
      </c>
      <c r="J26" s="1214">
        <v>206433.72</v>
      </c>
      <c r="K26" s="1214">
        <v>-78331.72</v>
      </c>
      <c r="L26" s="1214">
        <v>128102</v>
      </c>
      <c r="M26" s="1214">
        <v>-4548</v>
      </c>
      <c r="N26" s="810"/>
      <c r="O26" s="19"/>
    </row>
    <row r="27" spans="2:15" s="81" customFormat="1" ht="15.6">
      <c r="B27" s="238"/>
      <c r="C27" s="1308">
        <v>37257</v>
      </c>
      <c r="D27" s="1308"/>
      <c r="E27" s="1309" t="s">
        <v>1877</v>
      </c>
      <c r="F27" s="1214">
        <v>157167.45000000001</v>
      </c>
      <c r="G27" s="1214">
        <v>-120810.45</v>
      </c>
      <c r="H27" s="1214">
        <v>36357</v>
      </c>
      <c r="I27" s="1214">
        <v>-1338</v>
      </c>
      <c r="J27" s="1214">
        <v>157167.45000000001</v>
      </c>
      <c r="K27" s="1214">
        <v>-119472.45</v>
      </c>
      <c r="L27" s="1214">
        <v>37695</v>
      </c>
      <c r="M27" s="1214">
        <v>-1338</v>
      </c>
      <c r="N27" s="810"/>
      <c r="O27" s="19"/>
    </row>
    <row r="28" spans="2:15" s="81" customFormat="1" ht="15.6">
      <c r="B28" s="238"/>
      <c r="C28" s="1308">
        <v>37987</v>
      </c>
      <c r="D28" s="1308"/>
      <c r="E28" s="1309" t="s">
        <v>1878</v>
      </c>
      <c r="F28" s="1214">
        <v>4795066.01</v>
      </c>
      <c r="G28" s="1214">
        <v>-1796613.01</v>
      </c>
      <c r="H28" s="1214">
        <v>2998453</v>
      </c>
      <c r="I28" s="1214">
        <v>-110373</v>
      </c>
      <c r="J28" s="1214">
        <v>4795066.01</v>
      </c>
      <c r="K28" s="1214">
        <v>-1686240.01</v>
      </c>
      <c r="L28" s="1214">
        <v>3108826</v>
      </c>
      <c r="M28" s="1214">
        <v>-110373</v>
      </c>
      <c r="N28" s="810"/>
      <c r="O28" s="19"/>
    </row>
    <row r="29" spans="2:15" s="81" customFormat="1" ht="15.6">
      <c r="B29" s="238"/>
      <c r="C29" s="1308">
        <v>37987</v>
      </c>
      <c r="D29" s="1308"/>
      <c r="E29" s="1309" t="s">
        <v>1879</v>
      </c>
      <c r="F29" s="1214">
        <v>550775.93000000005</v>
      </c>
      <c r="G29" s="1214">
        <v>-206370.93</v>
      </c>
      <c r="H29" s="1214">
        <v>344405</v>
      </c>
      <c r="I29" s="1214">
        <v>-12677</v>
      </c>
      <c r="J29" s="1214">
        <v>550775.93000000005</v>
      </c>
      <c r="K29" s="1214">
        <v>-193693.93</v>
      </c>
      <c r="L29" s="1214">
        <v>357082</v>
      </c>
      <c r="M29" s="1214">
        <v>-12677</v>
      </c>
      <c r="N29" s="810"/>
      <c r="O29" s="19"/>
    </row>
    <row r="30" spans="2:15" s="81" customFormat="1" ht="15.6">
      <c r="B30" s="238"/>
      <c r="C30" s="1308">
        <v>37987</v>
      </c>
      <c r="D30" s="1308"/>
      <c r="E30" s="1309" t="s">
        <v>1879</v>
      </c>
      <c r="F30" s="1214">
        <v>550775.89</v>
      </c>
      <c r="G30" s="1214">
        <v>-206370.89</v>
      </c>
      <c r="H30" s="1214">
        <v>344405</v>
      </c>
      <c r="I30" s="1214">
        <v>-12677</v>
      </c>
      <c r="J30" s="1214">
        <v>550775.89</v>
      </c>
      <c r="K30" s="1214">
        <v>-193693.89</v>
      </c>
      <c r="L30" s="1214">
        <v>357082</v>
      </c>
      <c r="M30" s="1214">
        <v>-12677</v>
      </c>
      <c r="N30" s="810"/>
      <c r="O30" s="19"/>
    </row>
    <row r="31" spans="2:15" s="81" customFormat="1" ht="15.6">
      <c r="B31" s="238"/>
      <c r="C31" s="1308">
        <v>37987</v>
      </c>
      <c r="D31" s="1308"/>
      <c r="E31" s="1309" t="s">
        <v>1880</v>
      </c>
      <c r="F31" s="1214">
        <v>657917.54</v>
      </c>
      <c r="G31" s="1214">
        <v>-246518.54</v>
      </c>
      <c r="H31" s="1214">
        <v>411399</v>
      </c>
      <c r="I31" s="1214">
        <v>-15143</v>
      </c>
      <c r="J31" s="1214">
        <v>657917.54</v>
      </c>
      <c r="K31" s="1214">
        <v>-231375.54</v>
      </c>
      <c r="L31" s="1214">
        <v>426542</v>
      </c>
      <c r="M31" s="1214">
        <v>-15144</v>
      </c>
      <c r="N31" s="810"/>
      <c r="O31" s="19"/>
    </row>
    <row r="32" spans="2:15" s="81" customFormat="1" ht="15.6">
      <c r="B32" s="238"/>
      <c r="C32" s="1308">
        <v>37987</v>
      </c>
      <c r="D32" s="1308"/>
      <c r="E32" s="1309" t="s">
        <v>1881</v>
      </c>
      <c r="F32" s="1214">
        <v>470106.43</v>
      </c>
      <c r="G32" s="1214">
        <v>-176151.43</v>
      </c>
      <c r="H32" s="1214">
        <v>293955</v>
      </c>
      <c r="I32" s="1214">
        <v>-10820</v>
      </c>
      <c r="J32" s="1214">
        <v>470106.43</v>
      </c>
      <c r="K32" s="1214">
        <v>-165331.43</v>
      </c>
      <c r="L32" s="1214">
        <v>304775</v>
      </c>
      <c r="M32" s="1214">
        <v>-10820</v>
      </c>
      <c r="N32" s="810"/>
      <c r="O32" s="19"/>
    </row>
    <row r="33" spans="1:15" s="81" customFormat="1" ht="15.6">
      <c r="B33" s="238"/>
      <c r="C33" s="1308">
        <v>37987</v>
      </c>
      <c r="D33" s="1308"/>
      <c r="E33" s="1309" t="s">
        <v>1882</v>
      </c>
      <c r="F33" s="1214">
        <v>647185.41</v>
      </c>
      <c r="G33" s="1214">
        <v>-242497.41</v>
      </c>
      <c r="H33" s="1214">
        <v>404688</v>
      </c>
      <c r="I33" s="1214">
        <v>-14897</v>
      </c>
      <c r="J33" s="1214">
        <v>647185.41</v>
      </c>
      <c r="K33" s="1214">
        <v>-227600.41</v>
      </c>
      <c r="L33" s="1214">
        <v>419585</v>
      </c>
      <c r="M33" s="1214">
        <v>-14897</v>
      </c>
      <c r="N33" s="810"/>
      <c r="O33" s="19"/>
    </row>
    <row r="34" spans="1:15" s="81" customFormat="1" ht="15.6">
      <c r="B34" s="238"/>
      <c r="C34" s="1308">
        <v>37987</v>
      </c>
      <c r="D34" s="1308"/>
      <c r="E34" s="1309" t="s">
        <v>1883</v>
      </c>
      <c r="F34" s="1214">
        <v>111221.23</v>
      </c>
      <c r="G34" s="1214">
        <v>-41682.230000000003</v>
      </c>
      <c r="H34" s="1214">
        <v>69539</v>
      </c>
      <c r="I34" s="1214">
        <v>-2560</v>
      </c>
      <c r="J34" s="1214">
        <v>111221.23</v>
      </c>
      <c r="K34" s="1214">
        <v>-39122.230000000003</v>
      </c>
      <c r="L34" s="1214">
        <v>72099</v>
      </c>
      <c r="M34" s="1214">
        <v>-2560</v>
      </c>
      <c r="N34" s="810"/>
      <c r="O34" s="19"/>
    </row>
    <row r="35" spans="1:15" s="81" customFormat="1" ht="15.6">
      <c r="B35" s="238"/>
      <c r="C35" s="1308">
        <v>37987</v>
      </c>
      <c r="D35" s="1308"/>
      <c r="E35" s="1309" t="s">
        <v>1884</v>
      </c>
      <c r="F35" s="1214">
        <v>202557.24</v>
      </c>
      <c r="G35" s="1214">
        <v>-75906.240000000005</v>
      </c>
      <c r="H35" s="1214">
        <v>126651</v>
      </c>
      <c r="I35" s="1214">
        <v>-4662</v>
      </c>
      <c r="J35" s="1214">
        <v>202557.24</v>
      </c>
      <c r="K35" s="1214">
        <v>-71244.240000000005</v>
      </c>
      <c r="L35" s="1214">
        <v>131313</v>
      </c>
      <c r="M35" s="1214">
        <v>-4662</v>
      </c>
      <c r="N35" s="810"/>
      <c r="O35" s="19"/>
    </row>
    <row r="36" spans="1:15" s="81" customFormat="1" ht="15.6">
      <c r="B36" s="238"/>
      <c r="C36" s="1308">
        <v>37987</v>
      </c>
      <c r="D36" s="1308"/>
      <c r="E36" s="1309" t="s">
        <v>1885</v>
      </c>
      <c r="F36" s="1214">
        <v>1369456.07</v>
      </c>
      <c r="G36" s="1214">
        <v>-513118.07</v>
      </c>
      <c r="H36" s="1214">
        <v>856338</v>
      </c>
      <c r="I36" s="1214">
        <v>-31522</v>
      </c>
      <c r="J36" s="1214">
        <v>1369456.07</v>
      </c>
      <c r="K36" s="1214">
        <v>-481596.07</v>
      </c>
      <c r="L36" s="1214">
        <v>887860</v>
      </c>
      <c r="M36" s="1214">
        <v>-31522</v>
      </c>
      <c r="N36" s="810"/>
      <c r="O36" s="19"/>
    </row>
    <row r="37" spans="1:15" s="81" customFormat="1" ht="15.6">
      <c r="B37" s="238"/>
      <c r="C37" s="1308">
        <v>37987</v>
      </c>
      <c r="D37" s="1308"/>
      <c r="E37" s="1309" t="s">
        <v>1886</v>
      </c>
      <c r="F37" s="1214">
        <v>158379.32999999999</v>
      </c>
      <c r="G37" s="1214">
        <v>-57364.33</v>
      </c>
      <c r="H37" s="1214">
        <v>101015</v>
      </c>
      <c r="I37" s="1214">
        <v>-3718</v>
      </c>
      <c r="J37" s="1214">
        <v>158379.32999999999</v>
      </c>
      <c r="K37" s="1214">
        <v>-53646.33</v>
      </c>
      <c r="L37" s="1214">
        <v>104733</v>
      </c>
      <c r="M37" s="1214">
        <v>-3718</v>
      </c>
      <c r="N37" s="810"/>
      <c r="O37" s="19"/>
    </row>
    <row r="38" spans="1:15" s="81" customFormat="1" ht="15.6">
      <c r="B38" s="238"/>
      <c r="C38" s="1308">
        <v>38353</v>
      </c>
      <c r="D38" s="1308"/>
      <c r="E38" s="1309" t="s">
        <v>1887</v>
      </c>
      <c r="F38" s="1214">
        <v>188335.56</v>
      </c>
      <c r="G38" s="1214">
        <v>-188335.56</v>
      </c>
      <c r="H38" s="1214">
        <v>0</v>
      </c>
      <c r="I38" s="1214">
        <v>0</v>
      </c>
      <c r="J38" s="1214">
        <v>188335.56</v>
      </c>
      <c r="K38" s="1214">
        <v>-188335.56</v>
      </c>
      <c r="L38" s="1214">
        <v>0</v>
      </c>
      <c r="M38" s="1214">
        <v>0</v>
      </c>
      <c r="N38" s="810"/>
      <c r="O38" s="19"/>
    </row>
    <row r="39" spans="1:15" s="81" customFormat="1" ht="15.6">
      <c r="B39" s="238"/>
      <c r="C39" s="1308">
        <v>39417</v>
      </c>
      <c r="D39" s="1308"/>
      <c r="E39" s="1309" t="s">
        <v>1888</v>
      </c>
      <c r="F39" s="1214">
        <v>26923.7</v>
      </c>
      <c r="G39" s="1214">
        <v>-14334.7</v>
      </c>
      <c r="H39" s="1214">
        <v>12589</v>
      </c>
      <c r="I39" s="1214">
        <v>-463</v>
      </c>
      <c r="J39" s="1214">
        <v>26923.7</v>
      </c>
      <c r="K39" s="1214">
        <v>-13871.7</v>
      </c>
      <c r="L39" s="1214">
        <v>13052</v>
      </c>
      <c r="M39" s="1214">
        <v>-463</v>
      </c>
      <c r="N39" s="810"/>
      <c r="O39" s="19"/>
    </row>
    <row r="40" spans="1:15" s="81" customFormat="1" ht="15">
      <c r="B40" s="238"/>
      <c r="C40" s="1310"/>
      <c r="D40" s="1311"/>
      <c r="E40" s="1310"/>
      <c r="F40" s="1310"/>
      <c r="G40" s="1310"/>
      <c r="H40" s="1310"/>
      <c r="I40" s="1310"/>
      <c r="J40" s="1310"/>
      <c r="K40" s="1310"/>
      <c r="L40" s="1310"/>
      <c r="M40" s="1310"/>
      <c r="N40" s="89"/>
      <c r="O40" s="19"/>
    </row>
    <row r="41" spans="1:15" s="81" customFormat="1" ht="16.2" thickBot="1">
      <c r="A41" s="81">
        <v>2</v>
      </c>
      <c r="C41" s="240"/>
      <c r="D41" s="240"/>
      <c r="E41" s="241" t="s">
        <v>254</v>
      </c>
      <c r="F41" s="242">
        <f>SUM(F17:F40)</f>
        <v>44743653.020000003</v>
      </c>
      <c r="G41" s="242">
        <f t="shared" ref="G41:M41" si="0">SUM(G17:G40)</f>
        <v>-17834798.019999992</v>
      </c>
      <c r="H41" s="242">
        <f t="shared" si="0"/>
        <v>26908855</v>
      </c>
      <c r="I41" s="242">
        <f t="shared" si="0"/>
        <v>-990508</v>
      </c>
      <c r="J41" s="242">
        <f t="shared" si="0"/>
        <v>44743653.020000003</v>
      </c>
      <c r="K41" s="242">
        <f t="shared" si="0"/>
        <v>-16844290.02</v>
      </c>
      <c r="L41" s="242">
        <f t="shared" si="0"/>
        <v>27899363</v>
      </c>
      <c r="M41" s="242">
        <f t="shared" si="0"/>
        <v>-990509</v>
      </c>
      <c r="N41" s="89"/>
    </row>
    <row r="42" spans="1:15" s="81" customFormat="1" ht="16.2" thickTop="1" thickBot="1">
      <c r="F42" s="243"/>
      <c r="G42" s="243"/>
      <c r="H42" s="243"/>
      <c r="I42" s="243"/>
      <c r="J42" s="243"/>
      <c r="K42" s="243"/>
      <c r="L42" s="243"/>
      <c r="M42" s="89"/>
      <c r="N42" s="89"/>
    </row>
    <row r="43" spans="1:15" s="81" customFormat="1" ht="16.2" thickBot="1">
      <c r="A43" s="81">
        <f>+A41+1</f>
        <v>3</v>
      </c>
      <c r="E43" s="244" t="s">
        <v>450</v>
      </c>
      <c r="F43" s="243"/>
      <c r="G43" s="388">
        <f>G41-K41</f>
        <v>-990507.99999999255</v>
      </c>
      <c r="H43" s="243"/>
      <c r="I43" s="243"/>
      <c r="J43" s="243"/>
      <c r="K43" s="243"/>
      <c r="L43" s="243"/>
      <c r="M43" s="89"/>
      <c r="N43" s="89"/>
    </row>
    <row r="44" spans="1:15" customFormat="1" ht="12">
      <c r="J44" s="784"/>
    </row>
    <row r="45" spans="1:15" customFormat="1" ht="12"/>
    <row r="46" spans="1:15" customFormat="1" ht="12"/>
    <row r="47" spans="1:15" s="81" customFormat="1" ht="15">
      <c r="A47" s="662"/>
      <c r="B47" s="662"/>
      <c r="C47" s="662"/>
      <c r="D47" s="662"/>
      <c r="E47" s="662"/>
      <c r="F47" s="662"/>
      <c r="G47" s="662"/>
      <c r="H47" s="662"/>
      <c r="I47" s="662"/>
      <c r="J47" s="663"/>
      <c r="K47" s="664"/>
      <c r="L47" s="663"/>
      <c r="M47" s="663"/>
      <c r="N47" s="89"/>
    </row>
    <row r="48" spans="1:15" s="81" customFormat="1" ht="15">
      <c r="A48" s="665"/>
      <c r="B48" s="665"/>
      <c r="C48" s="665"/>
      <c r="D48" s="665"/>
      <c r="E48" s="665"/>
      <c r="F48" s="665"/>
      <c r="G48" s="665"/>
      <c r="H48" s="665"/>
      <c r="I48" s="665"/>
      <c r="J48" s="666"/>
      <c r="K48" s="667"/>
      <c r="L48" s="666"/>
      <c r="M48" s="666"/>
      <c r="N48" s="89"/>
    </row>
    <row r="49" spans="1:9" s="245" customFormat="1" ht="15.6">
      <c r="A49" s="660" t="s">
        <v>1702</v>
      </c>
      <c r="G49" s="246"/>
      <c r="H49" s="246"/>
      <c r="I49" s="246"/>
    </row>
    <row r="50" spans="1:9" s="245" customFormat="1">
      <c r="G50" s="246"/>
      <c r="H50" s="246"/>
      <c r="I50" s="246"/>
    </row>
    <row r="51" spans="1:9" s="245" customFormat="1">
      <c r="G51" s="246"/>
      <c r="H51" s="246"/>
      <c r="I51" s="246"/>
    </row>
    <row r="52" spans="1:9" s="245" customFormat="1">
      <c r="G52" s="246"/>
      <c r="H52" s="246"/>
      <c r="I52" s="246"/>
    </row>
    <row r="53" spans="1:9" s="245" customFormat="1">
      <c r="G53" s="246"/>
      <c r="H53" s="246"/>
      <c r="I53" s="246"/>
    </row>
    <row r="54" spans="1:9" s="245" customFormat="1">
      <c r="G54" s="246"/>
      <c r="H54" s="246"/>
      <c r="I54" s="246"/>
    </row>
    <row r="55" spans="1:9" s="245" customFormat="1">
      <c r="G55" s="246"/>
      <c r="H55" s="246"/>
      <c r="I55" s="246"/>
    </row>
    <row r="56" spans="1:9" s="245" customFormat="1">
      <c r="G56" s="246"/>
      <c r="H56" s="246"/>
      <c r="I56" s="246"/>
    </row>
    <row r="57" spans="1:9" s="245" customFormat="1">
      <c r="G57" s="246"/>
      <c r="H57" s="246"/>
      <c r="I57" s="246"/>
    </row>
    <row r="58" spans="1:9" s="245" customFormat="1">
      <c r="G58" s="246"/>
      <c r="H58" s="246"/>
      <c r="I58" s="246"/>
    </row>
    <row r="59" spans="1:9" s="245" customFormat="1">
      <c r="G59" s="246"/>
      <c r="H59" s="246"/>
      <c r="I59" s="246"/>
    </row>
    <row r="60" spans="1:9" s="245" customFormat="1">
      <c r="G60" s="246"/>
      <c r="H60" s="246"/>
      <c r="I60" s="246"/>
    </row>
    <row r="61" spans="1:9" s="245" customFormat="1">
      <c r="G61" s="246"/>
      <c r="H61" s="246"/>
      <c r="I61" s="246"/>
    </row>
    <row r="62" spans="1:9" s="245" customFormat="1">
      <c r="G62" s="246"/>
      <c r="H62" s="246"/>
      <c r="I62" s="246"/>
    </row>
    <row r="63" spans="1:9" s="245" customFormat="1">
      <c r="G63" s="246"/>
      <c r="H63" s="246"/>
      <c r="I63" s="246"/>
    </row>
    <row r="64" spans="1:9" s="245" customFormat="1">
      <c r="G64" s="246"/>
      <c r="H64" s="246"/>
      <c r="I64" s="246"/>
    </row>
    <row r="65" spans="7:9" s="245" customFormat="1">
      <c r="G65" s="246"/>
      <c r="H65" s="246"/>
      <c r="I65" s="246"/>
    </row>
    <row r="66" spans="7:9" s="245" customFormat="1">
      <c r="G66" s="246"/>
      <c r="H66" s="246"/>
      <c r="I66" s="246"/>
    </row>
    <row r="67" spans="7:9" s="245" customFormat="1">
      <c r="G67" s="246"/>
      <c r="H67" s="246"/>
      <c r="I67" s="246"/>
    </row>
    <row r="68" spans="7:9" s="245" customFormat="1">
      <c r="G68" s="246"/>
      <c r="H68" s="246"/>
      <c r="I68" s="246"/>
    </row>
    <row r="69" spans="7:9" s="245" customFormat="1">
      <c r="G69" s="246"/>
      <c r="H69" s="246"/>
      <c r="I69" s="246"/>
    </row>
    <row r="70" spans="7:9" s="245" customFormat="1">
      <c r="G70" s="246"/>
      <c r="H70" s="246"/>
      <c r="I70" s="246"/>
    </row>
    <row r="71" spans="7:9" s="245" customFormat="1">
      <c r="G71" s="246"/>
      <c r="H71" s="246"/>
      <c r="I71" s="246"/>
    </row>
    <row r="72" spans="7:9" s="245" customFormat="1">
      <c r="G72" s="246"/>
      <c r="H72" s="246"/>
      <c r="I72" s="246"/>
    </row>
    <row r="73" spans="7:9" s="245" customFormat="1">
      <c r="G73" s="246"/>
      <c r="H73" s="246"/>
      <c r="I73" s="246"/>
    </row>
    <row r="74" spans="7:9" s="245" customFormat="1">
      <c r="G74" s="246"/>
      <c r="H74" s="246"/>
      <c r="I74" s="246"/>
    </row>
    <row r="75" spans="7:9" s="245" customFormat="1">
      <c r="G75" s="246"/>
      <c r="H75" s="246"/>
      <c r="I75" s="246"/>
    </row>
    <row r="76" spans="7:9" s="245" customFormat="1">
      <c r="G76" s="246"/>
      <c r="H76" s="246"/>
      <c r="I76" s="246"/>
    </row>
    <row r="77" spans="7:9" s="245" customFormat="1">
      <c r="G77" s="246"/>
      <c r="H77" s="246"/>
      <c r="I77" s="246"/>
    </row>
    <row r="78" spans="7:9" s="245" customFormat="1">
      <c r="G78" s="246"/>
      <c r="H78" s="246"/>
      <c r="I78" s="246"/>
    </row>
    <row r="79" spans="7:9" s="245" customFormat="1">
      <c r="G79" s="246"/>
      <c r="H79" s="246"/>
      <c r="I79" s="246"/>
    </row>
    <row r="80" spans="7:9" s="245" customFormat="1">
      <c r="G80" s="246"/>
      <c r="H80" s="246"/>
      <c r="I80" s="246"/>
    </row>
    <row r="81" spans="7:9" s="245" customFormat="1">
      <c r="G81" s="246"/>
      <c r="H81" s="246"/>
      <c r="I81" s="246"/>
    </row>
    <row r="82" spans="7:9" s="245" customFormat="1">
      <c r="G82" s="246"/>
      <c r="H82" s="246"/>
      <c r="I82" s="246"/>
    </row>
    <row r="83" spans="7:9" s="245" customFormat="1">
      <c r="G83" s="246"/>
      <c r="H83" s="246"/>
      <c r="I83" s="246"/>
    </row>
    <row r="84" spans="7:9" s="245" customFormat="1">
      <c r="G84" s="246"/>
      <c r="H84" s="246"/>
      <c r="I84" s="246"/>
    </row>
    <row r="85" spans="7:9" s="245" customFormat="1">
      <c r="G85" s="246"/>
      <c r="H85" s="246"/>
      <c r="I85" s="246"/>
    </row>
    <row r="86" spans="7:9" s="245" customFormat="1">
      <c r="G86" s="246"/>
      <c r="H86" s="246"/>
      <c r="I86" s="246"/>
    </row>
    <row r="87" spans="7:9" s="245" customFormat="1">
      <c r="G87" s="246"/>
      <c r="H87" s="246"/>
      <c r="I87" s="246"/>
    </row>
    <row r="88" spans="7:9" s="245" customFormat="1">
      <c r="G88" s="246"/>
      <c r="H88" s="246"/>
      <c r="I88" s="246"/>
    </row>
    <row r="89" spans="7:9" s="245" customFormat="1">
      <c r="G89" s="246"/>
      <c r="H89" s="246"/>
      <c r="I89" s="246"/>
    </row>
  </sheetData>
  <customSheetViews>
    <customSheetView guid="{B321D76C-CDE5-48BB-9CDE-80FF97D58FCF}" scale="70" showPageBreaks="1" fitToPage="1" printArea="1" hiddenColumns="1" view="pageBreakPreview">
      <selection activeCell="D33" sqref="D33"/>
      <pageMargins left="0.2" right="0.2" top="0.25" bottom="0.25" header="0.3" footer="0.3"/>
      <printOptions horizontalCentered="1"/>
      <pageSetup scale="62" orientation="landscape" r:id="rId1"/>
    </customSheetView>
  </customSheetViews>
  <mergeCells count="7">
    <mergeCell ref="F12:I12"/>
    <mergeCell ref="J12:M12"/>
    <mergeCell ref="A10:M10"/>
    <mergeCell ref="A9:M9"/>
    <mergeCell ref="A5:M5"/>
    <mergeCell ref="A6:M6"/>
    <mergeCell ref="A7:M7"/>
  </mergeCells>
  <printOptions horizontalCentered="1"/>
  <pageMargins left="0.2" right="0.2" top="0.25" bottom="0.25" header="0.3" footer="0.3"/>
  <pageSetup scale="62"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0070C0"/>
    <pageSetUpPr fitToPage="1"/>
  </sheetPr>
  <dimension ref="A1:U62"/>
  <sheetViews>
    <sheetView view="pageBreakPreview" zoomScale="80" zoomScaleNormal="80" zoomScaleSheetLayoutView="80" workbookViewId="0">
      <selection activeCell="H19" sqref="H19"/>
    </sheetView>
  </sheetViews>
  <sheetFormatPr defaultRowHeight="13.2"/>
  <cols>
    <col min="1" max="1" width="9.109375" style="32" customWidth="1"/>
    <col min="2" max="2" width="57.109375" style="32" bestFit="1" customWidth="1"/>
    <col min="3" max="3" width="2.21875" style="32" customWidth="1"/>
    <col min="4" max="4" width="17.109375" style="32" bestFit="1" customWidth="1"/>
    <col min="5" max="5" width="1.77734375" style="32" customWidth="1"/>
    <col min="6" max="6" width="16" style="32" customWidth="1"/>
    <col min="7" max="7" width="1.77734375" style="32" customWidth="1"/>
    <col min="8" max="8" width="16" style="32" customWidth="1"/>
    <col min="9" max="9" width="1.33203125" style="32" customWidth="1"/>
    <col min="10" max="10" width="16" style="32" customWidth="1"/>
    <col min="11" max="11" width="4" style="32" customWidth="1"/>
    <col min="12" max="12" width="16" style="32" customWidth="1"/>
    <col min="13" max="13" width="4.77734375" style="32" customWidth="1"/>
    <col min="14" max="14" width="16" style="32" customWidth="1"/>
    <col min="15" max="15" width="2" style="32" customWidth="1"/>
    <col min="16" max="16" width="16" style="32" customWidth="1"/>
    <col min="17" max="17" width="2.44140625" style="32" customWidth="1"/>
    <col min="18" max="18" width="16" style="32" customWidth="1"/>
    <col min="19" max="19" width="1.77734375" style="32" customWidth="1"/>
    <col min="20" max="20" width="16" style="32" customWidth="1"/>
    <col min="21" max="257" width="9" style="32"/>
    <col min="258" max="258" width="40.109375" style="32" bestFit="1" customWidth="1"/>
    <col min="259" max="259" width="6.77734375" style="32" customWidth="1"/>
    <col min="260" max="260" width="12.77734375" style="32" bestFit="1" customWidth="1"/>
    <col min="261" max="261" width="12.33203125" style="32" bestFit="1" customWidth="1"/>
    <col min="262" max="262" width="8.77734375" style="32" bestFit="1" customWidth="1"/>
    <col min="263" max="263" width="15.21875" style="32" bestFit="1" customWidth="1"/>
    <col min="264" max="264" width="13.44140625" style="32" customWidth="1"/>
    <col min="265" max="265" width="2.77734375" style="32" customWidth="1"/>
    <col min="266" max="266" width="12" style="32" bestFit="1" customWidth="1"/>
    <col min="267" max="267" width="8.109375" style="32" bestFit="1" customWidth="1"/>
    <col min="268" max="268" width="10.21875" style="32" customWidth="1"/>
    <col min="269" max="513" width="9" style="32"/>
    <col min="514" max="514" width="40.109375" style="32" bestFit="1" customWidth="1"/>
    <col min="515" max="515" width="6.77734375" style="32" customWidth="1"/>
    <col min="516" max="516" width="12.77734375" style="32" bestFit="1" customWidth="1"/>
    <col min="517" max="517" width="12.33203125" style="32" bestFit="1" customWidth="1"/>
    <col min="518" max="518" width="8.77734375" style="32" bestFit="1" customWidth="1"/>
    <col min="519" max="519" width="15.21875" style="32" bestFit="1" customWidth="1"/>
    <col min="520" max="520" width="13.44140625" style="32" customWidth="1"/>
    <col min="521" max="521" width="2.77734375" style="32" customWidth="1"/>
    <col min="522" max="522" width="12" style="32" bestFit="1" customWidth="1"/>
    <col min="523" max="523" width="8.109375" style="32" bestFit="1" customWidth="1"/>
    <col min="524" max="524" width="10.21875" style="32" customWidth="1"/>
    <col min="525" max="769" width="9" style="32"/>
    <col min="770" max="770" width="40.109375" style="32" bestFit="1" customWidth="1"/>
    <col min="771" max="771" width="6.77734375" style="32" customWidth="1"/>
    <col min="772" max="772" width="12.77734375" style="32" bestFit="1" customWidth="1"/>
    <col min="773" max="773" width="12.33203125" style="32" bestFit="1" customWidth="1"/>
    <col min="774" max="774" width="8.77734375" style="32" bestFit="1" customWidth="1"/>
    <col min="775" max="775" width="15.21875" style="32" bestFit="1" customWidth="1"/>
    <col min="776" max="776" width="13.44140625" style="32" customWidth="1"/>
    <col min="777" max="777" width="2.77734375" style="32" customWidth="1"/>
    <col min="778" max="778" width="12" style="32" bestFit="1" customWidth="1"/>
    <col min="779" max="779" width="8.109375" style="32" bestFit="1" customWidth="1"/>
    <col min="780" max="780" width="10.21875" style="32" customWidth="1"/>
    <col min="781" max="1025" width="9" style="32"/>
    <col min="1026" max="1026" width="40.109375" style="32" bestFit="1" customWidth="1"/>
    <col min="1027" max="1027" width="6.77734375" style="32" customWidth="1"/>
    <col min="1028" max="1028" width="12.77734375" style="32" bestFit="1" customWidth="1"/>
    <col min="1029" max="1029" width="12.33203125" style="32" bestFit="1" customWidth="1"/>
    <col min="1030" max="1030" width="8.77734375" style="32" bestFit="1" customWidth="1"/>
    <col min="1031" max="1031" width="15.21875" style="32" bestFit="1" customWidth="1"/>
    <col min="1032" max="1032" width="13.44140625" style="32" customWidth="1"/>
    <col min="1033" max="1033" width="2.77734375" style="32" customWidth="1"/>
    <col min="1034" max="1034" width="12" style="32" bestFit="1" customWidth="1"/>
    <col min="1035" max="1035" width="8.109375" style="32" bestFit="1" customWidth="1"/>
    <col min="1036" max="1036" width="10.21875" style="32" customWidth="1"/>
    <col min="1037" max="1281" width="9" style="32"/>
    <col min="1282" max="1282" width="40.109375" style="32" bestFit="1" customWidth="1"/>
    <col min="1283" max="1283" width="6.77734375" style="32" customWidth="1"/>
    <col min="1284" max="1284" width="12.77734375" style="32" bestFit="1" customWidth="1"/>
    <col min="1285" max="1285" width="12.33203125" style="32" bestFit="1" customWidth="1"/>
    <col min="1286" max="1286" width="8.77734375" style="32" bestFit="1" customWidth="1"/>
    <col min="1287" max="1287" width="15.21875" style="32" bestFit="1" customWidth="1"/>
    <col min="1288" max="1288" width="13.44140625" style="32" customWidth="1"/>
    <col min="1289" max="1289" width="2.77734375" style="32" customWidth="1"/>
    <col min="1290" max="1290" width="12" style="32" bestFit="1" customWidth="1"/>
    <col min="1291" max="1291" width="8.109375" style="32" bestFit="1" customWidth="1"/>
    <col min="1292" max="1292" width="10.21875" style="32" customWidth="1"/>
    <col min="1293" max="1537" width="9" style="32"/>
    <col min="1538" max="1538" width="40.109375" style="32" bestFit="1" customWidth="1"/>
    <col min="1539" max="1539" width="6.77734375" style="32" customWidth="1"/>
    <col min="1540" max="1540" width="12.77734375" style="32" bestFit="1" customWidth="1"/>
    <col min="1541" max="1541" width="12.33203125" style="32" bestFit="1" customWidth="1"/>
    <col min="1542" max="1542" width="8.77734375" style="32" bestFit="1" customWidth="1"/>
    <col min="1543" max="1543" width="15.21875" style="32" bestFit="1" customWidth="1"/>
    <col min="1544" max="1544" width="13.44140625" style="32" customWidth="1"/>
    <col min="1545" max="1545" width="2.77734375" style="32" customWidth="1"/>
    <col min="1546" max="1546" width="12" style="32" bestFit="1" customWidth="1"/>
    <col min="1547" max="1547" width="8.109375" style="32" bestFit="1" customWidth="1"/>
    <col min="1548" max="1548" width="10.21875" style="32" customWidth="1"/>
    <col min="1549" max="1793" width="9" style="32"/>
    <col min="1794" max="1794" width="40.109375" style="32" bestFit="1" customWidth="1"/>
    <col min="1795" max="1795" width="6.77734375" style="32" customWidth="1"/>
    <col min="1796" max="1796" width="12.77734375" style="32" bestFit="1" customWidth="1"/>
    <col min="1797" max="1797" width="12.33203125" style="32" bestFit="1" customWidth="1"/>
    <col min="1798" max="1798" width="8.77734375" style="32" bestFit="1" customWidth="1"/>
    <col min="1799" max="1799" width="15.21875" style="32" bestFit="1" customWidth="1"/>
    <col min="1800" max="1800" width="13.44140625" style="32" customWidth="1"/>
    <col min="1801" max="1801" width="2.77734375" style="32" customWidth="1"/>
    <col min="1802" max="1802" width="12" style="32" bestFit="1" customWidth="1"/>
    <col min="1803" max="1803" width="8.109375" style="32" bestFit="1" customWidth="1"/>
    <col min="1804" max="1804" width="10.21875" style="32" customWidth="1"/>
    <col min="1805" max="2049" width="9" style="32"/>
    <col min="2050" max="2050" width="40.109375" style="32" bestFit="1" customWidth="1"/>
    <col min="2051" max="2051" width="6.77734375" style="32" customWidth="1"/>
    <col min="2052" max="2052" width="12.77734375" style="32" bestFit="1" customWidth="1"/>
    <col min="2053" max="2053" width="12.33203125" style="32" bestFit="1" customWidth="1"/>
    <col min="2054" max="2054" width="8.77734375" style="32" bestFit="1" customWidth="1"/>
    <col min="2055" max="2055" width="15.21875" style="32" bestFit="1" customWidth="1"/>
    <col min="2056" max="2056" width="13.44140625" style="32" customWidth="1"/>
    <col min="2057" max="2057" width="2.77734375" style="32" customWidth="1"/>
    <col min="2058" max="2058" width="12" style="32" bestFit="1" customWidth="1"/>
    <col min="2059" max="2059" width="8.109375" style="32" bestFit="1" customWidth="1"/>
    <col min="2060" max="2060" width="10.21875" style="32" customWidth="1"/>
    <col min="2061" max="2305" width="9" style="32"/>
    <col min="2306" max="2306" width="40.109375" style="32" bestFit="1" customWidth="1"/>
    <col min="2307" max="2307" width="6.77734375" style="32" customWidth="1"/>
    <col min="2308" max="2308" width="12.77734375" style="32" bestFit="1" customWidth="1"/>
    <col min="2309" max="2309" width="12.33203125" style="32" bestFit="1" customWidth="1"/>
    <col min="2310" max="2310" width="8.77734375" style="32" bestFit="1" customWidth="1"/>
    <col min="2311" max="2311" width="15.21875" style="32" bestFit="1" customWidth="1"/>
    <col min="2312" max="2312" width="13.44140625" style="32" customWidth="1"/>
    <col min="2313" max="2313" width="2.77734375" style="32" customWidth="1"/>
    <col min="2314" max="2314" width="12" style="32" bestFit="1" customWidth="1"/>
    <col min="2315" max="2315" width="8.109375" style="32" bestFit="1" customWidth="1"/>
    <col min="2316" max="2316" width="10.21875" style="32" customWidth="1"/>
    <col min="2317" max="2561" width="9" style="32"/>
    <col min="2562" max="2562" width="40.109375" style="32" bestFit="1" customWidth="1"/>
    <col min="2563" max="2563" width="6.77734375" style="32" customWidth="1"/>
    <col min="2564" max="2564" width="12.77734375" style="32" bestFit="1" customWidth="1"/>
    <col min="2565" max="2565" width="12.33203125" style="32" bestFit="1" customWidth="1"/>
    <col min="2566" max="2566" width="8.77734375" style="32" bestFit="1" customWidth="1"/>
    <col min="2567" max="2567" width="15.21875" style="32" bestFit="1" customWidth="1"/>
    <col min="2568" max="2568" width="13.44140625" style="32" customWidth="1"/>
    <col min="2569" max="2569" width="2.77734375" style="32" customWidth="1"/>
    <col min="2570" max="2570" width="12" style="32" bestFit="1" customWidth="1"/>
    <col min="2571" max="2571" width="8.109375" style="32" bestFit="1" customWidth="1"/>
    <col min="2572" max="2572" width="10.21875" style="32" customWidth="1"/>
    <col min="2573" max="2817" width="9" style="32"/>
    <col min="2818" max="2818" width="40.109375" style="32" bestFit="1" customWidth="1"/>
    <col min="2819" max="2819" width="6.77734375" style="32" customWidth="1"/>
    <col min="2820" max="2820" width="12.77734375" style="32" bestFit="1" customWidth="1"/>
    <col min="2821" max="2821" width="12.33203125" style="32" bestFit="1" customWidth="1"/>
    <col min="2822" max="2822" width="8.77734375" style="32" bestFit="1" customWidth="1"/>
    <col min="2823" max="2823" width="15.21875" style="32" bestFit="1" customWidth="1"/>
    <col min="2824" max="2824" width="13.44140625" style="32" customWidth="1"/>
    <col min="2825" max="2825" width="2.77734375" style="32" customWidth="1"/>
    <col min="2826" max="2826" width="12" style="32" bestFit="1" customWidth="1"/>
    <col min="2827" max="2827" width="8.109375" style="32" bestFit="1" customWidth="1"/>
    <col min="2828" max="2828" width="10.21875" style="32" customWidth="1"/>
    <col min="2829" max="3073" width="9" style="32"/>
    <col min="3074" max="3074" width="40.109375" style="32" bestFit="1" customWidth="1"/>
    <col min="3075" max="3075" width="6.77734375" style="32" customWidth="1"/>
    <col min="3076" max="3076" width="12.77734375" style="32" bestFit="1" customWidth="1"/>
    <col min="3077" max="3077" width="12.33203125" style="32" bestFit="1" customWidth="1"/>
    <col min="3078" max="3078" width="8.77734375" style="32" bestFit="1" customWidth="1"/>
    <col min="3079" max="3079" width="15.21875" style="32" bestFit="1" customWidth="1"/>
    <col min="3080" max="3080" width="13.44140625" style="32" customWidth="1"/>
    <col min="3081" max="3081" width="2.77734375" style="32" customWidth="1"/>
    <col min="3082" max="3082" width="12" style="32" bestFit="1" customWidth="1"/>
    <col min="3083" max="3083" width="8.109375" style="32" bestFit="1" customWidth="1"/>
    <col min="3084" max="3084" width="10.21875" style="32" customWidth="1"/>
    <col min="3085" max="3329" width="9" style="32"/>
    <col min="3330" max="3330" width="40.109375" style="32" bestFit="1" customWidth="1"/>
    <col min="3331" max="3331" width="6.77734375" style="32" customWidth="1"/>
    <col min="3332" max="3332" width="12.77734375" style="32" bestFit="1" customWidth="1"/>
    <col min="3333" max="3333" width="12.33203125" style="32" bestFit="1" customWidth="1"/>
    <col min="3334" max="3334" width="8.77734375" style="32" bestFit="1" customWidth="1"/>
    <col min="3335" max="3335" width="15.21875" style="32" bestFit="1" customWidth="1"/>
    <col min="3336" max="3336" width="13.44140625" style="32" customWidth="1"/>
    <col min="3337" max="3337" width="2.77734375" style="32" customWidth="1"/>
    <col min="3338" max="3338" width="12" style="32" bestFit="1" customWidth="1"/>
    <col min="3339" max="3339" width="8.109375" style="32" bestFit="1" customWidth="1"/>
    <col min="3340" max="3340" width="10.21875" style="32" customWidth="1"/>
    <col min="3341" max="3585" width="9" style="32"/>
    <col min="3586" max="3586" width="40.109375" style="32" bestFit="1" customWidth="1"/>
    <col min="3587" max="3587" width="6.77734375" style="32" customWidth="1"/>
    <col min="3588" max="3588" width="12.77734375" style="32" bestFit="1" customWidth="1"/>
    <col min="3589" max="3589" width="12.33203125" style="32" bestFit="1" customWidth="1"/>
    <col min="3590" max="3590" width="8.77734375" style="32" bestFit="1" customWidth="1"/>
    <col min="3591" max="3591" width="15.21875" style="32" bestFit="1" customWidth="1"/>
    <col min="3592" max="3592" width="13.44140625" style="32" customWidth="1"/>
    <col min="3593" max="3593" width="2.77734375" style="32" customWidth="1"/>
    <col min="3594" max="3594" width="12" style="32" bestFit="1" customWidth="1"/>
    <col min="3595" max="3595" width="8.109375" style="32" bestFit="1" customWidth="1"/>
    <col min="3596" max="3596" width="10.21875" style="32" customWidth="1"/>
    <col min="3597" max="3841" width="9" style="32"/>
    <col min="3842" max="3842" width="40.109375" style="32" bestFit="1" customWidth="1"/>
    <col min="3843" max="3843" width="6.77734375" style="32" customWidth="1"/>
    <col min="3844" max="3844" width="12.77734375" style="32" bestFit="1" customWidth="1"/>
    <col min="3845" max="3845" width="12.33203125" style="32" bestFit="1" customWidth="1"/>
    <col min="3846" max="3846" width="8.77734375" style="32" bestFit="1" customWidth="1"/>
    <col min="3847" max="3847" width="15.21875" style="32" bestFit="1" customWidth="1"/>
    <col min="3848" max="3848" width="13.44140625" style="32" customWidth="1"/>
    <col min="3849" max="3849" width="2.77734375" style="32" customWidth="1"/>
    <col min="3850" max="3850" width="12" style="32" bestFit="1" customWidth="1"/>
    <col min="3851" max="3851" width="8.109375" style="32" bestFit="1" customWidth="1"/>
    <col min="3852" max="3852" width="10.21875" style="32" customWidth="1"/>
    <col min="3853" max="4097" width="9" style="32"/>
    <col min="4098" max="4098" width="40.109375" style="32" bestFit="1" customWidth="1"/>
    <col min="4099" max="4099" width="6.77734375" style="32" customWidth="1"/>
    <col min="4100" max="4100" width="12.77734375" style="32" bestFit="1" customWidth="1"/>
    <col min="4101" max="4101" width="12.33203125" style="32" bestFit="1" customWidth="1"/>
    <col min="4102" max="4102" width="8.77734375" style="32" bestFit="1" customWidth="1"/>
    <col min="4103" max="4103" width="15.21875" style="32" bestFit="1" customWidth="1"/>
    <col min="4104" max="4104" width="13.44140625" style="32" customWidth="1"/>
    <col min="4105" max="4105" width="2.77734375" style="32" customWidth="1"/>
    <col min="4106" max="4106" width="12" style="32" bestFit="1" customWidth="1"/>
    <col min="4107" max="4107" width="8.109375" style="32" bestFit="1" customWidth="1"/>
    <col min="4108" max="4108" width="10.21875" style="32" customWidth="1"/>
    <col min="4109" max="4353" width="9" style="32"/>
    <col min="4354" max="4354" width="40.109375" style="32" bestFit="1" customWidth="1"/>
    <col min="4355" max="4355" width="6.77734375" style="32" customWidth="1"/>
    <col min="4356" max="4356" width="12.77734375" style="32" bestFit="1" customWidth="1"/>
    <col min="4357" max="4357" width="12.33203125" style="32" bestFit="1" customWidth="1"/>
    <col min="4358" max="4358" width="8.77734375" style="32" bestFit="1" customWidth="1"/>
    <col min="4359" max="4359" width="15.21875" style="32" bestFit="1" customWidth="1"/>
    <col min="4360" max="4360" width="13.44140625" style="32" customWidth="1"/>
    <col min="4361" max="4361" width="2.77734375" style="32" customWidth="1"/>
    <col min="4362" max="4362" width="12" style="32" bestFit="1" customWidth="1"/>
    <col min="4363" max="4363" width="8.109375" style="32" bestFit="1" customWidth="1"/>
    <col min="4364" max="4364" width="10.21875" style="32" customWidth="1"/>
    <col min="4365" max="4609" width="9" style="32"/>
    <col min="4610" max="4610" width="40.109375" style="32" bestFit="1" customWidth="1"/>
    <col min="4611" max="4611" width="6.77734375" style="32" customWidth="1"/>
    <col min="4612" max="4612" width="12.77734375" style="32" bestFit="1" customWidth="1"/>
    <col min="4613" max="4613" width="12.33203125" style="32" bestFit="1" customWidth="1"/>
    <col min="4614" max="4614" width="8.77734375" style="32" bestFit="1" customWidth="1"/>
    <col min="4615" max="4615" width="15.21875" style="32" bestFit="1" customWidth="1"/>
    <col min="4616" max="4616" width="13.44140625" style="32" customWidth="1"/>
    <col min="4617" max="4617" width="2.77734375" style="32" customWidth="1"/>
    <col min="4618" max="4618" width="12" style="32" bestFit="1" customWidth="1"/>
    <col min="4619" max="4619" width="8.109375" style="32" bestFit="1" customWidth="1"/>
    <col min="4620" max="4620" width="10.21875" style="32" customWidth="1"/>
    <col min="4621" max="4865" width="9" style="32"/>
    <col min="4866" max="4866" width="40.109375" style="32" bestFit="1" customWidth="1"/>
    <col min="4867" max="4867" width="6.77734375" style="32" customWidth="1"/>
    <col min="4868" max="4868" width="12.77734375" style="32" bestFit="1" customWidth="1"/>
    <col min="4869" max="4869" width="12.33203125" style="32" bestFit="1" customWidth="1"/>
    <col min="4870" max="4870" width="8.77734375" style="32" bestFit="1" customWidth="1"/>
    <col min="4871" max="4871" width="15.21875" style="32" bestFit="1" customWidth="1"/>
    <col min="4872" max="4872" width="13.44140625" style="32" customWidth="1"/>
    <col min="4873" max="4873" width="2.77734375" style="32" customWidth="1"/>
    <col min="4874" max="4874" width="12" style="32" bestFit="1" customWidth="1"/>
    <col min="4875" max="4875" width="8.109375" style="32" bestFit="1" customWidth="1"/>
    <col min="4876" max="4876" width="10.21875" style="32" customWidth="1"/>
    <col min="4877" max="5121" width="9" style="32"/>
    <col min="5122" max="5122" width="40.109375" style="32" bestFit="1" customWidth="1"/>
    <col min="5123" max="5123" width="6.77734375" style="32" customWidth="1"/>
    <col min="5124" max="5124" width="12.77734375" style="32" bestFit="1" customWidth="1"/>
    <col min="5125" max="5125" width="12.33203125" style="32" bestFit="1" customWidth="1"/>
    <col min="5126" max="5126" width="8.77734375" style="32" bestFit="1" customWidth="1"/>
    <col min="5127" max="5127" width="15.21875" style="32" bestFit="1" customWidth="1"/>
    <col min="5128" max="5128" width="13.44140625" style="32" customWidth="1"/>
    <col min="5129" max="5129" width="2.77734375" style="32" customWidth="1"/>
    <col min="5130" max="5130" width="12" style="32" bestFit="1" customWidth="1"/>
    <col min="5131" max="5131" width="8.109375" style="32" bestFit="1" customWidth="1"/>
    <col min="5132" max="5132" width="10.21875" style="32" customWidth="1"/>
    <col min="5133" max="5377" width="9" style="32"/>
    <col min="5378" max="5378" width="40.109375" style="32" bestFit="1" customWidth="1"/>
    <col min="5379" max="5379" width="6.77734375" style="32" customWidth="1"/>
    <col min="5380" max="5380" width="12.77734375" style="32" bestFit="1" customWidth="1"/>
    <col min="5381" max="5381" width="12.33203125" style="32" bestFit="1" customWidth="1"/>
    <col min="5382" max="5382" width="8.77734375" style="32" bestFit="1" customWidth="1"/>
    <col min="5383" max="5383" width="15.21875" style="32" bestFit="1" customWidth="1"/>
    <col min="5384" max="5384" width="13.44140625" style="32" customWidth="1"/>
    <col min="5385" max="5385" width="2.77734375" style="32" customWidth="1"/>
    <col min="5386" max="5386" width="12" style="32" bestFit="1" customWidth="1"/>
    <col min="5387" max="5387" width="8.109375" style="32" bestFit="1" customWidth="1"/>
    <col min="5388" max="5388" width="10.21875" style="32" customWidth="1"/>
    <col min="5389" max="5633" width="9" style="32"/>
    <col min="5634" max="5634" width="40.109375" style="32" bestFit="1" customWidth="1"/>
    <col min="5635" max="5635" width="6.77734375" style="32" customWidth="1"/>
    <col min="5636" max="5636" width="12.77734375" style="32" bestFit="1" customWidth="1"/>
    <col min="5637" max="5637" width="12.33203125" style="32" bestFit="1" customWidth="1"/>
    <col min="5638" max="5638" width="8.77734375" style="32" bestFit="1" customWidth="1"/>
    <col min="5639" max="5639" width="15.21875" style="32" bestFit="1" customWidth="1"/>
    <col min="5640" max="5640" width="13.44140625" style="32" customWidth="1"/>
    <col min="5641" max="5641" width="2.77734375" style="32" customWidth="1"/>
    <col min="5642" max="5642" width="12" style="32" bestFit="1" customWidth="1"/>
    <col min="5643" max="5643" width="8.109375" style="32" bestFit="1" customWidth="1"/>
    <col min="5644" max="5644" width="10.21875" style="32" customWidth="1"/>
    <col min="5645" max="5889" width="9" style="32"/>
    <col min="5890" max="5890" width="40.109375" style="32" bestFit="1" customWidth="1"/>
    <col min="5891" max="5891" width="6.77734375" style="32" customWidth="1"/>
    <col min="5892" max="5892" width="12.77734375" style="32" bestFit="1" customWidth="1"/>
    <col min="5893" max="5893" width="12.33203125" style="32" bestFit="1" customWidth="1"/>
    <col min="5894" max="5894" width="8.77734375" style="32" bestFit="1" customWidth="1"/>
    <col min="5895" max="5895" width="15.21875" style="32" bestFit="1" customWidth="1"/>
    <col min="5896" max="5896" width="13.44140625" style="32" customWidth="1"/>
    <col min="5897" max="5897" width="2.77734375" style="32" customWidth="1"/>
    <col min="5898" max="5898" width="12" style="32" bestFit="1" customWidth="1"/>
    <col min="5899" max="5899" width="8.109375" style="32" bestFit="1" customWidth="1"/>
    <col min="5900" max="5900" width="10.21875" style="32" customWidth="1"/>
    <col min="5901" max="6145" width="9" style="32"/>
    <col min="6146" max="6146" width="40.109375" style="32" bestFit="1" customWidth="1"/>
    <col min="6147" max="6147" width="6.77734375" style="32" customWidth="1"/>
    <col min="6148" max="6148" width="12.77734375" style="32" bestFit="1" customWidth="1"/>
    <col min="6149" max="6149" width="12.33203125" style="32" bestFit="1" customWidth="1"/>
    <col min="6150" max="6150" width="8.77734375" style="32" bestFit="1" customWidth="1"/>
    <col min="6151" max="6151" width="15.21875" style="32" bestFit="1" customWidth="1"/>
    <col min="6152" max="6152" width="13.44140625" style="32" customWidth="1"/>
    <col min="6153" max="6153" width="2.77734375" style="32" customWidth="1"/>
    <col min="6154" max="6154" width="12" style="32" bestFit="1" customWidth="1"/>
    <col min="6155" max="6155" width="8.109375" style="32" bestFit="1" customWidth="1"/>
    <col min="6156" max="6156" width="10.21875" style="32" customWidth="1"/>
    <col min="6157" max="6401" width="9" style="32"/>
    <col min="6402" max="6402" width="40.109375" style="32" bestFit="1" customWidth="1"/>
    <col min="6403" max="6403" width="6.77734375" style="32" customWidth="1"/>
    <col min="6404" max="6404" width="12.77734375" style="32" bestFit="1" customWidth="1"/>
    <col min="6405" max="6405" width="12.33203125" style="32" bestFit="1" customWidth="1"/>
    <col min="6406" max="6406" width="8.77734375" style="32" bestFit="1" customWidth="1"/>
    <col min="6407" max="6407" width="15.21875" style="32" bestFit="1" customWidth="1"/>
    <col min="6408" max="6408" width="13.44140625" style="32" customWidth="1"/>
    <col min="6409" max="6409" width="2.77734375" style="32" customWidth="1"/>
    <col min="6410" max="6410" width="12" style="32" bestFit="1" customWidth="1"/>
    <col min="6411" max="6411" width="8.109375" style="32" bestFit="1" customWidth="1"/>
    <col min="6412" max="6412" width="10.21875" style="32" customWidth="1"/>
    <col min="6413" max="6657" width="9" style="32"/>
    <col min="6658" max="6658" width="40.109375" style="32" bestFit="1" customWidth="1"/>
    <col min="6659" max="6659" width="6.77734375" style="32" customWidth="1"/>
    <col min="6660" max="6660" width="12.77734375" style="32" bestFit="1" customWidth="1"/>
    <col min="6661" max="6661" width="12.33203125" style="32" bestFit="1" customWidth="1"/>
    <col min="6662" max="6662" width="8.77734375" style="32" bestFit="1" customWidth="1"/>
    <col min="6663" max="6663" width="15.21875" style="32" bestFit="1" customWidth="1"/>
    <col min="6664" max="6664" width="13.44140625" style="32" customWidth="1"/>
    <col min="6665" max="6665" width="2.77734375" style="32" customWidth="1"/>
    <col min="6666" max="6666" width="12" style="32" bestFit="1" customWidth="1"/>
    <col min="6667" max="6667" width="8.109375" style="32" bestFit="1" customWidth="1"/>
    <col min="6668" max="6668" width="10.21875" style="32" customWidth="1"/>
    <col min="6669" max="6913" width="9" style="32"/>
    <col min="6914" max="6914" width="40.109375" style="32" bestFit="1" customWidth="1"/>
    <col min="6915" max="6915" width="6.77734375" style="32" customWidth="1"/>
    <col min="6916" max="6916" width="12.77734375" style="32" bestFit="1" customWidth="1"/>
    <col min="6917" max="6917" width="12.33203125" style="32" bestFit="1" customWidth="1"/>
    <col min="6918" max="6918" width="8.77734375" style="32" bestFit="1" customWidth="1"/>
    <col min="6919" max="6919" width="15.21875" style="32" bestFit="1" customWidth="1"/>
    <col min="6920" max="6920" width="13.44140625" style="32" customWidth="1"/>
    <col min="6921" max="6921" width="2.77734375" style="32" customWidth="1"/>
    <col min="6922" max="6922" width="12" style="32" bestFit="1" customWidth="1"/>
    <col min="6923" max="6923" width="8.109375" style="32" bestFit="1" customWidth="1"/>
    <col min="6924" max="6924" width="10.21875" style="32" customWidth="1"/>
    <col min="6925" max="7169" width="9" style="32"/>
    <col min="7170" max="7170" width="40.109375" style="32" bestFit="1" customWidth="1"/>
    <col min="7171" max="7171" width="6.77734375" style="32" customWidth="1"/>
    <col min="7172" max="7172" width="12.77734375" style="32" bestFit="1" customWidth="1"/>
    <col min="7173" max="7173" width="12.33203125" style="32" bestFit="1" customWidth="1"/>
    <col min="7174" max="7174" width="8.77734375" style="32" bestFit="1" customWidth="1"/>
    <col min="7175" max="7175" width="15.21875" style="32" bestFit="1" customWidth="1"/>
    <col min="7176" max="7176" width="13.44140625" style="32" customWidth="1"/>
    <col min="7177" max="7177" width="2.77734375" style="32" customWidth="1"/>
    <col min="7178" max="7178" width="12" style="32" bestFit="1" customWidth="1"/>
    <col min="7179" max="7179" width="8.109375" style="32" bestFit="1" customWidth="1"/>
    <col min="7180" max="7180" width="10.21875" style="32" customWidth="1"/>
    <col min="7181" max="7425" width="9" style="32"/>
    <col min="7426" max="7426" width="40.109375" style="32" bestFit="1" customWidth="1"/>
    <col min="7427" max="7427" width="6.77734375" style="32" customWidth="1"/>
    <col min="7428" max="7428" width="12.77734375" style="32" bestFit="1" customWidth="1"/>
    <col min="7429" max="7429" width="12.33203125" style="32" bestFit="1" customWidth="1"/>
    <col min="7430" max="7430" width="8.77734375" style="32" bestFit="1" customWidth="1"/>
    <col min="7431" max="7431" width="15.21875" style="32" bestFit="1" customWidth="1"/>
    <col min="7432" max="7432" width="13.44140625" style="32" customWidth="1"/>
    <col min="7433" max="7433" width="2.77734375" style="32" customWidth="1"/>
    <col min="7434" max="7434" width="12" style="32" bestFit="1" customWidth="1"/>
    <col min="7435" max="7435" width="8.109375" style="32" bestFit="1" customWidth="1"/>
    <col min="7436" max="7436" width="10.21875" style="32" customWidth="1"/>
    <col min="7437" max="7681" width="9" style="32"/>
    <col min="7682" max="7682" width="40.109375" style="32" bestFit="1" customWidth="1"/>
    <col min="7683" max="7683" width="6.77734375" style="32" customWidth="1"/>
    <col min="7684" max="7684" width="12.77734375" style="32" bestFit="1" customWidth="1"/>
    <col min="7685" max="7685" width="12.33203125" style="32" bestFit="1" customWidth="1"/>
    <col min="7686" max="7686" width="8.77734375" style="32" bestFit="1" customWidth="1"/>
    <col min="7687" max="7687" width="15.21875" style="32" bestFit="1" customWidth="1"/>
    <col min="7688" max="7688" width="13.44140625" style="32" customWidth="1"/>
    <col min="7689" max="7689" width="2.77734375" style="32" customWidth="1"/>
    <col min="7690" max="7690" width="12" style="32" bestFit="1" customWidth="1"/>
    <col min="7691" max="7691" width="8.109375" style="32" bestFit="1" customWidth="1"/>
    <col min="7692" max="7692" width="10.21875" style="32" customWidth="1"/>
    <col min="7693" max="7937" width="9" style="32"/>
    <col min="7938" max="7938" width="40.109375" style="32" bestFit="1" customWidth="1"/>
    <col min="7939" max="7939" width="6.77734375" style="32" customWidth="1"/>
    <col min="7940" max="7940" width="12.77734375" style="32" bestFit="1" customWidth="1"/>
    <col min="7941" max="7941" width="12.33203125" style="32" bestFit="1" customWidth="1"/>
    <col min="7942" max="7942" width="8.77734375" style="32" bestFit="1" customWidth="1"/>
    <col min="7943" max="7943" width="15.21875" style="32" bestFit="1" customWidth="1"/>
    <col min="7944" max="7944" width="13.44140625" style="32" customWidth="1"/>
    <col min="7945" max="7945" width="2.77734375" style="32" customWidth="1"/>
    <col min="7946" max="7946" width="12" style="32" bestFit="1" customWidth="1"/>
    <col min="7947" max="7947" width="8.109375" style="32" bestFit="1" customWidth="1"/>
    <col min="7948" max="7948" width="10.21875" style="32" customWidth="1"/>
    <col min="7949" max="8193" width="9" style="32"/>
    <col min="8194" max="8194" width="40.109375" style="32" bestFit="1" customWidth="1"/>
    <col min="8195" max="8195" width="6.77734375" style="32" customWidth="1"/>
    <col min="8196" max="8196" width="12.77734375" style="32" bestFit="1" customWidth="1"/>
    <col min="8197" max="8197" width="12.33203125" style="32" bestFit="1" customWidth="1"/>
    <col min="8198" max="8198" width="8.77734375" style="32" bestFit="1" customWidth="1"/>
    <col min="8199" max="8199" width="15.21875" style="32" bestFit="1" customWidth="1"/>
    <col min="8200" max="8200" width="13.44140625" style="32" customWidth="1"/>
    <col min="8201" max="8201" width="2.77734375" style="32" customWidth="1"/>
    <col min="8202" max="8202" width="12" style="32" bestFit="1" customWidth="1"/>
    <col min="8203" max="8203" width="8.109375" style="32" bestFit="1" customWidth="1"/>
    <col min="8204" max="8204" width="10.21875" style="32" customWidth="1"/>
    <col min="8205" max="8449" width="9" style="32"/>
    <col min="8450" max="8450" width="40.109375" style="32" bestFit="1" customWidth="1"/>
    <col min="8451" max="8451" width="6.77734375" style="32" customWidth="1"/>
    <col min="8452" max="8452" width="12.77734375" style="32" bestFit="1" customWidth="1"/>
    <col min="8453" max="8453" width="12.33203125" style="32" bestFit="1" customWidth="1"/>
    <col min="8454" max="8454" width="8.77734375" style="32" bestFit="1" customWidth="1"/>
    <col min="8455" max="8455" width="15.21875" style="32" bestFit="1" customWidth="1"/>
    <col min="8456" max="8456" width="13.44140625" style="32" customWidth="1"/>
    <col min="8457" max="8457" width="2.77734375" style="32" customWidth="1"/>
    <col min="8458" max="8458" width="12" style="32" bestFit="1" customWidth="1"/>
    <col min="8459" max="8459" width="8.109375" style="32" bestFit="1" customWidth="1"/>
    <col min="8460" max="8460" width="10.21875" style="32" customWidth="1"/>
    <col min="8461" max="8705" width="9" style="32"/>
    <col min="8706" max="8706" width="40.109375" style="32" bestFit="1" customWidth="1"/>
    <col min="8707" max="8707" width="6.77734375" style="32" customWidth="1"/>
    <col min="8708" max="8708" width="12.77734375" style="32" bestFit="1" customWidth="1"/>
    <col min="8709" max="8709" width="12.33203125" style="32" bestFit="1" customWidth="1"/>
    <col min="8710" max="8710" width="8.77734375" style="32" bestFit="1" customWidth="1"/>
    <col min="8711" max="8711" width="15.21875" style="32" bestFit="1" customWidth="1"/>
    <col min="8712" max="8712" width="13.44140625" style="32" customWidth="1"/>
    <col min="8713" max="8713" width="2.77734375" style="32" customWidth="1"/>
    <col min="8714" max="8714" width="12" style="32" bestFit="1" customWidth="1"/>
    <col min="8715" max="8715" width="8.109375" style="32" bestFit="1" customWidth="1"/>
    <col min="8716" max="8716" width="10.21875" style="32" customWidth="1"/>
    <col min="8717" max="8961" width="9" style="32"/>
    <col min="8962" max="8962" width="40.109375" style="32" bestFit="1" customWidth="1"/>
    <col min="8963" max="8963" width="6.77734375" style="32" customWidth="1"/>
    <col min="8964" max="8964" width="12.77734375" style="32" bestFit="1" customWidth="1"/>
    <col min="8965" max="8965" width="12.33203125" style="32" bestFit="1" customWidth="1"/>
    <col min="8966" max="8966" width="8.77734375" style="32" bestFit="1" customWidth="1"/>
    <col min="8967" max="8967" width="15.21875" style="32" bestFit="1" customWidth="1"/>
    <col min="8968" max="8968" width="13.44140625" style="32" customWidth="1"/>
    <col min="8969" max="8969" width="2.77734375" style="32" customWidth="1"/>
    <col min="8970" max="8970" width="12" style="32" bestFit="1" customWidth="1"/>
    <col min="8971" max="8971" width="8.109375" style="32" bestFit="1" customWidth="1"/>
    <col min="8972" max="8972" width="10.21875" style="32" customWidth="1"/>
    <col min="8973" max="9217" width="9" style="32"/>
    <col min="9218" max="9218" width="40.109375" style="32" bestFit="1" customWidth="1"/>
    <col min="9219" max="9219" width="6.77734375" style="32" customWidth="1"/>
    <col min="9220" max="9220" width="12.77734375" style="32" bestFit="1" customWidth="1"/>
    <col min="9221" max="9221" width="12.33203125" style="32" bestFit="1" customWidth="1"/>
    <col min="9222" max="9222" width="8.77734375" style="32" bestFit="1" customWidth="1"/>
    <col min="9223" max="9223" width="15.21875" style="32" bestFit="1" customWidth="1"/>
    <col min="9224" max="9224" width="13.44140625" style="32" customWidth="1"/>
    <col min="9225" max="9225" width="2.77734375" style="32" customWidth="1"/>
    <col min="9226" max="9226" width="12" style="32" bestFit="1" customWidth="1"/>
    <col min="9227" max="9227" width="8.109375" style="32" bestFit="1" customWidth="1"/>
    <col min="9228" max="9228" width="10.21875" style="32" customWidth="1"/>
    <col min="9229" max="9473" width="9" style="32"/>
    <col min="9474" max="9474" width="40.109375" style="32" bestFit="1" customWidth="1"/>
    <col min="9475" max="9475" width="6.77734375" style="32" customWidth="1"/>
    <col min="9476" max="9476" width="12.77734375" style="32" bestFit="1" customWidth="1"/>
    <col min="9477" max="9477" width="12.33203125" style="32" bestFit="1" customWidth="1"/>
    <col min="9478" max="9478" width="8.77734375" style="32" bestFit="1" customWidth="1"/>
    <col min="9479" max="9479" width="15.21875" style="32" bestFit="1" customWidth="1"/>
    <col min="9480" max="9480" width="13.44140625" style="32" customWidth="1"/>
    <col min="9481" max="9481" width="2.77734375" style="32" customWidth="1"/>
    <col min="9482" max="9482" width="12" style="32" bestFit="1" customWidth="1"/>
    <col min="9483" max="9483" width="8.109375" style="32" bestFit="1" customWidth="1"/>
    <col min="9484" max="9484" width="10.21875" style="32" customWidth="1"/>
    <col min="9485" max="9729" width="9" style="32"/>
    <col min="9730" max="9730" width="40.109375" style="32" bestFit="1" customWidth="1"/>
    <col min="9731" max="9731" width="6.77734375" style="32" customWidth="1"/>
    <col min="9732" max="9732" width="12.77734375" style="32" bestFit="1" customWidth="1"/>
    <col min="9733" max="9733" width="12.33203125" style="32" bestFit="1" customWidth="1"/>
    <col min="9734" max="9734" width="8.77734375" style="32" bestFit="1" customWidth="1"/>
    <col min="9735" max="9735" width="15.21875" style="32" bestFit="1" customWidth="1"/>
    <col min="9736" max="9736" width="13.44140625" style="32" customWidth="1"/>
    <col min="9737" max="9737" width="2.77734375" style="32" customWidth="1"/>
    <col min="9738" max="9738" width="12" style="32" bestFit="1" customWidth="1"/>
    <col min="9739" max="9739" width="8.109375" style="32" bestFit="1" customWidth="1"/>
    <col min="9740" max="9740" width="10.21875" style="32" customWidth="1"/>
    <col min="9741" max="9985" width="9" style="32"/>
    <col min="9986" max="9986" width="40.109375" style="32" bestFit="1" customWidth="1"/>
    <col min="9987" max="9987" width="6.77734375" style="32" customWidth="1"/>
    <col min="9988" max="9988" width="12.77734375" style="32" bestFit="1" customWidth="1"/>
    <col min="9989" max="9989" width="12.33203125" style="32" bestFit="1" customWidth="1"/>
    <col min="9990" max="9990" width="8.77734375" style="32" bestFit="1" customWidth="1"/>
    <col min="9991" max="9991" width="15.21875" style="32" bestFit="1" customWidth="1"/>
    <col min="9992" max="9992" width="13.44140625" style="32" customWidth="1"/>
    <col min="9993" max="9993" width="2.77734375" style="32" customWidth="1"/>
    <col min="9994" max="9994" width="12" style="32" bestFit="1" customWidth="1"/>
    <col min="9995" max="9995" width="8.109375" style="32" bestFit="1" customWidth="1"/>
    <col min="9996" max="9996" width="10.21875" style="32" customWidth="1"/>
    <col min="9997" max="10241" width="9" style="32"/>
    <col min="10242" max="10242" width="40.109375" style="32" bestFit="1" customWidth="1"/>
    <col min="10243" max="10243" width="6.77734375" style="32" customWidth="1"/>
    <col min="10244" max="10244" width="12.77734375" style="32" bestFit="1" customWidth="1"/>
    <col min="10245" max="10245" width="12.33203125" style="32" bestFit="1" customWidth="1"/>
    <col min="10246" max="10246" width="8.77734375" style="32" bestFit="1" customWidth="1"/>
    <col min="10247" max="10247" width="15.21875" style="32" bestFit="1" customWidth="1"/>
    <col min="10248" max="10248" width="13.44140625" style="32" customWidth="1"/>
    <col min="10249" max="10249" width="2.77734375" style="32" customWidth="1"/>
    <col min="10250" max="10250" width="12" style="32" bestFit="1" customWidth="1"/>
    <col min="10251" max="10251" width="8.109375" style="32" bestFit="1" customWidth="1"/>
    <col min="10252" max="10252" width="10.21875" style="32" customWidth="1"/>
    <col min="10253" max="10497" width="9" style="32"/>
    <col min="10498" max="10498" width="40.109375" style="32" bestFit="1" customWidth="1"/>
    <col min="10499" max="10499" width="6.77734375" style="32" customWidth="1"/>
    <col min="10500" max="10500" width="12.77734375" style="32" bestFit="1" customWidth="1"/>
    <col min="10501" max="10501" width="12.33203125" style="32" bestFit="1" customWidth="1"/>
    <col min="10502" max="10502" width="8.77734375" style="32" bestFit="1" customWidth="1"/>
    <col min="10503" max="10503" width="15.21875" style="32" bestFit="1" customWidth="1"/>
    <col min="10504" max="10504" width="13.44140625" style="32" customWidth="1"/>
    <col min="10505" max="10505" width="2.77734375" style="32" customWidth="1"/>
    <col min="10506" max="10506" width="12" style="32" bestFit="1" customWidth="1"/>
    <col min="10507" max="10507" width="8.109375" style="32" bestFit="1" customWidth="1"/>
    <col min="10508" max="10508" width="10.21875" style="32" customWidth="1"/>
    <col min="10509" max="10753" width="9" style="32"/>
    <col min="10754" max="10754" width="40.109375" style="32" bestFit="1" customWidth="1"/>
    <col min="10755" max="10755" width="6.77734375" style="32" customWidth="1"/>
    <col min="10756" max="10756" width="12.77734375" style="32" bestFit="1" customWidth="1"/>
    <col min="10757" max="10757" width="12.33203125" style="32" bestFit="1" customWidth="1"/>
    <col min="10758" max="10758" width="8.77734375" style="32" bestFit="1" customWidth="1"/>
    <col min="10759" max="10759" width="15.21875" style="32" bestFit="1" customWidth="1"/>
    <col min="10760" max="10760" width="13.44140625" style="32" customWidth="1"/>
    <col min="10761" max="10761" width="2.77734375" style="32" customWidth="1"/>
    <col min="10762" max="10762" width="12" style="32" bestFit="1" customWidth="1"/>
    <col min="10763" max="10763" width="8.109375" style="32" bestFit="1" customWidth="1"/>
    <col min="10764" max="10764" width="10.21875" style="32" customWidth="1"/>
    <col min="10765" max="11009" width="9" style="32"/>
    <col min="11010" max="11010" width="40.109375" style="32" bestFit="1" customWidth="1"/>
    <col min="11011" max="11011" width="6.77734375" style="32" customWidth="1"/>
    <col min="11012" max="11012" width="12.77734375" style="32" bestFit="1" customWidth="1"/>
    <col min="11013" max="11013" width="12.33203125" style="32" bestFit="1" customWidth="1"/>
    <col min="11014" max="11014" width="8.77734375" style="32" bestFit="1" customWidth="1"/>
    <col min="11015" max="11015" width="15.21875" style="32" bestFit="1" customWidth="1"/>
    <col min="11016" max="11016" width="13.44140625" style="32" customWidth="1"/>
    <col min="11017" max="11017" width="2.77734375" style="32" customWidth="1"/>
    <col min="11018" max="11018" width="12" style="32" bestFit="1" customWidth="1"/>
    <col min="11019" max="11019" width="8.109375" style="32" bestFit="1" customWidth="1"/>
    <col min="11020" max="11020" width="10.21875" style="32" customWidth="1"/>
    <col min="11021" max="11265" width="9" style="32"/>
    <col min="11266" max="11266" width="40.109375" style="32" bestFit="1" customWidth="1"/>
    <col min="11267" max="11267" width="6.77734375" style="32" customWidth="1"/>
    <col min="11268" max="11268" width="12.77734375" style="32" bestFit="1" customWidth="1"/>
    <col min="11269" max="11269" width="12.33203125" style="32" bestFit="1" customWidth="1"/>
    <col min="11270" max="11270" width="8.77734375" style="32" bestFit="1" customWidth="1"/>
    <col min="11271" max="11271" width="15.21875" style="32" bestFit="1" customWidth="1"/>
    <col min="11272" max="11272" width="13.44140625" style="32" customWidth="1"/>
    <col min="11273" max="11273" width="2.77734375" style="32" customWidth="1"/>
    <col min="11274" max="11274" width="12" style="32" bestFit="1" customWidth="1"/>
    <col min="11275" max="11275" width="8.109375" style="32" bestFit="1" customWidth="1"/>
    <col min="11276" max="11276" width="10.21875" style="32" customWidth="1"/>
    <col min="11277" max="11521" width="9" style="32"/>
    <col min="11522" max="11522" width="40.109375" style="32" bestFit="1" customWidth="1"/>
    <col min="11523" max="11523" width="6.77734375" style="32" customWidth="1"/>
    <col min="11524" max="11524" width="12.77734375" style="32" bestFit="1" customWidth="1"/>
    <col min="11525" max="11525" width="12.33203125" style="32" bestFit="1" customWidth="1"/>
    <col min="11526" max="11526" width="8.77734375" style="32" bestFit="1" customWidth="1"/>
    <col min="11527" max="11527" width="15.21875" style="32" bestFit="1" customWidth="1"/>
    <col min="11528" max="11528" width="13.44140625" style="32" customWidth="1"/>
    <col min="11529" max="11529" width="2.77734375" style="32" customWidth="1"/>
    <col min="11530" max="11530" width="12" style="32" bestFit="1" customWidth="1"/>
    <col min="11531" max="11531" width="8.109375" style="32" bestFit="1" customWidth="1"/>
    <col min="11532" max="11532" width="10.21875" style="32" customWidth="1"/>
    <col min="11533" max="11777" width="9" style="32"/>
    <col min="11778" max="11778" width="40.109375" style="32" bestFit="1" customWidth="1"/>
    <col min="11779" max="11779" width="6.77734375" style="32" customWidth="1"/>
    <col min="11780" max="11780" width="12.77734375" style="32" bestFit="1" customWidth="1"/>
    <col min="11781" max="11781" width="12.33203125" style="32" bestFit="1" customWidth="1"/>
    <col min="11782" max="11782" width="8.77734375" style="32" bestFit="1" customWidth="1"/>
    <col min="11783" max="11783" width="15.21875" style="32" bestFit="1" customWidth="1"/>
    <col min="11784" max="11784" width="13.44140625" style="32" customWidth="1"/>
    <col min="11785" max="11785" width="2.77734375" style="32" customWidth="1"/>
    <col min="11786" max="11786" width="12" style="32" bestFit="1" customWidth="1"/>
    <col min="11787" max="11787" width="8.109375" style="32" bestFit="1" customWidth="1"/>
    <col min="11788" max="11788" width="10.21875" style="32" customWidth="1"/>
    <col min="11789" max="12033" width="9" style="32"/>
    <col min="12034" max="12034" width="40.109375" style="32" bestFit="1" customWidth="1"/>
    <col min="12035" max="12035" width="6.77734375" style="32" customWidth="1"/>
    <col min="12036" max="12036" width="12.77734375" style="32" bestFit="1" customWidth="1"/>
    <col min="12037" max="12037" width="12.33203125" style="32" bestFit="1" customWidth="1"/>
    <col min="12038" max="12038" width="8.77734375" style="32" bestFit="1" customWidth="1"/>
    <col min="12039" max="12039" width="15.21875" style="32" bestFit="1" customWidth="1"/>
    <col min="12040" max="12040" width="13.44140625" style="32" customWidth="1"/>
    <col min="12041" max="12041" width="2.77734375" style="32" customWidth="1"/>
    <col min="12042" max="12042" width="12" style="32" bestFit="1" customWidth="1"/>
    <col min="12043" max="12043" width="8.109375" style="32" bestFit="1" customWidth="1"/>
    <col min="12044" max="12044" width="10.21875" style="32" customWidth="1"/>
    <col min="12045" max="12289" width="9" style="32"/>
    <col min="12290" max="12290" width="40.109375" style="32" bestFit="1" customWidth="1"/>
    <col min="12291" max="12291" width="6.77734375" style="32" customWidth="1"/>
    <col min="12292" max="12292" width="12.77734375" style="32" bestFit="1" customWidth="1"/>
    <col min="12293" max="12293" width="12.33203125" style="32" bestFit="1" customWidth="1"/>
    <col min="12294" max="12294" width="8.77734375" style="32" bestFit="1" customWidth="1"/>
    <col min="12295" max="12295" width="15.21875" style="32" bestFit="1" customWidth="1"/>
    <col min="12296" max="12296" width="13.44140625" style="32" customWidth="1"/>
    <col min="12297" max="12297" width="2.77734375" style="32" customWidth="1"/>
    <col min="12298" max="12298" width="12" style="32" bestFit="1" customWidth="1"/>
    <col min="12299" max="12299" width="8.109375" style="32" bestFit="1" customWidth="1"/>
    <col min="12300" max="12300" width="10.21875" style="32" customWidth="1"/>
    <col min="12301" max="12545" width="9" style="32"/>
    <col min="12546" max="12546" width="40.109375" style="32" bestFit="1" customWidth="1"/>
    <col min="12547" max="12547" width="6.77734375" style="32" customWidth="1"/>
    <col min="12548" max="12548" width="12.77734375" style="32" bestFit="1" customWidth="1"/>
    <col min="12549" max="12549" width="12.33203125" style="32" bestFit="1" customWidth="1"/>
    <col min="12550" max="12550" width="8.77734375" style="32" bestFit="1" customWidth="1"/>
    <col min="12551" max="12551" width="15.21875" style="32" bestFit="1" customWidth="1"/>
    <col min="12552" max="12552" width="13.44140625" style="32" customWidth="1"/>
    <col min="12553" max="12553" width="2.77734375" style="32" customWidth="1"/>
    <col min="12554" max="12554" width="12" style="32" bestFit="1" customWidth="1"/>
    <col min="12555" max="12555" width="8.109375" style="32" bestFit="1" customWidth="1"/>
    <col min="12556" max="12556" width="10.21875" style="32" customWidth="1"/>
    <col min="12557" max="12801" width="9" style="32"/>
    <col min="12802" max="12802" width="40.109375" style="32" bestFit="1" customWidth="1"/>
    <col min="12803" max="12803" width="6.77734375" style="32" customWidth="1"/>
    <col min="12804" max="12804" width="12.77734375" style="32" bestFit="1" customWidth="1"/>
    <col min="12805" max="12805" width="12.33203125" style="32" bestFit="1" customWidth="1"/>
    <col min="12806" max="12806" width="8.77734375" style="32" bestFit="1" customWidth="1"/>
    <col min="12807" max="12807" width="15.21875" style="32" bestFit="1" customWidth="1"/>
    <col min="12808" max="12808" width="13.44140625" style="32" customWidth="1"/>
    <col min="12809" max="12809" width="2.77734375" style="32" customWidth="1"/>
    <col min="12810" max="12810" width="12" style="32" bestFit="1" customWidth="1"/>
    <col min="12811" max="12811" width="8.109375" style="32" bestFit="1" customWidth="1"/>
    <col min="12812" max="12812" width="10.21875" style="32" customWidth="1"/>
    <col min="12813" max="13057" width="9" style="32"/>
    <col min="13058" max="13058" width="40.109375" style="32" bestFit="1" customWidth="1"/>
    <col min="13059" max="13059" width="6.77734375" style="32" customWidth="1"/>
    <col min="13060" max="13060" width="12.77734375" style="32" bestFit="1" customWidth="1"/>
    <col min="13061" max="13061" width="12.33203125" style="32" bestFit="1" customWidth="1"/>
    <col min="13062" max="13062" width="8.77734375" style="32" bestFit="1" customWidth="1"/>
    <col min="13063" max="13063" width="15.21875" style="32" bestFit="1" customWidth="1"/>
    <col min="13064" max="13064" width="13.44140625" style="32" customWidth="1"/>
    <col min="13065" max="13065" width="2.77734375" style="32" customWidth="1"/>
    <col min="13066" max="13066" width="12" style="32" bestFit="1" customWidth="1"/>
    <col min="13067" max="13067" width="8.109375" style="32" bestFit="1" customWidth="1"/>
    <col min="13068" max="13068" width="10.21875" style="32" customWidth="1"/>
    <col min="13069" max="13313" width="9" style="32"/>
    <col min="13314" max="13314" width="40.109375" style="32" bestFit="1" customWidth="1"/>
    <col min="13315" max="13315" width="6.77734375" style="32" customWidth="1"/>
    <col min="13316" max="13316" width="12.77734375" style="32" bestFit="1" customWidth="1"/>
    <col min="13317" max="13317" width="12.33203125" style="32" bestFit="1" customWidth="1"/>
    <col min="13318" max="13318" width="8.77734375" style="32" bestFit="1" customWidth="1"/>
    <col min="13319" max="13319" width="15.21875" style="32" bestFit="1" customWidth="1"/>
    <col min="13320" max="13320" width="13.44140625" style="32" customWidth="1"/>
    <col min="13321" max="13321" width="2.77734375" style="32" customWidth="1"/>
    <col min="13322" max="13322" width="12" style="32" bestFit="1" customWidth="1"/>
    <col min="13323" max="13323" width="8.109375" style="32" bestFit="1" customWidth="1"/>
    <col min="13324" max="13324" width="10.21875" style="32" customWidth="1"/>
    <col min="13325" max="13569" width="9" style="32"/>
    <col min="13570" max="13570" width="40.109375" style="32" bestFit="1" customWidth="1"/>
    <col min="13571" max="13571" width="6.77734375" style="32" customWidth="1"/>
    <col min="13572" max="13572" width="12.77734375" style="32" bestFit="1" customWidth="1"/>
    <col min="13573" max="13573" width="12.33203125" style="32" bestFit="1" customWidth="1"/>
    <col min="13574" max="13574" width="8.77734375" style="32" bestFit="1" customWidth="1"/>
    <col min="13575" max="13575" width="15.21875" style="32" bestFit="1" customWidth="1"/>
    <col min="13576" max="13576" width="13.44140625" style="32" customWidth="1"/>
    <col min="13577" max="13577" width="2.77734375" style="32" customWidth="1"/>
    <col min="13578" max="13578" width="12" style="32" bestFit="1" customWidth="1"/>
    <col min="13579" max="13579" width="8.109375" style="32" bestFit="1" customWidth="1"/>
    <col min="13580" max="13580" width="10.21875" style="32" customWidth="1"/>
    <col min="13581" max="13825" width="9" style="32"/>
    <col min="13826" max="13826" width="40.109375" style="32" bestFit="1" customWidth="1"/>
    <col min="13827" max="13827" width="6.77734375" style="32" customWidth="1"/>
    <col min="13828" max="13828" width="12.77734375" style="32" bestFit="1" customWidth="1"/>
    <col min="13829" max="13829" width="12.33203125" style="32" bestFit="1" customWidth="1"/>
    <col min="13830" max="13830" width="8.77734375" style="32" bestFit="1" customWidth="1"/>
    <col min="13831" max="13831" width="15.21875" style="32" bestFit="1" customWidth="1"/>
    <col min="13832" max="13832" width="13.44140625" style="32" customWidth="1"/>
    <col min="13833" max="13833" width="2.77734375" style="32" customWidth="1"/>
    <col min="13834" max="13834" width="12" style="32" bestFit="1" customWidth="1"/>
    <col min="13835" max="13835" width="8.109375" style="32" bestFit="1" customWidth="1"/>
    <col min="13836" max="13836" width="10.21875" style="32" customWidth="1"/>
    <col min="13837" max="14081" width="9" style="32"/>
    <col min="14082" max="14082" width="40.109375" style="32" bestFit="1" customWidth="1"/>
    <col min="14083" max="14083" width="6.77734375" style="32" customWidth="1"/>
    <col min="14084" max="14084" width="12.77734375" style="32" bestFit="1" customWidth="1"/>
    <col min="14085" max="14085" width="12.33203125" style="32" bestFit="1" customWidth="1"/>
    <col min="14086" max="14086" width="8.77734375" style="32" bestFit="1" customWidth="1"/>
    <col min="14087" max="14087" width="15.21875" style="32" bestFit="1" customWidth="1"/>
    <col min="14088" max="14088" width="13.44140625" style="32" customWidth="1"/>
    <col min="14089" max="14089" width="2.77734375" style="32" customWidth="1"/>
    <col min="14090" max="14090" width="12" style="32" bestFit="1" customWidth="1"/>
    <col min="14091" max="14091" width="8.109375" style="32" bestFit="1" customWidth="1"/>
    <col min="14092" max="14092" width="10.21875" style="32" customWidth="1"/>
    <col min="14093" max="14337" width="9" style="32"/>
    <col min="14338" max="14338" width="40.109375" style="32" bestFit="1" customWidth="1"/>
    <col min="14339" max="14339" width="6.77734375" style="32" customWidth="1"/>
    <col min="14340" max="14340" width="12.77734375" style="32" bestFit="1" customWidth="1"/>
    <col min="14341" max="14341" width="12.33203125" style="32" bestFit="1" customWidth="1"/>
    <col min="14342" max="14342" width="8.77734375" style="32" bestFit="1" customWidth="1"/>
    <col min="14343" max="14343" width="15.21875" style="32" bestFit="1" customWidth="1"/>
    <col min="14344" max="14344" width="13.44140625" style="32" customWidth="1"/>
    <col min="14345" max="14345" width="2.77734375" style="32" customWidth="1"/>
    <col min="14346" max="14346" width="12" style="32" bestFit="1" customWidth="1"/>
    <col min="14347" max="14347" width="8.109375" style="32" bestFit="1" customWidth="1"/>
    <col min="14348" max="14348" width="10.21875" style="32" customWidth="1"/>
    <col min="14349" max="14593" width="9" style="32"/>
    <col min="14594" max="14594" width="40.109375" style="32" bestFit="1" customWidth="1"/>
    <col min="14595" max="14595" width="6.77734375" style="32" customWidth="1"/>
    <col min="14596" max="14596" width="12.77734375" style="32" bestFit="1" customWidth="1"/>
    <col min="14597" max="14597" width="12.33203125" style="32" bestFit="1" customWidth="1"/>
    <col min="14598" max="14598" width="8.77734375" style="32" bestFit="1" customWidth="1"/>
    <col min="14599" max="14599" width="15.21875" style="32" bestFit="1" customWidth="1"/>
    <col min="14600" max="14600" width="13.44140625" style="32" customWidth="1"/>
    <col min="14601" max="14601" width="2.77734375" style="32" customWidth="1"/>
    <col min="14602" max="14602" width="12" style="32" bestFit="1" customWidth="1"/>
    <col min="14603" max="14603" width="8.109375" style="32" bestFit="1" customWidth="1"/>
    <col min="14604" max="14604" width="10.21875" style="32" customWidth="1"/>
    <col min="14605" max="14849" width="9" style="32"/>
    <col min="14850" max="14850" width="40.109375" style="32" bestFit="1" customWidth="1"/>
    <col min="14851" max="14851" width="6.77734375" style="32" customWidth="1"/>
    <col min="14852" max="14852" width="12.77734375" style="32" bestFit="1" customWidth="1"/>
    <col min="14853" max="14853" width="12.33203125" style="32" bestFit="1" customWidth="1"/>
    <col min="14854" max="14854" width="8.77734375" style="32" bestFit="1" customWidth="1"/>
    <col min="14855" max="14855" width="15.21875" style="32" bestFit="1" customWidth="1"/>
    <col min="14856" max="14856" width="13.44140625" style="32" customWidth="1"/>
    <col min="14857" max="14857" width="2.77734375" style="32" customWidth="1"/>
    <col min="14858" max="14858" width="12" style="32" bestFit="1" customWidth="1"/>
    <col min="14859" max="14859" width="8.109375" style="32" bestFit="1" customWidth="1"/>
    <col min="14860" max="14860" width="10.21875" style="32" customWidth="1"/>
    <col min="14861" max="15105" width="9" style="32"/>
    <col min="15106" max="15106" width="40.109375" style="32" bestFit="1" customWidth="1"/>
    <col min="15107" max="15107" width="6.77734375" style="32" customWidth="1"/>
    <col min="15108" max="15108" width="12.77734375" style="32" bestFit="1" customWidth="1"/>
    <col min="15109" max="15109" width="12.33203125" style="32" bestFit="1" customWidth="1"/>
    <col min="15110" max="15110" width="8.77734375" style="32" bestFit="1" customWidth="1"/>
    <col min="15111" max="15111" width="15.21875" style="32" bestFit="1" customWidth="1"/>
    <col min="15112" max="15112" width="13.44140625" style="32" customWidth="1"/>
    <col min="15113" max="15113" width="2.77734375" style="32" customWidth="1"/>
    <col min="15114" max="15114" width="12" style="32" bestFit="1" customWidth="1"/>
    <col min="15115" max="15115" width="8.109375" style="32" bestFit="1" customWidth="1"/>
    <col min="15116" max="15116" width="10.21875" style="32" customWidth="1"/>
    <col min="15117" max="15361" width="9" style="32"/>
    <col min="15362" max="15362" width="40.109375" style="32" bestFit="1" customWidth="1"/>
    <col min="15363" max="15363" width="6.77734375" style="32" customWidth="1"/>
    <col min="15364" max="15364" width="12.77734375" style="32" bestFit="1" customWidth="1"/>
    <col min="15365" max="15365" width="12.33203125" style="32" bestFit="1" customWidth="1"/>
    <col min="15366" max="15366" width="8.77734375" style="32" bestFit="1" customWidth="1"/>
    <col min="15367" max="15367" width="15.21875" style="32" bestFit="1" customWidth="1"/>
    <col min="15368" max="15368" width="13.44140625" style="32" customWidth="1"/>
    <col min="15369" max="15369" width="2.77734375" style="32" customWidth="1"/>
    <col min="15370" max="15370" width="12" style="32" bestFit="1" customWidth="1"/>
    <col min="15371" max="15371" width="8.109375" style="32" bestFit="1" customWidth="1"/>
    <col min="15372" max="15372" width="10.21875" style="32" customWidth="1"/>
    <col min="15373" max="15617" width="9" style="32"/>
    <col min="15618" max="15618" width="40.109375" style="32" bestFit="1" customWidth="1"/>
    <col min="15619" max="15619" width="6.77734375" style="32" customWidth="1"/>
    <col min="15620" max="15620" width="12.77734375" style="32" bestFit="1" customWidth="1"/>
    <col min="15621" max="15621" width="12.33203125" style="32" bestFit="1" customWidth="1"/>
    <col min="15622" max="15622" width="8.77734375" style="32" bestFit="1" customWidth="1"/>
    <col min="15623" max="15623" width="15.21875" style="32" bestFit="1" customWidth="1"/>
    <col min="15624" max="15624" width="13.44140625" style="32" customWidth="1"/>
    <col min="15625" max="15625" width="2.77734375" style="32" customWidth="1"/>
    <col min="15626" max="15626" width="12" style="32" bestFit="1" customWidth="1"/>
    <col min="15627" max="15627" width="8.109375" style="32" bestFit="1" customWidth="1"/>
    <col min="15628" max="15628" width="10.21875" style="32" customWidth="1"/>
    <col min="15629" max="15873" width="9" style="32"/>
    <col min="15874" max="15874" width="40.109375" style="32" bestFit="1" customWidth="1"/>
    <col min="15875" max="15875" width="6.77734375" style="32" customWidth="1"/>
    <col min="15876" max="15876" width="12.77734375" style="32" bestFit="1" customWidth="1"/>
    <col min="15877" max="15877" width="12.33203125" style="32" bestFit="1" customWidth="1"/>
    <col min="15878" max="15878" width="8.77734375" style="32" bestFit="1" customWidth="1"/>
    <col min="15879" max="15879" width="15.21875" style="32" bestFit="1" customWidth="1"/>
    <col min="15880" max="15880" width="13.44140625" style="32" customWidth="1"/>
    <col min="15881" max="15881" width="2.77734375" style="32" customWidth="1"/>
    <col min="15882" max="15882" width="12" style="32" bestFit="1" customWidth="1"/>
    <col min="15883" max="15883" width="8.109375" style="32" bestFit="1" customWidth="1"/>
    <col min="15884" max="15884" width="10.21875" style="32" customWidth="1"/>
    <col min="15885" max="16129" width="9" style="32"/>
    <col min="16130" max="16130" width="40.109375" style="32" bestFit="1" customWidth="1"/>
    <col min="16131" max="16131" width="6.77734375" style="32" customWidth="1"/>
    <col min="16132" max="16132" width="12.77734375" style="32" bestFit="1" customWidth="1"/>
    <col min="16133" max="16133" width="12.33203125" style="32" bestFit="1" customWidth="1"/>
    <col min="16134" max="16134" width="8.77734375" style="32" bestFit="1" customWidth="1"/>
    <col min="16135" max="16135" width="15.21875" style="32" bestFit="1" customWidth="1"/>
    <col min="16136" max="16136" width="13.44140625" style="32" customWidth="1"/>
    <col min="16137" max="16137" width="2.77734375" style="32" customWidth="1"/>
    <col min="16138" max="16138" width="12" style="32" bestFit="1" customWidth="1"/>
    <col min="16139" max="16139" width="8.109375" style="32" bestFit="1" customWidth="1"/>
    <col min="16140" max="16140" width="10.21875" style="32" customWidth="1"/>
    <col min="16141" max="16384" width="9" style="32"/>
  </cols>
  <sheetData>
    <row r="1" spans="1:20" s="82" customFormat="1" ht="15.6">
      <c r="A1" s="13"/>
      <c r="B1" s="13" t="s">
        <v>968</v>
      </c>
      <c r="C1" s="19"/>
      <c r="D1" s="210"/>
      <c r="E1" s="19"/>
      <c r="F1" s="19"/>
      <c r="G1" s="19"/>
      <c r="H1" s="19"/>
      <c r="I1" s="19"/>
      <c r="J1" s="19"/>
      <c r="L1" s="62"/>
    </row>
    <row r="2" spans="1:20" s="25" customFormat="1" ht="17.399999999999999">
      <c r="A2" s="11"/>
      <c r="B2" s="11"/>
      <c r="C2" s="10"/>
      <c r="D2" s="211"/>
      <c r="E2" s="10"/>
      <c r="F2" s="10"/>
      <c r="G2" s="10"/>
      <c r="H2" s="10"/>
      <c r="I2" s="10"/>
      <c r="J2" s="10"/>
      <c r="K2" s="10"/>
      <c r="L2" s="24"/>
      <c r="M2" s="813"/>
    </row>
    <row r="3" spans="1:20" s="25" customFormat="1" ht="17.399999999999999">
      <c r="A3" s="229"/>
      <c r="B3" s="229" t="s">
        <v>200</v>
      </c>
      <c r="C3" s="229"/>
      <c r="D3" s="229"/>
      <c r="E3" s="229"/>
      <c r="F3" s="229"/>
      <c r="G3" s="229"/>
      <c r="H3" s="229"/>
      <c r="I3" s="229"/>
      <c r="J3" s="229"/>
      <c r="K3" s="229"/>
      <c r="L3" s="229"/>
      <c r="M3" s="229"/>
      <c r="N3" s="230"/>
      <c r="O3" s="230"/>
      <c r="P3" s="230"/>
      <c r="Q3" s="230"/>
      <c r="R3" s="230"/>
      <c r="S3" s="230"/>
      <c r="T3" s="230"/>
    </row>
    <row r="4" spans="1:20" s="25" customFormat="1" ht="17.399999999999999">
      <c r="A4" s="229"/>
      <c r="B4" s="229" t="s">
        <v>103</v>
      </c>
      <c r="C4" s="229"/>
      <c r="D4" s="229"/>
      <c r="E4" s="229"/>
      <c r="F4" s="229"/>
      <c r="G4" s="229"/>
      <c r="H4" s="229"/>
      <c r="I4" s="229"/>
      <c r="J4" s="229"/>
      <c r="K4" s="229"/>
      <c r="L4" s="229"/>
      <c r="M4" s="229"/>
      <c r="N4" s="230"/>
      <c r="O4" s="230"/>
      <c r="P4" s="230"/>
      <c r="Q4" s="230"/>
      <c r="R4" s="230"/>
      <c r="S4" s="230"/>
      <c r="T4" s="230"/>
    </row>
    <row r="5" spans="1:20" s="25" customFormat="1" ht="17.399999999999999">
      <c r="A5" s="229"/>
      <c r="B5" s="229" t="str">
        <f>SUMMARY!A7</f>
        <v>YEAR ENDING DECEMBER 31, 2021</v>
      </c>
      <c r="C5" s="229"/>
      <c r="D5" s="229"/>
      <c r="E5" s="229"/>
      <c r="F5" s="1312"/>
      <c r="G5" s="1312"/>
      <c r="H5" s="1312"/>
      <c r="I5" s="1312"/>
      <c r="J5" s="1312"/>
      <c r="K5" s="1312"/>
      <c r="L5" s="1312"/>
      <c r="M5" s="229"/>
      <c r="N5" s="230"/>
      <c r="O5" s="230"/>
      <c r="P5" s="230"/>
      <c r="Q5" s="230"/>
      <c r="R5" s="230"/>
      <c r="S5" s="230"/>
      <c r="T5" s="230"/>
    </row>
    <row r="6" spans="1:20" s="25" customFormat="1" ht="12" customHeight="1">
      <c r="A6" s="229"/>
      <c r="B6" s="229"/>
      <c r="C6" s="231"/>
      <c r="D6" s="232"/>
      <c r="E6" s="231"/>
      <c r="F6" s="231"/>
      <c r="G6" s="231"/>
      <c r="H6" s="231"/>
      <c r="I6" s="231"/>
      <c r="J6" s="231"/>
      <c r="K6" s="231"/>
      <c r="L6" s="231"/>
      <c r="M6" s="231"/>
      <c r="N6" s="230"/>
      <c r="O6" s="230"/>
      <c r="P6" s="230"/>
      <c r="Q6" s="230"/>
      <c r="R6" s="230"/>
      <c r="S6" s="230"/>
      <c r="T6" s="230"/>
    </row>
    <row r="7" spans="1:20" s="25" customFormat="1" ht="17.399999999999999">
      <c r="A7" s="229"/>
      <c r="B7" s="229" t="s">
        <v>969</v>
      </c>
      <c r="C7" s="229"/>
      <c r="D7" s="229"/>
      <c r="E7" s="229"/>
      <c r="F7" s="229"/>
      <c r="G7" s="229"/>
      <c r="H7" s="229"/>
      <c r="I7" s="229"/>
      <c r="J7" s="229"/>
      <c r="K7" s="229"/>
      <c r="L7" s="229"/>
      <c r="M7" s="229"/>
      <c r="N7" s="230"/>
      <c r="O7" s="230"/>
      <c r="P7" s="230"/>
      <c r="Q7" s="230"/>
      <c r="R7" s="230"/>
      <c r="S7" s="230"/>
      <c r="T7" s="230"/>
    </row>
    <row r="8" spans="1:20" ht="17.399999999999999">
      <c r="A8" s="229"/>
      <c r="B8" s="229" t="s">
        <v>370</v>
      </c>
      <c r="C8" s="229"/>
      <c r="D8" s="229"/>
      <c r="E8" s="229"/>
      <c r="F8" s="229"/>
      <c r="G8" s="229"/>
      <c r="H8" s="229"/>
      <c r="I8" s="229"/>
      <c r="J8" s="229"/>
      <c r="K8" s="229"/>
      <c r="L8" s="229"/>
      <c r="M8" s="229"/>
      <c r="N8" s="233"/>
      <c r="O8" s="233"/>
      <c r="P8" s="233"/>
      <c r="Q8" s="233"/>
      <c r="R8" s="233"/>
      <c r="S8" s="233"/>
      <c r="T8" s="233"/>
    </row>
    <row r="9" spans="1:20" ht="17.399999999999999">
      <c r="A9" s="813"/>
      <c r="B9" s="813"/>
      <c r="C9" s="813"/>
      <c r="D9" s="813"/>
      <c r="E9" s="813"/>
      <c r="F9" s="813"/>
      <c r="G9" s="813"/>
      <c r="H9" s="813"/>
      <c r="I9" s="813"/>
      <c r="J9" s="813"/>
      <c r="K9" s="813"/>
      <c r="L9" s="813"/>
      <c r="M9" s="813"/>
    </row>
    <row r="10" spans="1:20" s="45" customFormat="1" ht="15.6">
      <c r="A10" s="212"/>
      <c r="B10" s="212"/>
      <c r="C10" s="212"/>
      <c r="D10" s="212"/>
      <c r="E10" s="212"/>
      <c r="F10" s="2054">
        <v>2021</v>
      </c>
      <c r="G10" s="2054"/>
      <c r="H10" s="2054"/>
      <c r="I10" s="2054"/>
      <c r="J10" s="2054"/>
      <c r="K10" s="2054"/>
      <c r="L10" s="2054"/>
      <c r="N10" s="2054">
        <v>2020</v>
      </c>
      <c r="O10" s="2054"/>
      <c r="P10" s="2054"/>
      <c r="Q10" s="2054"/>
      <c r="R10" s="2054"/>
      <c r="S10" s="2054"/>
      <c r="T10" s="2054"/>
    </row>
    <row r="11" spans="1:20" s="45" customFormat="1" ht="8.25" customHeight="1">
      <c r="A11" s="212"/>
      <c r="B11" s="212"/>
      <c r="C11" s="212"/>
      <c r="D11" s="212"/>
      <c r="E11" s="212"/>
      <c r="F11" s="212"/>
      <c r="G11" s="212"/>
      <c r="H11" s="212"/>
      <c r="I11" s="212"/>
      <c r="J11" s="212"/>
      <c r="K11" s="212"/>
      <c r="L11" s="212"/>
      <c r="N11" s="212"/>
      <c r="O11" s="212"/>
      <c r="P11" s="212"/>
      <c r="Q11" s="212"/>
      <c r="R11" s="212"/>
      <c r="S11" s="212"/>
      <c r="T11" s="212"/>
    </row>
    <row r="12" spans="1:20" s="45" customFormat="1" ht="15.6">
      <c r="A12" s="212"/>
      <c r="B12" s="212"/>
      <c r="C12" s="212"/>
      <c r="D12" s="213"/>
      <c r="E12" s="212"/>
      <c r="F12" s="213" t="s">
        <v>105</v>
      </c>
      <c r="G12" s="212"/>
      <c r="H12" s="212"/>
      <c r="I12" s="212"/>
      <c r="J12" s="212"/>
      <c r="K12" s="212"/>
      <c r="L12" s="212"/>
      <c r="N12" s="213" t="s">
        <v>105</v>
      </c>
      <c r="O12" s="212"/>
      <c r="P12" s="212"/>
      <c r="Q12" s="212"/>
      <c r="R12" s="212"/>
      <c r="S12" s="212"/>
      <c r="T12" s="212"/>
    </row>
    <row r="13" spans="1:20" s="45" customFormat="1" ht="15.6">
      <c r="A13" s="212"/>
      <c r="B13" s="212"/>
      <c r="C13" s="212"/>
      <c r="D13" s="213"/>
      <c r="E13" s="212"/>
      <c r="F13" s="213" t="s">
        <v>234</v>
      </c>
      <c r="G13" s="212"/>
      <c r="H13" s="213" t="s">
        <v>150</v>
      </c>
      <c r="I13" s="212"/>
      <c r="J13" s="213" t="s">
        <v>233</v>
      </c>
      <c r="K13" s="212"/>
      <c r="L13" s="213" t="s">
        <v>68</v>
      </c>
      <c r="N13" s="213" t="s">
        <v>234</v>
      </c>
      <c r="O13" s="212"/>
      <c r="P13" s="213" t="s">
        <v>150</v>
      </c>
      <c r="Q13" s="212"/>
      <c r="R13" s="213" t="s">
        <v>233</v>
      </c>
      <c r="S13" s="212"/>
      <c r="T13" s="213" t="s">
        <v>68</v>
      </c>
    </row>
    <row r="14" spans="1:20" s="45" customFormat="1" ht="16.2" thickBot="1">
      <c r="C14" s="212"/>
      <c r="D14" s="214" t="s">
        <v>232</v>
      </c>
      <c r="E14" s="212"/>
      <c r="F14" s="215" t="s">
        <v>791</v>
      </c>
      <c r="H14" s="215" t="s">
        <v>280</v>
      </c>
      <c r="J14" s="215" t="s">
        <v>826</v>
      </c>
      <c r="L14" s="215" t="s">
        <v>793</v>
      </c>
      <c r="N14" s="215" t="s">
        <v>791</v>
      </c>
      <c r="P14" s="215" t="s">
        <v>280</v>
      </c>
      <c r="R14" s="215" t="s">
        <v>826</v>
      </c>
      <c r="T14" s="215" t="s">
        <v>793</v>
      </c>
    </row>
    <row r="15" spans="1:20" s="45" customFormat="1" ht="15.6">
      <c r="A15" s="631">
        <v>1</v>
      </c>
      <c r="B15" s="1313" t="s">
        <v>1850</v>
      </c>
      <c r="C15" s="1314"/>
      <c r="D15" s="1315"/>
      <c r="E15" s="212"/>
      <c r="F15" s="387" t="s">
        <v>192</v>
      </c>
      <c r="H15" s="387" t="s">
        <v>193</v>
      </c>
      <c r="I15" s="387"/>
      <c r="J15" s="387" t="s">
        <v>194</v>
      </c>
      <c r="K15" s="387"/>
      <c r="L15" s="387" t="s">
        <v>195</v>
      </c>
      <c r="M15" s="387"/>
      <c r="N15" s="387" t="s">
        <v>196</v>
      </c>
      <c r="O15" s="212"/>
      <c r="P15" s="387" t="s">
        <v>371</v>
      </c>
      <c r="Q15" s="212"/>
      <c r="R15" s="387" t="s">
        <v>372</v>
      </c>
      <c r="S15" s="212"/>
      <c r="T15" s="387" t="s">
        <v>900</v>
      </c>
    </row>
    <row r="16" spans="1:20" s="45" customFormat="1" ht="18" customHeight="1">
      <c r="A16" s="631" t="s">
        <v>471</v>
      </c>
      <c r="B16" s="1314" t="s">
        <v>1851</v>
      </c>
      <c r="C16" s="1314"/>
      <c r="D16" s="1316">
        <v>205300200001</v>
      </c>
      <c r="E16" s="212"/>
      <c r="F16" s="1322">
        <v>1817000</v>
      </c>
      <c r="G16" s="1322"/>
      <c r="H16" s="1322">
        <v>1708606</v>
      </c>
      <c r="I16" s="1322"/>
      <c r="J16" s="1322">
        <v>108394</v>
      </c>
      <c r="K16" s="1314"/>
      <c r="L16" s="1323">
        <v>35977</v>
      </c>
      <c r="M16" s="1324"/>
      <c r="N16" s="1322">
        <v>1817000</v>
      </c>
      <c r="O16" s="1322"/>
      <c r="P16" s="1322">
        <v>1672629</v>
      </c>
      <c r="Q16" s="1322"/>
      <c r="R16" s="1322">
        <v>144371</v>
      </c>
      <c r="S16" s="1314"/>
      <c r="T16" s="1323">
        <v>35977</v>
      </c>
    </row>
    <row r="17" spans="1:21" s="45" customFormat="1" ht="15">
      <c r="A17" s="631" t="s">
        <v>473</v>
      </c>
      <c r="B17" s="1314" t="s">
        <v>1852</v>
      </c>
      <c r="C17" s="1314"/>
      <c r="D17" s="1316">
        <v>205300200002</v>
      </c>
      <c r="E17" s="212"/>
      <c r="F17" s="847">
        <v>0</v>
      </c>
      <c r="G17" s="847"/>
      <c r="H17" s="847">
        <v>0</v>
      </c>
      <c r="I17" s="847"/>
      <c r="J17" s="847">
        <v>0</v>
      </c>
      <c r="K17" s="1314"/>
      <c r="L17" s="1323">
        <v>37831.67</v>
      </c>
      <c r="M17" s="1324"/>
      <c r="N17" s="1322">
        <v>3104288.21</v>
      </c>
      <c r="O17" s="1322"/>
      <c r="P17" s="1322">
        <v>982606.21</v>
      </c>
      <c r="Q17" s="1322"/>
      <c r="R17" s="1322">
        <v>2121682</v>
      </c>
      <c r="S17" s="1314"/>
      <c r="T17" s="1323">
        <v>65959</v>
      </c>
    </row>
    <row r="18" spans="1:21" s="45" customFormat="1" ht="15">
      <c r="A18" s="631" t="s">
        <v>494</v>
      </c>
      <c r="B18" s="1314" t="s">
        <v>1852</v>
      </c>
      <c r="C18" s="1314"/>
      <c r="D18" s="1316">
        <v>205300200003</v>
      </c>
      <c r="E18" s="212"/>
      <c r="F18" s="847">
        <v>0</v>
      </c>
      <c r="G18" s="847"/>
      <c r="H18" s="847">
        <v>0</v>
      </c>
      <c r="I18" s="847"/>
      <c r="J18" s="847">
        <v>0</v>
      </c>
      <c r="K18" s="1314"/>
      <c r="L18" s="1323">
        <v>37831.67</v>
      </c>
      <c r="M18" s="1324"/>
      <c r="N18" s="1322">
        <v>3104287.02</v>
      </c>
      <c r="O18" s="1322"/>
      <c r="P18" s="1322">
        <v>982607.02</v>
      </c>
      <c r="Q18" s="1322"/>
      <c r="R18" s="1322">
        <v>2121680</v>
      </c>
      <c r="S18" s="1314"/>
      <c r="T18" s="1323">
        <v>65959</v>
      </c>
    </row>
    <row r="19" spans="1:21" s="45" customFormat="1" ht="15">
      <c r="A19" s="631" t="s">
        <v>495</v>
      </c>
      <c r="B19" s="1314" t="s">
        <v>1852</v>
      </c>
      <c r="C19" s="1314"/>
      <c r="D19" s="1316">
        <v>205300200111</v>
      </c>
      <c r="E19" s="212"/>
      <c r="F19" s="1322">
        <v>41820217.009999998</v>
      </c>
      <c r="G19" s="1322"/>
      <c r="H19" s="1322">
        <v>1277137.01</v>
      </c>
      <c r="I19" s="1322"/>
      <c r="J19" s="1322">
        <v>40543080</v>
      </c>
      <c r="K19" s="1314"/>
      <c r="L19" s="1323">
        <v>725090</v>
      </c>
      <c r="M19" s="1324"/>
      <c r="N19" s="1322">
        <v>42015113.659999996</v>
      </c>
      <c r="O19" s="1322"/>
      <c r="P19" s="1322">
        <v>746943.66</v>
      </c>
      <c r="Q19" s="1322"/>
      <c r="R19" s="1322">
        <v>41268170</v>
      </c>
      <c r="S19" s="1314"/>
      <c r="T19" s="1323">
        <v>498958.89</v>
      </c>
    </row>
    <row r="20" spans="1:21" s="45" customFormat="1" ht="15">
      <c r="A20" s="631" t="s">
        <v>496</v>
      </c>
      <c r="B20" s="1316" t="s">
        <v>2013</v>
      </c>
      <c r="C20" s="1317"/>
      <c r="D20" s="1316"/>
      <c r="E20" s="212"/>
      <c r="F20" s="1322">
        <v>0</v>
      </c>
      <c r="G20" s="1322"/>
      <c r="H20" s="1322">
        <v>0</v>
      </c>
      <c r="I20" s="1322"/>
      <c r="J20" s="1923">
        <v>0</v>
      </c>
      <c r="K20" s="1681"/>
      <c r="L20" s="1923">
        <v>0</v>
      </c>
      <c r="M20" s="1324"/>
      <c r="N20" s="1322">
        <v>-5820000</v>
      </c>
      <c r="O20" s="1322"/>
      <c r="P20" s="1322">
        <v>-5820000</v>
      </c>
      <c r="Q20" s="1322"/>
      <c r="R20" s="1923">
        <v>0</v>
      </c>
      <c r="S20" s="1923"/>
      <c r="T20" s="1923">
        <v>0</v>
      </c>
      <c r="U20" s="1452"/>
    </row>
    <row r="21" spans="1:21" s="45" customFormat="1" ht="16.2" thickBot="1">
      <c r="A21" s="631" t="s">
        <v>541</v>
      </c>
      <c r="B21" s="1314"/>
      <c r="C21" s="1314"/>
      <c r="D21" s="1316"/>
      <c r="E21" s="212"/>
      <c r="F21" s="1427">
        <f>SUM(F16:F20)</f>
        <v>43637217.009999998</v>
      </c>
      <c r="G21" s="220"/>
      <c r="H21" s="1427">
        <f>SUM(H16:H20)</f>
        <v>2985743.01</v>
      </c>
      <c r="I21" s="221"/>
      <c r="J21" s="1427">
        <f>SUM(J16:J20)</f>
        <v>40651474</v>
      </c>
      <c r="K21" s="220"/>
      <c r="L21" s="1427">
        <f>SUM(L16:L20)</f>
        <v>836730.34</v>
      </c>
      <c r="M21" s="222"/>
      <c r="N21" s="1427">
        <f>SUM(N16:N20)</f>
        <v>44220688.890000001</v>
      </c>
      <c r="O21" s="220"/>
      <c r="P21" s="1427">
        <f>SUM(P16:P20)</f>
        <v>-1435214.1100000003</v>
      </c>
      <c r="Q21" s="221"/>
      <c r="R21" s="1427">
        <f>SUM(R16:R20)</f>
        <v>45655903</v>
      </c>
      <c r="S21" s="220"/>
      <c r="T21" s="1427">
        <f>SUM(T16:T20)</f>
        <v>666853.89</v>
      </c>
    </row>
    <row r="22" spans="1:21" s="45" customFormat="1" ht="15.6">
      <c r="A22" s="631"/>
      <c r="B22" s="1314"/>
      <c r="C22" s="1314"/>
      <c r="D22" s="1316"/>
      <c r="E22" s="212"/>
      <c r="F22" s="223"/>
      <c r="G22" s="217"/>
      <c r="H22" s="223"/>
      <c r="I22" s="224"/>
      <c r="J22" s="223"/>
      <c r="K22" s="212"/>
      <c r="L22" s="223"/>
      <c r="N22" s="223"/>
      <c r="O22" s="217"/>
      <c r="P22" s="223"/>
      <c r="Q22" s="224"/>
      <c r="R22" s="223"/>
      <c r="S22" s="212"/>
      <c r="T22" s="223"/>
    </row>
    <row r="23" spans="1:21" s="45" customFormat="1" ht="15.6">
      <c r="A23" s="631">
        <v>2</v>
      </c>
      <c r="B23" s="1313" t="s">
        <v>1854</v>
      </c>
      <c r="C23" s="1314"/>
      <c r="D23" s="1316"/>
      <c r="E23" s="212"/>
      <c r="F23" s="217"/>
      <c r="G23" s="217"/>
      <c r="H23" s="217"/>
      <c r="I23" s="217"/>
      <c r="J23" s="217"/>
      <c r="K23" s="212"/>
      <c r="L23" s="218"/>
      <c r="N23" s="217"/>
      <c r="O23" s="217"/>
      <c r="P23" s="217"/>
      <c r="Q23" s="217"/>
      <c r="R23" s="217"/>
      <c r="S23" s="212"/>
      <c r="T23" s="218"/>
    </row>
    <row r="24" spans="1:21" s="45" customFormat="1" ht="15.6">
      <c r="A24" s="631" t="s">
        <v>1265</v>
      </c>
      <c r="B24" s="1314" t="s">
        <v>1855</v>
      </c>
      <c r="C24" s="1313"/>
      <c r="D24" s="1316">
        <v>205300300001</v>
      </c>
      <c r="E24" s="216"/>
      <c r="F24" s="1322">
        <v>9775817</v>
      </c>
      <c r="G24" s="1322"/>
      <c r="H24" s="1322">
        <v>9432957</v>
      </c>
      <c r="I24" s="1322"/>
      <c r="J24" s="1322">
        <v>342860</v>
      </c>
      <c r="K24" s="1314"/>
      <c r="L24" s="1323">
        <v>180061</v>
      </c>
      <c r="M24" s="1324"/>
      <c r="N24" s="1322">
        <v>9775817</v>
      </c>
      <c r="O24" s="1322"/>
      <c r="P24" s="1322">
        <v>9252896</v>
      </c>
      <c r="Q24" s="1322"/>
      <c r="R24" s="1322">
        <v>522921</v>
      </c>
      <c r="S24" s="1314"/>
      <c r="T24" s="1323">
        <v>180061</v>
      </c>
    </row>
    <row r="25" spans="1:21" s="45" customFormat="1" ht="15">
      <c r="A25" s="631" t="s">
        <v>1266</v>
      </c>
      <c r="B25" s="1314" t="s">
        <v>1856</v>
      </c>
      <c r="C25" s="1314"/>
      <c r="D25" s="1316">
        <v>205300300002</v>
      </c>
      <c r="E25" s="212"/>
      <c r="F25" s="1322">
        <v>2154273.4300000002</v>
      </c>
      <c r="G25" s="1322"/>
      <c r="H25" s="1322">
        <v>996586.43</v>
      </c>
      <c r="I25" s="1322"/>
      <c r="J25" s="1322">
        <v>1157687</v>
      </c>
      <c r="K25" s="1417"/>
      <c r="L25" s="1323">
        <v>47904</v>
      </c>
      <c r="M25" s="1324"/>
      <c r="N25" s="1322">
        <v>2154273.4300000002</v>
      </c>
      <c r="O25" s="1322"/>
      <c r="P25" s="1322">
        <v>948682.43000000017</v>
      </c>
      <c r="Q25" s="1322"/>
      <c r="R25" s="1322">
        <v>1205591</v>
      </c>
      <c r="S25" s="1314"/>
      <c r="T25" s="1323">
        <v>47904</v>
      </c>
    </row>
    <row r="26" spans="1:21" s="45" customFormat="1" ht="15">
      <c r="A26" s="631" t="s">
        <v>1267</v>
      </c>
      <c r="B26" s="1314" t="s">
        <v>1857</v>
      </c>
      <c r="C26" s="1314"/>
      <c r="D26" s="1316">
        <v>205300300025</v>
      </c>
      <c r="E26" s="212"/>
      <c r="F26" s="1322">
        <v>2021592</v>
      </c>
      <c r="G26" s="1322"/>
      <c r="H26" s="1322">
        <v>379214</v>
      </c>
      <c r="I26" s="1322"/>
      <c r="J26" s="1322">
        <v>1642378</v>
      </c>
      <c r="K26" s="1417"/>
      <c r="L26" s="1323">
        <v>67960</v>
      </c>
      <c r="M26" s="1324"/>
      <c r="N26" s="1322">
        <v>2021592</v>
      </c>
      <c r="O26" s="1322"/>
      <c r="P26" s="1322">
        <v>311254</v>
      </c>
      <c r="Q26" s="1322"/>
      <c r="R26" s="1322">
        <v>1710338</v>
      </c>
      <c r="S26" s="1314"/>
      <c r="T26" s="1323">
        <v>67960</v>
      </c>
    </row>
    <row r="27" spans="1:21" s="45" customFormat="1" ht="15">
      <c r="A27" s="631" t="s">
        <v>1268</v>
      </c>
      <c r="B27" s="1314" t="s">
        <v>1858</v>
      </c>
      <c r="C27" s="1314"/>
      <c r="D27" s="1316">
        <v>205300300004</v>
      </c>
      <c r="E27" s="212"/>
      <c r="F27" s="1322">
        <v>2849131.2500000005</v>
      </c>
      <c r="G27" s="1322"/>
      <c r="H27" s="1322">
        <v>1399499.25</v>
      </c>
      <c r="I27" s="1322"/>
      <c r="J27" s="1322">
        <v>1449632.0000000005</v>
      </c>
      <c r="K27" s="1417"/>
      <c r="L27" s="1323">
        <v>59985</v>
      </c>
      <c r="M27" s="1324"/>
      <c r="N27" s="1322">
        <v>2849131.2500000005</v>
      </c>
      <c r="O27" s="1322"/>
      <c r="P27" s="1322">
        <v>1339514.25</v>
      </c>
      <c r="Q27" s="1322"/>
      <c r="R27" s="1322">
        <v>1509617.0000000005</v>
      </c>
      <c r="S27" s="1314"/>
      <c r="T27" s="1323">
        <v>59985</v>
      </c>
    </row>
    <row r="28" spans="1:21" s="45" customFormat="1" ht="15">
      <c r="A28" s="631" t="s">
        <v>1269</v>
      </c>
      <c r="B28" s="1314" t="s">
        <v>1859</v>
      </c>
      <c r="C28" s="1314"/>
      <c r="D28" s="1316">
        <v>205300300005</v>
      </c>
      <c r="E28" s="212"/>
      <c r="F28" s="1322">
        <v>2134025.1</v>
      </c>
      <c r="G28" s="1322"/>
      <c r="H28" s="1322">
        <v>865566.1</v>
      </c>
      <c r="I28" s="1322"/>
      <c r="J28" s="1322">
        <v>1268459</v>
      </c>
      <c r="K28" s="1417"/>
      <c r="L28" s="1323">
        <v>52488</v>
      </c>
      <c r="M28" s="1324"/>
      <c r="N28" s="1322">
        <v>2134025.1</v>
      </c>
      <c r="O28" s="1322"/>
      <c r="P28" s="1322">
        <v>813078.10000000009</v>
      </c>
      <c r="Q28" s="1322"/>
      <c r="R28" s="1322">
        <v>1320947</v>
      </c>
      <c r="S28" s="1314"/>
      <c r="T28" s="1323">
        <v>52488</v>
      </c>
    </row>
    <row r="29" spans="1:21" s="45" customFormat="1" ht="15">
      <c r="A29" s="631" t="s">
        <v>1270</v>
      </c>
      <c r="B29" s="1314" t="s">
        <v>1860</v>
      </c>
      <c r="C29" s="1314"/>
      <c r="D29" s="1316">
        <v>205300300007</v>
      </c>
      <c r="E29" s="212"/>
      <c r="F29" s="1322">
        <v>2021860.69</v>
      </c>
      <c r="G29" s="1322"/>
      <c r="H29" s="1322">
        <v>835007.69</v>
      </c>
      <c r="I29" s="1322"/>
      <c r="J29" s="1322">
        <v>1186853</v>
      </c>
      <c r="K29" s="1417"/>
      <c r="L29" s="1323">
        <v>51231</v>
      </c>
      <c r="M29" s="1324"/>
      <c r="N29" s="1322">
        <v>2021860.69</v>
      </c>
      <c r="O29" s="1322"/>
      <c r="P29" s="1322">
        <v>732545.69</v>
      </c>
      <c r="Q29" s="1322"/>
      <c r="R29" s="1322">
        <v>1289315</v>
      </c>
      <c r="S29" s="1314"/>
      <c r="T29" s="1323">
        <v>51231</v>
      </c>
    </row>
    <row r="30" spans="1:21" s="45" customFormat="1" ht="15">
      <c r="A30" s="631" t="s">
        <v>1271</v>
      </c>
      <c r="B30" s="1314" t="s">
        <v>1861</v>
      </c>
      <c r="C30" s="1314"/>
      <c r="D30" s="1316">
        <v>205300300008</v>
      </c>
      <c r="E30" s="212"/>
      <c r="F30" s="1322">
        <v>2103658.9500000002</v>
      </c>
      <c r="G30" s="1322"/>
      <c r="H30" s="1322">
        <v>784267.95</v>
      </c>
      <c r="I30" s="1322"/>
      <c r="J30" s="1322">
        <v>1319391.0000000002</v>
      </c>
      <c r="K30" s="1417"/>
      <c r="L30" s="1323">
        <v>54596</v>
      </c>
      <c r="M30" s="1324"/>
      <c r="N30" s="1322">
        <v>2103658.9500000002</v>
      </c>
      <c r="O30" s="1322"/>
      <c r="P30" s="1322">
        <v>729671.95</v>
      </c>
      <c r="Q30" s="1322"/>
      <c r="R30" s="1322">
        <v>1373987.0000000002</v>
      </c>
      <c r="S30" s="1314"/>
      <c r="T30" s="1323">
        <v>54595</v>
      </c>
    </row>
    <row r="31" spans="1:21" s="45" customFormat="1" ht="15">
      <c r="A31" s="631" t="s">
        <v>1272</v>
      </c>
      <c r="B31" s="1314" t="s">
        <v>1862</v>
      </c>
      <c r="C31" s="1314"/>
      <c r="D31" s="1316">
        <v>205300300009</v>
      </c>
      <c r="E31" s="212"/>
      <c r="F31" s="1322">
        <v>2653521.7399999998</v>
      </c>
      <c r="G31" s="1322"/>
      <c r="H31" s="1322">
        <v>944490.74</v>
      </c>
      <c r="I31" s="1322"/>
      <c r="J31" s="1322">
        <v>1709030.9999999998</v>
      </c>
      <c r="K31" s="1417"/>
      <c r="L31" s="1323">
        <v>70718</v>
      </c>
      <c r="M31" s="1324"/>
      <c r="N31" s="1322">
        <v>2653521.7399999998</v>
      </c>
      <c r="O31" s="1322"/>
      <c r="P31" s="1322">
        <v>873772.74</v>
      </c>
      <c r="Q31" s="1322"/>
      <c r="R31" s="1322">
        <v>1779748.9999999998</v>
      </c>
      <c r="S31" s="1314"/>
      <c r="T31" s="1323">
        <v>70718</v>
      </c>
    </row>
    <row r="32" spans="1:21" s="45" customFormat="1" ht="15">
      <c r="A32" s="631" t="s">
        <v>541</v>
      </c>
      <c r="B32" s="1318"/>
      <c r="C32" s="1317"/>
      <c r="D32" s="1319"/>
      <c r="E32" s="212"/>
      <c r="F32" s="1325"/>
      <c r="G32" s="1322"/>
      <c r="H32" s="1325"/>
      <c r="I32" s="1322"/>
      <c r="J32" s="1325"/>
      <c r="K32" s="1417"/>
      <c r="L32" s="1325"/>
      <c r="M32" s="1324"/>
      <c r="N32" s="1922"/>
      <c r="O32" s="1322"/>
      <c r="P32" s="1922"/>
      <c r="Q32" s="1322"/>
      <c r="R32" s="1922"/>
      <c r="S32" s="1314"/>
      <c r="T32" s="1922"/>
    </row>
    <row r="33" spans="1:21" s="45" customFormat="1" ht="16.2" thickBot="1">
      <c r="A33" s="631"/>
      <c r="B33" s="1314"/>
      <c r="C33" s="1314"/>
      <c r="D33" s="1320"/>
      <c r="E33" s="212"/>
      <c r="F33" s="219">
        <f>SUM(F24:F32)</f>
        <v>25713880.16</v>
      </c>
      <c r="G33" s="221"/>
      <c r="H33" s="219">
        <f>SUM(H24:H32)</f>
        <v>15637589.159999998</v>
      </c>
      <c r="I33" s="575"/>
      <c r="J33" s="219">
        <f>SUM(J24:J32)</f>
        <v>10076291</v>
      </c>
      <c r="K33" s="1418"/>
      <c r="L33" s="219">
        <f>SUM(L24:L32)</f>
        <v>584943</v>
      </c>
      <c r="M33" s="222"/>
      <c r="N33" s="219">
        <f>SUM(N24:N32)</f>
        <v>25713880.16</v>
      </c>
      <c r="O33" s="575"/>
      <c r="P33" s="219">
        <f>SUM(P24:P32)</f>
        <v>15001415.159999998</v>
      </c>
      <c r="Q33" s="575"/>
      <c r="R33" s="219">
        <f>SUM(R24:R32)</f>
        <v>10712465</v>
      </c>
      <c r="S33" s="220"/>
      <c r="T33" s="219">
        <f>SUM(T24:T32)</f>
        <v>584942</v>
      </c>
    </row>
    <row r="34" spans="1:21" s="45" customFormat="1" ht="15">
      <c r="A34" s="631"/>
      <c r="B34" s="1314"/>
      <c r="C34" s="1314"/>
      <c r="D34" s="1320"/>
      <c r="E34" s="212"/>
      <c r="F34" s="217"/>
      <c r="G34" s="217"/>
      <c r="H34" s="217"/>
      <c r="I34" s="1420"/>
      <c r="J34" s="217"/>
      <c r="K34" s="1419"/>
      <c r="L34" s="218"/>
      <c r="N34" s="217"/>
      <c r="O34" s="1420"/>
      <c r="P34" s="217"/>
      <c r="Q34" s="1420"/>
      <c r="R34" s="217"/>
      <c r="S34" s="1419"/>
      <c r="T34" s="218"/>
    </row>
    <row r="35" spans="1:21" s="45" customFormat="1" ht="15.6">
      <c r="A35" s="631" t="s">
        <v>1276</v>
      </c>
      <c r="B35" s="1313" t="s">
        <v>65</v>
      </c>
      <c r="C35" s="1314"/>
      <c r="D35" s="1316">
        <v>205300400001</v>
      </c>
      <c r="E35" s="212"/>
      <c r="F35" s="1322">
        <v>3993000</v>
      </c>
      <c r="G35" s="1322"/>
      <c r="H35" s="1322">
        <v>3993000</v>
      </c>
      <c r="I35" s="1421"/>
      <c r="J35" s="1326">
        <v>0</v>
      </c>
      <c r="K35" s="1417"/>
      <c r="L35" s="1323">
        <v>0</v>
      </c>
      <c r="M35" s="1324"/>
      <c r="N35" s="1322">
        <v>3993000</v>
      </c>
      <c r="O35" s="1422"/>
      <c r="P35" s="1322">
        <v>3993000</v>
      </c>
      <c r="Q35" s="1421"/>
      <c r="R35" s="1326">
        <v>0</v>
      </c>
      <c r="S35" s="1417"/>
      <c r="T35" s="1323">
        <v>0</v>
      </c>
    </row>
    <row r="36" spans="1:21" s="45" customFormat="1" ht="15">
      <c r="A36" s="631" t="s">
        <v>541</v>
      </c>
      <c r="B36" s="1318"/>
      <c r="C36" s="1317"/>
      <c r="D36" s="1319"/>
      <c r="E36" s="212"/>
      <c r="F36" s="1325"/>
      <c r="G36" s="1322"/>
      <c r="H36" s="1325"/>
      <c r="I36" s="1421"/>
      <c r="J36" s="1325"/>
      <c r="K36" s="1417"/>
      <c r="L36" s="1325"/>
      <c r="M36" s="1324"/>
      <c r="N36" s="1325"/>
      <c r="O36" s="1422"/>
      <c r="P36" s="1325"/>
      <c r="Q36" s="1421"/>
      <c r="R36" s="1325"/>
      <c r="S36" s="1417"/>
      <c r="T36" s="1325"/>
    </row>
    <row r="37" spans="1:21" s="45" customFormat="1" ht="16.2" thickBot="1">
      <c r="A37" s="631"/>
      <c r="B37" s="1313"/>
      <c r="C37" s="1314"/>
      <c r="D37" s="1321"/>
      <c r="E37" s="212"/>
      <c r="F37" s="219">
        <f>SUM(F35:F36)</f>
        <v>3993000</v>
      </c>
      <c r="G37" s="221"/>
      <c r="H37" s="219">
        <f t="shared" ref="H37:T37" si="0">SUM(H35:H36)</f>
        <v>3993000</v>
      </c>
      <c r="I37" s="575">
        <f t="shared" si="0"/>
        <v>0</v>
      </c>
      <c r="J37" s="219">
        <f t="shared" si="0"/>
        <v>0</v>
      </c>
      <c r="K37" s="575"/>
      <c r="L37" s="219">
        <f t="shared" si="0"/>
        <v>0</v>
      </c>
      <c r="M37" s="222"/>
      <c r="N37" s="219">
        <f t="shared" si="0"/>
        <v>3993000</v>
      </c>
      <c r="O37" s="575">
        <f t="shared" si="0"/>
        <v>0</v>
      </c>
      <c r="P37" s="219">
        <f t="shared" si="0"/>
        <v>3993000</v>
      </c>
      <c r="Q37" s="575">
        <f t="shared" si="0"/>
        <v>0</v>
      </c>
      <c r="R37" s="219">
        <f t="shared" si="0"/>
        <v>0</v>
      </c>
      <c r="S37" s="575">
        <f t="shared" si="0"/>
        <v>0</v>
      </c>
      <c r="T37" s="219">
        <f t="shared" si="0"/>
        <v>0</v>
      </c>
    </row>
    <row r="38" spans="1:21" s="45" customFormat="1" ht="15.6">
      <c r="A38" s="631"/>
      <c r="B38" s="1314"/>
      <c r="C38" s="1314"/>
      <c r="D38" s="1320"/>
      <c r="E38" s="212"/>
      <c r="F38" s="217"/>
      <c r="G38" s="217"/>
      <c r="H38" s="225"/>
      <c r="I38" s="1420"/>
      <c r="J38" s="217"/>
      <c r="K38" s="1419"/>
      <c r="L38" s="218"/>
      <c r="N38" s="217"/>
      <c r="O38" s="1420"/>
      <c r="P38" s="225"/>
      <c r="Q38" s="1420"/>
      <c r="R38" s="217"/>
      <c r="S38" s="1419"/>
      <c r="T38" s="218"/>
    </row>
    <row r="39" spans="1:21" s="45" customFormat="1" ht="15.6">
      <c r="A39" s="631" t="s">
        <v>1566</v>
      </c>
      <c r="B39" s="1313" t="s">
        <v>1863</v>
      </c>
      <c r="C39" s="1314"/>
      <c r="D39" s="1316">
        <v>205400500001</v>
      </c>
      <c r="E39" s="212"/>
      <c r="F39" s="1322">
        <v>2227045</v>
      </c>
      <c r="G39" s="1322"/>
      <c r="H39" s="1322">
        <v>2227045</v>
      </c>
      <c r="I39" s="1421"/>
      <c r="J39" s="1326">
        <v>0</v>
      </c>
      <c r="K39" s="1417"/>
      <c r="L39" s="1323">
        <v>0</v>
      </c>
      <c r="M39" s="1324"/>
      <c r="N39" s="1322">
        <v>2227045</v>
      </c>
      <c r="O39" s="1422"/>
      <c r="P39" s="1322">
        <v>2227045</v>
      </c>
      <c r="Q39" s="1421"/>
      <c r="R39" s="1326">
        <v>0</v>
      </c>
      <c r="S39" s="1417"/>
      <c r="T39" s="1323">
        <v>0</v>
      </c>
    </row>
    <row r="40" spans="1:21" s="45" customFormat="1" ht="15">
      <c r="A40" s="631" t="s">
        <v>541</v>
      </c>
      <c r="B40" s="1318"/>
      <c r="C40" s="1317"/>
      <c r="D40" s="1319"/>
      <c r="E40" s="212"/>
      <c r="F40" s="1325"/>
      <c r="G40" s="1322"/>
      <c r="H40" s="1325"/>
      <c r="I40" s="1421"/>
      <c r="J40" s="1325"/>
      <c r="K40" s="1417"/>
      <c r="L40" s="1325"/>
      <c r="M40" s="1324"/>
      <c r="N40" s="1325"/>
      <c r="O40" s="1422"/>
      <c r="P40" s="1325"/>
      <c r="Q40" s="1421"/>
      <c r="R40" s="1325"/>
      <c r="S40" s="1417"/>
      <c r="T40" s="1325"/>
    </row>
    <row r="41" spans="1:21" s="45" customFormat="1" ht="16.2" thickBot="1">
      <c r="A41" s="631"/>
      <c r="B41" s="1313"/>
      <c r="C41" s="1314"/>
      <c r="D41" s="1321"/>
      <c r="E41" s="212"/>
      <c r="F41" s="219">
        <f>SUM(F39:F40)</f>
        <v>2227045</v>
      </c>
      <c r="G41" s="221"/>
      <c r="H41" s="219">
        <f>SUM(H39:H40)</f>
        <v>2227045</v>
      </c>
      <c r="I41" s="575"/>
      <c r="J41" s="219">
        <f>SUM(J39:J40)</f>
        <v>0</v>
      </c>
      <c r="K41" s="575"/>
      <c r="L41" s="219">
        <f>SUM(L39:L40)</f>
        <v>0</v>
      </c>
      <c r="M41" s="222"/>
      <c r="N41" s="219">
        <f>SUM(N39:N40)</f>
        <v>2227045</v>
      </c>
      <c r="O41" s="575"/>
      <c r="P41" s="219">
        <f>SUM(P39:P40)</f>
        <v>2227045</v>
      </c>
      <c r="Q41" s="575"/>
      <c r="R41" s="219">
        <f>SUM(R39:R40)</f>
        <v>0</v>
      </c>
      <c r="S41" s="575"/>
      <c r="T41" s="219">
        <f>SUM(T39:T40)</f>
        <v>0</v>
      </c>
    </row>
    <row r="42" spans="1:21" s="45" customFormat="1" ht="15">
      <c r="A42" s="631"/>
      <c r="B42" s="1314"/>
      <c r="C42" s="1314"/>
      <c r="D42" s="1314"/>
      <c r="E42" s="212"/>
      <c r="F42" s="212"/>
      <c r="G42" s="212"/>
      <c r="H42" s="212"/>
      <c r="I42" s="1419"/>
      <c r="J42" s="212"/>
      <c r="K42" s="1419"/>
      <c r="L42" s="212"/>
      <c r="N42" s="212"/>
      <c r="O42" s="1419"/>
      <c r="P42" s="212"/>
      <c r="Q42" s="1419"/>
      <c r="R42" s="212"/>
      <c r="S42" s="1419"/>
      <c r="T42" s="212"/>
    </row>
    <row r="43" spans="1:21" s="45" customFormat="1" ht="15.6">
      <c r="A43" s="631">
        <v>5</v>
      </c>
      <c r="B43" s="1313" t="s">
        <v>1864</v>
      </c>
      <c r="C43" s="1314"/>
      <c r="D43" s="1314"/>
      <c r="E43" s="212"/>
      <c r="F43" s="212"/>
      <c r="G43" s="212"/>
      <c r="H43" s="212"/>
      <c r="I43" s="1419"/>
      <c r="J43" s="212"/>
      <c r="K43" s="1419"/>
      <c r="L43" s="212"/>
      <c r="N43" s="212"/>
      <c r="O43" s="1419"/>
      <c r="P43" s="212"/>
      <c r="Q43" s="1419"/>
      <c r="R43" s="212"/>
      <c r="S43" s="1419"/>
      <c r="T43" s="212"/>
    </row>
    <row r="44" spans="1:21" s="45" customFormat="1" ht="15">
      <c r="A44" s="631" t="s">
        <v>1273</v>
      </c>
      <c r="B44" s="1314" t="s">
        <v>1865</v>
      </c>
      <c r="C44" s="1314"/>
      <c r="D44" s="1316">
        <v>205303000001</v>
      </c>
      <c r="E44" s="212"/>
      <c r="F44" s="1322">
        <v>2727277</v>
      </c>
      <c r="G44" s="1322"/>
      <c r="H44" s="1322">
        <v>1454560</v>
      </c>
      <c r="I44" s="1322"/>
      <c r="J44" s="1322">
        <v>1272717</v>
      </c>
      <c r="K44" s="1314"/>
      <c r="L44" s="1323"/>
      <c r="M44" s="1324"/>
      <c r="N44" s="1322">
        <v>2727277</v>
      </c>
      <c r="O44" s="1322"/>
      <c r="P44" s="1322">
        <v>1363650</v>
      </c>
      <c r="Q44" s="1322"/>
      <c r="R44" s="1322">
        <v>1363627</v>
      </c>
      <c r="S44" s="1417"/>
      <c r="T44" s="1317"/>
    </row>
    <row r="45" spans="1:21" s="45" customFormat="1" ht="15">
      <c r="A45" s="631" t="s">
        <v>1274</v>
      </c>
      <c r="B45" s="1314" t="s">
        <v>1866</v>
      </c>
      <c r="C45" s="1314"/>
      <c r="D45" s="1316">
        <v>205303000002</v>
      </c>
      <c r="E45" s="212"/>
      <c r="F45" s="1322">
        <v>2727277</v>
      </c>
      <c r="G45" s="1322"/>
      <c r="H45" s="1322">
        <v>1454560</v>
      </c>
      <c r="I45" s="1322"/>
      <c r="J45" s="1322">
        <v>1272717</v>
      </c>
      <c r="K45" s="1314"/>
      <c r="L45" s="1323"/>
      <c r="M45" s="1324"/>
      <c r="N45" s="1322">
        <v>2727277</v>
      </c>
      <c r="O45" s="1322"/>
      <c r="P45" s="1322">
        <v>1363650</v>
      </c>
      <c r="Q45" s="1322"/>
      <c r="R45" s="1322">
        <v>1363627</v>
      </c>
      <c r="S45" s="1417"/>
      <c r="T45" s="1317"/>
      <c r="U45" s="1452"/>
    </row>
    <row r="46" spans="1:21" s="45" customFormat="1" ht="15">
      <c r="A46" s="631" t="s">
        <v>1275</v>
      </c>
      <c r="B46" s="1314" t="s">
        <v>1867</v>
      </c>
      <c r="C46" s="1314"/>
      <c r="D46" s="1316">
        <v>205303000003</v>
      </c>
      <c r="E46" s="212"/>
      <c r="F46" s="1322">
        <v>2727277</v>
      </c>
      <c r="G46" s="1314"/>
      <c r="H46" s="1322">
        <v>1454560</v>
      </c>
      <c r="I46" s="1417"/>
      <c r="J46" s="1322">
        <v>1272717</v>
      </c>
      <c r="K46" s="1417"/>
      <c r="L46" s="1322"/>
      <c r="M46" s="1324"/>
      <c r="N46" s="1322">
        <v>2727277</v>
      </c>
      <c r="O46" s="1314"/>
      <c r="P46" s="1322">
        <v>1363650</v>
      </c>
      <c r="Q46" s="1314"/>
      <c r="R46" s="1322">
        <v>1363627</v>
      </c>
      <c r="S46" s="1417"/>
      <c r="T46" s="1317"/>
    </row>
    <row r="47" spans="1:21" s="45" customFormat="1" ht="15">
      <c r="A47" s="631" t="s">
        <v>1281</v>
      </c>
      <c r="B47" s="1314" t="s">
        <v>2008</v>
      </c>
      <c r="C47" s="1314"/>
      <c r="D47" s="1316">
        <v>205303000017</v>
      </c>
      <c r="E47" s="212"/>
      <c r="F47" s="1322">
        <v>2925379.63</v>
      </c>
      <c r="G47" s="1314"/>
      <c r="H47" s="1322">
        <v>290853.63</v>
      </c>
      <c r="I47" s="1417"/>
      <c r="J47" s="1322">
        <v>2634526</v>
      </c>
      <c r="K47" s="1417"/>
      <c r="L47" s="1322"/>
      <c r="M47" s="1324"/>
      <c r="N47" s="1322">
        <v>2925379.63</v>
      </c>
      <c r="O47" s="1314"/>
      <c r="P47" s="1322">
        <v>193340.63</v>
      </c>
      <c r="Q47" s="1314"/>
      <c r="R47" s="1322">
        <v>2732039</v>
      </c>
      <c r="S47" s="1417"/>
      <c r="T47" s="1317"/>
    </row>
    <row r="48" spans="1:21" s="45" customFormat="1" ht="15">
      <c r="A48" s="631" t="s">
        <v>541</v>
      </c>
      <c r="B48" s="1318"/>
      <c r="C48" s="1317"/>
      <c r="D48" s="1319"/>
      <c r="E48" s="212"/>
      <c r="F48" s="1325"/>
      <c r="G48" s="1322"/>
      <c r="H48" s="1325"/>
      <c r="I48" s="1421"/>
      <c r="J48" s="1325"/>
      <c r="K48" s="1417"/>
      <c r="L48" s="1325"/>
      <c r="M48" s="1324"/>
      <c r="N48" s="1325"/>
      <c r="O48" s="1422"/>
      <c r="P48" s="1325"/>
      <c r="Q48" s="1421"/>
      <c r="R48" s="1325"/>
      <c r="S48" s="1417"/>
      <c r="T48" s="1325"/>
    </row>
    <row r="49" spans="1:20" s="45" customFormat="1" ht="16.2" thickBot="1">
      <c r="A49" s="212"/>
      <c r="B49" s="212"/>
      <c r="C49" s="212"/>
      <c r="D49" s="212"/>
      <c r="E49" s="212"/>
      <c r="F49" s="219">
        <f>SUM(F44:F48)</f>
        <v>11107210.629999999</v>
      </c>
      <c r="G49" s="221"/>
      <c r="H49" s="219">
        <f>SUM(H44:H48)</f>
        <v>4654533.63</v>
      </c>
      <c r="I49" s="575"/>
      <c r="J49" s="219">
        <f>SUM(J44:J48)</f>
        <v>6452677</v>
      </c>
      <c r="K49" s="1418"/>
      <c r="L49" s="219">
        <f>SUM(L44:L48)</f>
        <v>0</v>
      </c>
      <c r="M49" s="222"/>
      <c r="N49" s="219">
        <f>SUM(N44:N48)</f>
        <v>11107210.629999999</v>
      </c>
      <c r="O49" s="575"/>
      <c r="P49" s="219">
        <f>SUM(P44:P48)</f>
        <v>4284290.63</v>
      </c>
      <c r="Q49" s="575"/>
      <c r="R49" s="219">
        <f>SUM(R44:R48)</f>
        <v>6822920</v>
      </c>
      <c r="S49" s="1418"/>
      <c r="T49" s="219">
        <f>SUM(T44:T48)</f>
        <v>0</v>
      </c>
    </row>
    <row r="50" spans="1:20" s="45" customFormat="1" ht="15">
      <c r="A50" s="212"/>
      <c r="B50" s="212"/>
      <c r="C50" s="212"/>
      <c r="D50" s="212"/>
      <c r="E50" s="212"/>
      <c r="F50" s="220"/>
      <c r="G50" s="220"/>
      <c r="H50" s="220"/>
      <c r="I50" s="1418"/>
      <c r="J50" s="220"/>
      <c r="K50" s="1418"/>
      <c r="L50" s="220"/>
      <c r="M50" s="222"/>
      <c r="N50" s="220"/>
      <c r="O50" s="1418"/>
      <c r="P50" s="220"/>
      <c r="Q50" s="1418"/>
      <c r="R50" s="220"/>
      <c r="S50" s="1418"/>
      <c r="T50" s="220"/>
    </row>
    <row r="51" spans="1:20" s="45" customFormat="1" ht="15">
      <c r="A51" s="631" t="s">
        <v>1366</v>
      </c>
      <c r="B51" s="1318"/>
      <c r="C51" s="1314"/>
      <c r="D51" s="1319"/>
      <c r="E51" s="212"/>
      <c r="F51" s="1325"/>
      <c r="G51" s="1322"/>
      <c r="H51" s="1325"/>
      <c r="I51" s="1421"/>
      <c r="J51" s="1325"/>
      <c r="K51" s="1417"/>
      <c r="L51" s="1325"/>
      <c r="M51" s="1324"/>
      <c r="N51" s="1325"/>
      <c r="O51" s="1422"/>
      <c r="P51" s="1325"/>
      <c r="Q51" s="1421"/>
      <c r="R51" s="1325"/>
      <c r="S51" s="1417"/>
      <c r="T51" s="1325"/>
    </row>
    <row r="52" spans="1:20" s="45" customFormat="1" ht="15">
      <c r="A52" s="631" t="s">
        <v>541</v>
      </c>
      <c r="B52" s="1318"/>
      <c r="C52" s="1317"/>
      <c r="D52" s="1319"/>
      <c r="E52" s="212"/>
      <c r="F52" s="1325"/>
      <c r="G52" s="1322"/>
      <c r="H52" s="1325"/>
      <c r="I52" s="1421"/>
      <c r="J52" s="1325"/>
      <c r="K52" s="1417"/>
      <c r="L52" s="1325"/>
      <c r="M52" s="1324"/>
      <c r="N52" s="1325"/>
      <c r="O52" s="1422"/>
      <c r="P52" s="1325"/>
      <c r="Q52" s="1421"/>
      <c r="R52" s="1325"/>
      <c r="S52" s="1417"/>
      <c r="T52" s="1325"/>
    </row>
    <row r="53" spans="1:20" s="45" customFormat="1" ht="16.2" thickBot="1">
      <c r="A53" s="631"/>
      <c r="B53" s="212"/>
      <c r="C53" s="212"/>
      <c r="D53" s="212"/>
      <c r="E53" s="212"/>
      <c r="F53" s="219">
        <f>SUM(F51:F52)</f>
        <v>0</v>
      </c>
      <c r="G53" s="221"/>
      <c r="H53" s="219">
        <f>SUM(H51:H52)</f>
        <v>0</v>
      </c>
      <c r="I53" s="575"/>
      <c r="J53" s="219">
        <f>SUM(J51:J52)</f>
        <v>0</v>
      </c>
      <c r="K53" s="575"/>
      <c r="L53" s="219">
        <f>SUM(L51:L52)</f>
        <v>0</v>
      </c>
      <c r="M53" s="222"/>
      <c r="N53" s="219">
        <f>SUM(N51:N52)</f>
        <v>0</v>
      </c>
      <c r="O53" s="575"/>
      <c r="P53" s="219">
        <f>SUM(P51:P52)</f>
        <v>0</v>
      </c>
      <c r="Q53" s="575"/>
      <c r="R53" s="219">
        <f>SUM(R51:R52)</f>
        <v>0</v>
      </c>
      <c r="S53" s="575"/>
      <c r="T53" s="219">
        <f>SUM(T51:T52)</f>
        <v>0</v>
      </c>
    </row>
    <row r="54" spans="1:20" s="45" customFormat="1" ht="15">
      <c r="A54" s="212"/>
      <c r="B54" s="212"/>
      <c r="C54" s="212"/>
      <c r="D54" s="212"/>
      <c r="E54" s="212"/>
      <c r="F54" s="220"/>
      <c r="G54" s="220"/>
      <c r="H54" s="220"/>
      <c r="I54" s="1418"/>
      <c r="J54" s="220"/>
      <c r="K54" s="1418"/>
      <c r="L54" s="220"/>
      <c r="M54" s="222"/>
      <c r="N54" s="220"/>
      <c r="O54" s="220"/>
      <c r="P54" s="220"/>
      <c r="Q54" s="220"/>
      <c r="R54" s="220"/>
      <c r="S54" s="220"/>
      <c r="T54" s="220"/>
    </row>
    <row r="55" spans="1:20" s="45" customFormat="1" ht="15">
      <c r="A55" s="212"/>
      <c r="B55" s="212"/>
      <c r="C55" s="212"/>
      <c r="D55" s="212"/>
      <c r="E55" s="212"/>
      <c r="F55" s="220"/>
      <c r="G55" s="220"/>
      <c r="H55" s="220"/>
      <c r="I55" s="1418"/>
      <c r="J55" s="799"/>
      <c r="K55" s="1418"/>
      <c r="L55" s="220"/>
      <c r="M55" s="222"/>
      <c r="N55" s="220"/>
      <c r="O55" s="220"/>
      <c r="P55" s="220"/>
      <c r="Q55" s="220"/>
      <c r="R55" s="220"/>
      <c r="S55" s="220"/>
      <c r="T55" s="220"/>
    </row>
    <row r="56" spans="1:20" s="45" customFormat="1" ht="16.2" thickBot="1">
      <c r="A56" s="631">
        <v>7</v>
      </c>
      <c r="B56" s="213" t="s">
        <v>5</v>
      </c>
      <c r="C56" s="216"/>
      <c r="D56" s="216"/>
      <c r="E56" s="216"/>
      <c r="F56" s="219">
        <f>+F21+F33+F37+F41+F49+F53</f>
        <v>86678352.799999997</v>
      </c>
      <c r="G56" s="221"/>
      <c r="H56" s="219">
        <f>+H21+H33+H37+H41+H49</f>
        <v>29497910.799999997</v>
      </c>
      <c r="I56" s="575"/>
      <c r="J56" s="219">
        <f>+J21+J33+J37+J41+J49</f>
        <v>57180442</v>
      </c>
      <c r="K56" s="575"/>
      <c r="L56" s="219">
        <f>+L21+L33+L37+L41+L49</f>
        <v>1421673.3399999999</v>
      </c>
      <c r="M56" s="222"/>
      <c r="N56" s="219">
        <f>+N21+N33+N37+N41+N49</f>
        <v>87261824.679999992</v>
      </c>
      <c r="O56" s="221"/>
      <c r="P56" s="219">
        <f>+P21+P33+P37+P41+P49</f>
        <v>24070536.679999996</v>
      </c>
      <c r="Q56" s="221"/>
      <c r="R56" s="219">
        <f>+R21+R33+R37+R41+R49</f>
        <v>63191288</v>
      </c>
      <c r="S56" s="221"/>
      <c r="T56" s="219">
        <f>+T21+T33+T37+T41+T49</f>
        <v>1251795.8900000001</v>
      </c>
    </row>
    <row r="57" spans="1:20" s="45" customFormat="1" ht="15">
      <c r="A57" s="631"/>
      <c r="B57" s="212"/>
      <c r="C57" s="212"/>
      <c r="D57" s="212"/>
      <c r="E57" s="212"/>
      <c r="F57" s="220"/>
      <c r="G57" s="220"/>
      <c r="H57" s="220"/>
      <c r="I57" s="220"/>
      <c r="J57" s="220"/>
      <c r="K57" s="220"/>
      <c r="L57" s="220"/>
      <c r="M57" s="222"/>
      <c r="N57" s="220"/>
      <c r="O57" s="220"/>
      <c r="P57" s="220"/>
      <c r="Q57" s="220"/>
      <c r="R57" s="220"/>
      <c r="S57" s="220"/>
      <c r="T57" s="220"/>
    </row>
    <row r="58" spans="1:20" s="45" customFormat="1" ht="15.6">
      <c r="A58" s="631">
        <v>8</v>
      </c>
      <c r="B58" s="578" t="s">
        <v>1069</v>
      </c>
      <c r="C58" s="212"/>
      <c r="D58" s="212"/>
      <c r="E58" s="212"/>
      <c r="F58" s="226">
        <f>+F56-F49</f>
        <v>75571142.170000002</v>
      </c>
      <c r="G58" s="226"/>
      <c r="H58" s="226">
        <f>-(H56-H49)</f>
        <v>-24843377.169999998</v>
      </c>
      <c r="I58" s="226"/>
      <c r="J58" s="226"/>
      <c r="K58" s="226"/>
      <c r="L58" s="226">
        <f>L56</f>
        <v>1421673.3399999999</v>
      </c>
      <c r="M58" s="222"/>
      <c r="N58" s="226">
        <f>+N56-N49</f>
        <v>76154614.049999997</v>
      </c>
      <c r="O58" s="226"/>
      <c r="P58" s="226">
        <f>-(P56-P49)</f>
        <v>-19786246.049999997</v>
      </c>
      <c r="Q58" s="226"/>
      <c r="R58" s="226"/>
      <c r="S58" s="226"/>
      <c r="T58" s="226">
        <f>T56</f>
        <v>1251795.8900000001</v>
      </c>
    </row>
    <row r="59" spans="1:20" s="45" customFormat="1" ht="15.6">
      <c r="A59" s="631"/>
      <c r="B59" s="216"/>
      <c r="C59" s="212"/>
      <c r="D59" s="212"/>
      <c r="E59" s="212"/>
      <c r="F59" s="217"/>
      <c r="G59" s="212"/>
      <c r="H59" s="217"/>
      <c r="I59" s="212"/>
      <c r="J59" s="212"/>
      <c r="K59" s="212"/>
      <c r="L59" s="217"/>
    </row>
    <row r="60" spans="1:20">
      <c r="A60" s="42"/>
      <c r="B60" s="42"/>
      <c r="C60" s="227"/>
      <c r="D60" s="227"/>
      <c r="E60" s="227"/>
      <c r="F60" s="228"/>
      <c r="G60" s="227"/>
      <c r="H60" s="228"/>
      <c r="I60" s="227"/>
      <c r="J60" s="227"/>
      <c r="K60" s="227"/>
      <c r="L60" s="228"/>
    </row>
    <row r="61" spans="1:20">
      <c r="A61" s="42"/>
      <c r="B61" s="42"/>
      <c r="C61" s="227"/>
      <c r="D61" s="227"/>
      <c r="E61" s="227"/>
      <c r="F61" s="228"/>
      <c r="G61" s="227"/>
      <c r="H61" s="228"/>
      <c r="I61" s="227"/>
      <c r="J61" s="227"/>
      <c r="K61" s="227"/>
      <c r="L61" s="228"/>
    </row>
    <row r="62" spans="1:20">
      <c r="A62" s="42"/>
      <c r="B62" s="42"/>
      <c r="C62" s="227"/>
      <c r="D62" s="227"/>
      <c r="E62" s="227"/>
      <c r="F62" s="228"/>
      <c r="G62" s="227"/>
      <c r="H62" s="228"/>
      <c r="I62" s="227"/>
      <c r="J62" s="227"/>
      <c r="K62" s="227"/>
      <c r="L62" s="228"/>
    </row>
  </sheetData>
  <sheetProtection formatCells="0"/>
  <customSheetViews>
    <customSheetView guid="{B321D76C-CDE5-48BB-9CDE-80FF97D58FCF}" scale="70" showPageBreaks="1" fitToPage="1" printArea="1" view="pageBreakPreview" topLeftCell="A43">
      <selection activeCell="D33" sqref="D33"/>
      <pageMargins left="0.45" right="0.45" top="0.25" bottom="0.25" header="0.3" footer="0.3"/>
      <printOptions horizontalCentered="1"/>
      <pageSetup scale="52" orientation="landscape" r:id="rId1"/>
    </customSheetView>
  </customSheetViews>
  <mergeCells count="2">
    <mergeCell ref="N10:T10"/>
    <mergeCell ref="F10:L10"/>
  </mergeCells>
  <printOptions horizontalCentered="1"/>
  <pageMargins left="0.45" right="0.45" top="0.25" bottom="0.25" header="0.3" footer="0.3"/>
  <pageSetup scale="5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4">
    <tabColor rgb="FF92D050"/>
    <pageSetUpPr fitToPage="1"/>
  </sheetPr>
  <dimension ref="A1:O42"/>
  <sheetViews>
    <sheetView showGridLines="0" defaultGridColor="0" view="pageBreakPreview" colorId="22" zoomScale="80" zoomScaleNormal="80" zoomScaleSheetLayoutView="80" workbookViewId="0">
      <selection activeCell="F53" sqref="F53"/>
    </sheetView>
  </sheetViews>
  <sheetFormatPr defaultColWidth="13.44140625" defaultRowHeight="12"/>
  <cols>
    <col min="1" max="1" width="4.109375" style="12" customWidth="1"/>
    <col min="2" max="2" width="7.77734375" style="12" bestFit="1" customWidth="1"/>
    <col min="3" max="3" width="13" style="12" customWidth="1"/>
    <col min="4" max="4" width="7.44140625" style="12" customWidth="1"/>
    <col min="5" max="5" width="14.109375" style="12" customWidth="1"/>
    <col min="6" max="6" width="29.44140625" style="12" customWidth="1"/>
    <col min="7" max="7" width="22.77734375" style="12" customWidth="1"/>
    <col min="8" max="8" width="18.109375" style="12" customWidth="1"/>
    <col min="9" max="9" width="1.77734375" style="12" customWidth="1"/>
    <col min="10" max="10" width="14.33203125" style="12" bestFit="1" customWidth="1"/>
    <col min="11" max="11" width="29.109375" style="12" customWidth="1"/>
    <col min="12" max="12" width="15.21875" style="12" bestFit="1" customWidth="1"/>
    <col min="13" max="16384" width="13.44140625" style="12"/>
  </cols>
  <sheetData>
    <row r="1" spans="1:15" s="16" customFormat="1" ht="15.6">
      <c r="A1" s="13" t="s">
        <v>888</v>
      </c>
      <c r="B1" s="83"/>
      <c r="C1" s="19"/>
      <c r="D1" s="19"/>
      <c r="E1" s="19"/>
      <c r="F1" s="19"/>
      <c r="G1" s="19"/>
      <c r="J1" s="122"/>
      <c r="K1" s="817"/>
      <c r="L1" s="19"/>
    </row>
    <row r="2" spans="1:15" ht="17.399999999999999">
      <c r="A2" s="10"/>
      <c r="C2" s="10"/>
      <c r="D2" s="10"/>
      <c r="F2" s="10"/>
      <c r="G2" s="10"/>
      <c r="H2" s="10"/>
      <c r="I2" s="10"/>
      <c r="J2" s="10"/>
      <c r="L2" s="10"/>
    </row>
    <row r="3" spans="1:15" ht="17.399999999999999">
      <c r="A3" s="1984" t="s">
        <v>199</v>
      </c>
      <c r="B3" s="1984"/>
      <c r="C3" s="1984"/>
      <c r="D3" s="1984"/>
      <c r="E3" s="1984"/>
      <c r="F3" s="1984"/>
      <c r="G3" s="1984"/>
      <c r="H3" s="1984"/>
      <c r="I3" s="1984"/>
      <c r="J3" s="1984"/>
      <c r="K3" s="1984"/>
      <c r="L3" s="10"/>
    </row>
    <row r="4" spans="1:15" ht="17.399999999999999">
      <c r="A4" s="1984" t="s">
        <v>103</v>
      </c>
      <c r="B4" s="1984"/>
      <c r="C4" s="1984"/>
      <c r="D4" s="1984"/>
      <c r="E4" s="1984"/>
      <c r="F4" s="1984"/>
      <c r="G4" s="1984"/>
      <c r="H4" s="1984"/>
      <c r="I4" s="1984"/>
      <c r="J4" s="1984"/>
      <c r="K4" s="1984"/>
      <c r="L4" s="10"/>
    </row>
    <row r="5" spans="1:15" ht="17.399999999999999">
      <c r="A5" s="1985" t="str">
        <f>SUMMARY!$A$7</f>
        <v>YEAR ENDING DECEMBER 31, 2021</v>
      </c>
      <c r="B5" s="1985"/>
      <c r="C5" s="1985"/>
      <c r="D5" s="1985"/>
      <c r="E5" s="1985"/>
      <c r="F5" s="1985"/>
      <c r="G5" s="1985"/>
      <c r="H5" s="1985"/>
      <c r="I5" s="1985"/>
      <c r="J5" s="1985"/>
      <c r="K5" s="1985"/>
      <c r="L5" s="10"/>
    </row>
    <row r="6" spans="1:15" ht="17.399999999999999">
      <c r="A6" s="814"/>
      <c r="B6" s="10"/>
      <c r="C6" s="10"/>
      <c r="D6" s="10"/>
      <c r="E6" s="10"/>
      <c r="F6" s="10"/>
      <c r="G6" s="10"/>
      <c r="H6" s="10"/>
      <c r="I6" s="10"/>
      <c r="J6" s="10"/>
      <c r="K6" s="10"/>
      <c r="L6" s="10"/>
    </row>
    <row r="7" spans="1:15" ht="17.399999999999999">
      <c r="A7" s="1984" t="s">
        <v>887</v>
      </c>
      <c r="B7" s="1984"/>
      <c r="C7" s="1984"/>
      <c r="D7" s="1984"/>
      <c r="E7" s="1984"/>
      <c r="F7" s="1984"/>
      <c r="G7" s="1984"/>
      <c r="H7" s="1984"/>
      <c r="I7" s="1984"/>
      <c r="J7" s="1984"/>
      <c r="K7" s="1984"/>
      <c r="L7" s="10"/>
    </row>
    <row r="8" spans="1:15" ht="17.399999999999999">
      <c r="A8" s="1984" t="s">
        <v>817</v>
      </c>
      <c r="B8" s="1984"/>
      <c r="C8" s="1984"/>
      <c r="D8" s="1984"/>
      <c r="E8" s="1984"/>
      <c r="F8" s="1984"/>
      <c r="G8" s="1984"/>
      <c r="H8" s="1984"/>
      <c r="I8" s="1984"/>
      <c r="J8" s="1984"/>
      <c r="K8" s="1984"/>
      <c r="L8" s="10"/>
    </row>
    <row r="9" spans="1:15" ht="17.399999999999999">
      <c r="A9" s="813"/>
      <c r="B9" s="813"/>
      <c r="C9" s="813"/>
      <c r="D9" s="813"/>
      <c r="E9" s="813"/>
      <c r="F9" s="813"/>
      <c r="G9" s="813"/>
      <c r="H9" s="813"/>
      <c r="I9" s="813"/>
      <c r="J9" s="813"/>
      <c r="K9" s="813"/>
      <c r="L9" s="10"/>
    </row>
    <row r="10" spans="1:15" s="167" customFormat="1" ht="15.6">
      <c r="A10" s="13"/>
      <c r="B10" s="13"/>
      <c r="C10" s="817" t="s">
        <v>0</v>
      </c>
      <c r="D10" s="13"/>
      <c r="E10" s="13"/>
      <c r="F10" s="13"/>
      <c r="G10" s="13"/>
      <c r="H10" s="13"/>
      <c r="I10" s="13"/>
      <c r="J10" s="13"/>
      <c r="K10" s="13"/>
      <c r="L10" s="13"/>
    </row>
    <row r="11" spans="1:15" s="167" customFormat="1" ht="15.6">
      <c r="A11" s="13"/>
      <c r="B11" s="471" t="s">
        <v>1</v>
      </c>
      <c r="C11" s="471" t="s">
        <v>2</v>
      </c>
      <c r="D11" s="13"/>
      <c r="E11" s="472" t="s">
        <v>3</v>
      </c>
      <c r="F11" s="13"/>
      <c r="G11" s="472" t="s">
        <v>455</v>
      </c>
      <c r="H11" s="471" t="s">
        <v>4</v>
      </c>
      <c r="I11" s="471"/>
      <c r="J11" s="817" t="s">
        <v>5</v>
      </c>
      <c r="K11" s="472" t="s">
        <v>1763</v>
      </c>
      <c r="L11" s="13"/>
    </row>
    <row r="12" spans="1:15" s="167" customFormat="1" ht="15.6">
      <c r="A12" s="13"/>
      <c r="B12" s="13"/>
      <c r="C12" s="817" t="s">
        <v>6</v>
      </c>
      <c r="D12" s="13"/>
      <c r="E12" s="817" t="s">
        <v>7</v>
      </c>
      <c r="F12" s="817"/>
      <c r="G12" s="817" t="s">
        <v>8</v>
      </c>
      <c r="H12" s="817" t="s">
        <v>9</v>
      </c>
      <c r="I12" s="817"/>
      <c r="J12" s="473" t="s">
        <v>196</v>
      </c>
      <c r="K12" s="473" t="s">
        <v>371</v>
      </c>
      <c r="L12" s="13"/>
    </row>
    <row r="13" spans="1:15" s="167" customFormat="1" ht="15.6">
      <c r="A13" s="13"/>
      <c r="B13" s="13"/>
      <c r="C13" s="13"/>
      <c r="D13" s="13"/>
      <c r="E13" s="13"/>
      <c r="F13" s="13"/>
      <c r="G13" s="13"/>
      <c r="H13" s="13"/>
      <c r="I13" s="13"/>
      <c r="J13" s="13"/>
      <c r="K13" s="13"/>
      <c r="L13" s="13"/>
    </row>
    <row r="14" spans="1:15" s="167" customFormat="1" ht="15.6">
      <c r="A14" s="13"/>
      <c r="B14" s="817"/>
      <c r="C14" s="13" t="s">
        <v>10</v>
      </c>
      <c r="D14" s="13"/>
      <c r="E14" s="13"/>
      <c r="F14" s="13"/>
      <c r="G14" s="13"/>
      <c r="H14" s="13"/>
      <c r="I14" s="13"/>
      <c r="J14" s="13"/>
      <c r="K14" s="13"/>
      <c r="L14" s="13"/>
      <c r="M14"/>
      <c r="N14"/>
      <c r="O14"/>
    </row>
    <row r="15" spans="1:15" s="82" customFormat="1" ht="15.6">
      <c r="A15" s="19"/>
      <c r="B15" s="817"/>
      <c r="C15" s="19"/>
      <c r="D15" s="19" t="s">
        <v>11</v>
      </c>
      <c r="E15" s="13" t="s">
        <v>12</v>
      </c>
      <c r="F15" s="19"/>
      <c r="G15" s="19"/>
      <c r="H15" s="13"/>
      <c r="I15" s="19"/>
      <c r="J15" s="19"/>
      <c r="K15" s="19"/>
      <c r="L15" s="19"/>
      <c r="M15"/>
      <c r="N15"/>
      <c r="O15"/>
    </row>
    <row r="16" spans="1:15" s="82" customFormat="1" ht="15.6">
      <c r="A16" s="19"/>
      <c r="B16" s="817">
        <v>1</v>
      </c>
      <c r="C16" s="20">
        <v>560</v>
      </c>
      <c r="D16" s="19"/>
      <c r="E16" s="474" t="s">
        <v>13</v>
      </c>
      <c r="F16" s="19"/>
      <c r="G16" s="19" t="s">
        <v>1627</v>
      </c>
      <c r="H16" s="707">
        <f>'WP-AA'!F27</f>
        <v>6185717.5100000007</v>
      </c>
      <c r="I16" s="707"/>
      <c r="J16" s="707"/>
      <c r="K16" s="491" t="s">
        <v>1667</v>
      </c>
      <c r="L16" s="707"/>
      <c r="M16"/>
      <c r="N16"/>
      <c r="O16"/>
    </row>
    <row r="17" spans="1:15" s="82" customFormat="1" ht="15.6">
      <c r="A17" s="19"/>
      <c r="B17" s="817">
        <f t="shared" ref="B17:B35" si="0">B16+1</f>
        <v>2</v>
      </c>
      <c r="C17" s="20">
        <v>561</v>
      </c>
      <c r="D17" s="19"/>
      <c r="E17" s="474" t="s">
        <v>14</v>
      </c>
      <c r="F17" s="19"/>
      <c r="G17" s="19" t="s">
        <v>1627</v>
      </c>
      <c r="H17" s="707">
        <f>'WP-AA'!F28</f>
        <v>2683087.6</v>
      </c>
      <c r="I17" s="707"/>
      <c r="J17" s="707"/>
      <c r="K17" s="491" t="s">
        <v>1668</v>
      </c>
      <c r="L17" s="707"/>
      <c r="M17"/>
      <c r="N17"/>
      <c r="O17"/>
    </row>
    <row r="18" spans="1:15" s="82" customFormat="1" ht="15.6">
      <c r="A18" s="19"/>
      <c r="B18" s="817">
        <f t="shared" si="0"/>
        <v>3</v>
      </c>
      <c r="C18" s="20">
        <v>562</v>
      </c>
      <c r="D18" s="19"/>
      <c r="E18" s="474" t="s">
        <v>15</v>
      </c>
      <c r="F18" s="19"/>
      <c r="G18" s="19" t="s">
        <v>1627</v>
      </c>
      <c r="H18" s="707">
        <f>'WP-AA'!F29</f>
        <v>4496308.38</v>
      </c>
      <c r="I18" s="707"/>
      <c r="J18" s="707"/>
      <c r="K18" s="491" t="s">
        <v>1669</v>
      </c>
      <c r="L18" s="707"/>
      <c r="M18"/>
      <c r="N18"/>
      <c r="O18"/>
    </row>
    <row r="19" spans="1:15" s="82" customFormat="1" ht="15.6">
      <c r="A19" s="19"/>
      <c r="B19" s="817">
        <f t="shared" si="0"/>
        <v>4</v>
      </c>
      <c r="C19" s="20">
        <v>566</v>
      </c>
      <c r="D19" s="19"/>
      <c r="E19" s="474" t="s">
        <v>16</v>
      </c>
      <c r="F19" s="19"/>
      <c r="G19" s="19" t="s">
        <v>1627</v>
      </c>
      <c r="H19" s="716">
        <f>'WP-AA'!F30</f>
        <v>13094560.33</v>
      </c>
      <c r="I19" s="721"/>
      <c r="J19" s="707"/>
      <c r="K19" s="491" t="s">
        <v>1670</v>
      </c>
      <c r="L19" s="707"/>
      <c r="M19"/>
      <c r="N19"/>
      <c r="O19"/>
    </row>
    <row r="20" spans="1:15" s="82" customFormat="1" ht="15.6">
      <c r="A20" s="19"/>
      <c r="B20" s="817">
        <f t="shared" si="0"/>
        <v>5</v>
      </c>
      <c r="C20" s="20"/>
      <c r="D20" s="476" t="s">
        <v>250</v>
      </c>
      <c r="F20" s="19"/>
      <c r="G20" s="19" t="s">
        <v>772</v>
      </c>
      <c r="H20" s="715">
        <f>SUM(H16:H19)</f>
        <v>26459673.82</v>
      </c>
      <c r="I20" s="715"/>
      <c r="J20" s="707"/>
      <c r="K20" s="491"/>
      <c r="L20" s="19"/>
      <c r="M20"/>
      <c r="N20"/>
      <c r="O20"/>
    </row>
    <row r="21" spans="1:15" s="82" customFormat="1" ht="15.6">
      <c r="A21" s="19"/>
      <c r="B21" s="817"/>
      <c r="C21" s="20"/>
      <c r="D21" s="19"/>
      <c r="E21" s="478"/>
      <c r="F21" s="19"/>
      <c r="G21" s="19"/>
      <c r="H21" s="715"/>
      <c r="I21" s="715"/>
      <c r="J21" s="707"/>
      <c r="K21" s="491"/>
      <c r="L21" s="19"/>
      <c r="M21"/>
      <c r="N21"/>
      <c r="O21"/>
    </row>
    <row r="22" spans="1:15" s="82" customFormat="1" ht="15.6">
      <c r="A22" s="19"/>
      <c r="B22" s="817"/>
      <c r="C22" s="20"/>
      <c r="D22" s="19"/>
      <c r="E22" s="476" t="s">
        <v>18</v>
      </c>
      <c r="F22" s="19"/>
      <c r="G22" s="19"/>
      <c r="H22" s="707"/>
      <c r="I22" s="707"/>
      <c r="J22" s="707"/>
      <c r="K22" s="491"/>
      <c r="L22" s="19"/>
      <c r="M22"/>
      <c r="N22"/>
      <c r="O22"/>
    </row>
    <row r="23" spans="1:15" s="82" customFormat="1" ht="15.6">
      <c r="A23" s="19"/>
      <c r="B23" s="817">
        <f>B20+1</f>
        <v>6</v>
      </c>
      <c r="C23" s="20">
        <v>568</v>
      </c>
      <c r="D23" s="19"/>
      <c r="E23" s="474" t="s">
        <v>13</v>
      </c>
      <c r="F23" s="19"/>
      <c r="G23" s="19" t="s">
        <v>1627</v>
      </c>
      <c r="H23" s="707">
        <f>'WP-AA'!F64</f>
        <v>76690.989999999991</v>
      </c>
      <c r="I23" s="707"/>
      <c r="J23" s="707"/>
      <c r="K23" s="491" t="s">
        <v>1671</v>
      </c>
      <c r="L23" s="707"/>
      <c r="M23"/>
      <c r="N23"/>
      <c r="O23"/>
    </row>
    <row r="24" spans="1:15" s="82" customFormat="1" ht="15.6">
      <c r="A24" s="19"/>
      <c r="B24" s="817">
        <f t="shared" si="0"/>
        <v>7</v>
      </c>
      <c r="C24" s="20">
        <v>569</v>
      </c>
      <c r="D24" s="19"/>
      <c r="E24" s="474" t="s">
        <v>19</v>
      </c>
      <c r="F24" s="19"/>
      <c r="G24" s="19" t="s">
        <v>1627</v>
      </c>
      <c r="H24" s="707">
        <f>'WP-AA'!F65</f>
        <v>5637952.4500000002</v>
      </c>
      <c r="I24" s="707"/>
      <c r="J24" s="707"/>
      <c r="K24" s="491" t="s">
        <v>1672</v>
      </c>
      <c r="L24" s="707"/>
      <c r="M24"/>
      <c r="N24"/>
      <c r="O24"/>
    </row>
    <row r="25" spans="1:15" s="82" customFormat="1" ht="15.6">
      <c r="A25" s="19"/>
      <c r="B25" s="817">
        <f t="shared" si="0"/>
        <v>8</v>
      </c>
      <c r="C25" s="20">
        <v>570</v>
      </c>
      <c r="D25" s="19"/>
      <c r="E25" s="474" t="s">
        <v>20</v>
      </c>
      <c r="F25" s="19"/>
      <c r="G25" s="19" t="s">
        <v>1627</v>
      </c>
      <c r="H25" s="707">
        <f>'WP-AA'!F66</f>
        <v>11700821.459999999</v>
      </c>
      <c r="I25" s="707"/>
      <c r="J25" s="707"/>
      <c r="K25" s="491" t="s">
        <v>1673</v>
      </c>
      <c r="L25" s="707"/>
      <c r="M25"/>
      <c r="N25"/>
      <c r="O25"/>
    </row>
    <row r="26" spans="1:15" s="82" customFormat="1" ht="15.6">
      <c r="A26" s="19"/>
      <c r="B26" s="817">
        <f t="shared" si="0"/>
        <v>9</v>
      </c>
      <c r="C26" s="20">
        <v>571</v>
      </c>
      <c r="D26" s="19"/>
      <c r="E26" s="474" t="s">
        <v>21</v>
      </c>
      <c r="F26" s="19"/>
      <c r="G26" s="19" t="s">
        <v>1627</v>
      </c>
      <c r="H26" s="707">
        <f>'WP-AA'!F67</f>
        <v>10722987.43</v>
      </c>
      <c r="I26" s="707"/>
      <c r="J26" s="707"/>
      <c r="K26" s="491" t="s">
        <v>1674</v>
      </c>
      <c r="L26" s="707"/>
      <c r="M26"/>
      <c r="N26"/>
      <c r="O26"/>
    </row>
    <row r="27" spans="1:15" s="82" customFormat="1" ht="15.6">
      <c r="A27" s="19"/>
      <c r="B27" s="817">
        <f t="shared" si="0"/>
        <v>10</v>
      </c>
      <c r="C27" s="20">
        <v>572</v>
      </c>
      <c r="D27" s="19"/>
      <c r="E27" s="474" t="s">
        <v>22</v>
      </c>
      <c r="F27" s="19"/>
      <c r="G27" s="19" t="s">
        <v>1627</v>
      </c>
      <c r="H27" s="714">
        <f>'WP-AA'!F68</f>
        <v>34001681.18</v>
      </c>
      <c r="I27" s="707"/>
      <c r="J27" s="707"/>
      <c r="K27" s="491" t="s">
        <v>1675</v>
      </c>
      <c r="L27" s="1926"/>
      <c r="M27"/>
      <c r="N27"/>
      <c r="O27"/>
    </row>
    <row r="28" spans="1:15" s="82" customFormat="1" ht="15.6">
      <c r="A28" s="19"/>
      <c r="B28" s="817">
        <f t="shared" si="0"/>
        <v>11</v>
      </c>
      <c r="C28" s="20">
        <v>573</v>
      </c>
      <c r="D28" s="19"/>
      <c r="E28" s="474" t="s">
        <v>23</v>
      </c>
      <c r="F28" s="19"/>
      <c r="G28" s="19" t="s">
        <v>1627</v>
      </c>
      <c r="H28" s="716">
        <f>'WP-AA'!F69</f>
        <v>999460.47000000009</v>
      </c>
      <c r="I28" s="721"/>
      <c r="J28" s="707"/>
      <c r="K28" s="491" t="s">
        <v>1676</v>
      </c>
      <c r="L28" s="707"/>
      <c r="M28"/>
      <c r="N28"/>
      <c r="O28"/>
    </row>
    <row r="29" spans="1:15" s="82" customFormat="1" ht="15.6">
      <c r="A29" s="19"/>
      <c r="B29" s="817">
        <f t="shared" si="0"/>
        <v>12</v>
      </c>
      <c r="C29" s="20"/>
      <c r="D29" s="476" t="s">
        <v>349</v>
      </c>
      <c r="F29" s="19"/>
      <c r="G29" s="19" t="s">
        <v>773</v>
      </c>
      <c r="H29" s="724">
        <f>SUM(H23:H28)</f>
        <v>63139593.979999997</v>
      </c>
      <c r="I29" s="715"/>
      <c r="J29" s="707"/>
      <c r="K29" s="19"/>
      <c r="L29" s="707"/>
      <c r="M29"/>
      <c r="N29"/>
      <c r="O29"/>
    </row>
    <row r="30" spans="1:15" s="82" customFormat="1" ht="18">
      <c r="A30" s="19"/>
      <c r="B30" s="817">
        <f t="shared" si="0"/>
        <v>13</v>
      </c>
      <c r="C30" s="20"/>
      <c r="D30" s="19"/>
      <c r="E30" s="476" t="s">
        <v>249</v>
      </c>
      <c r="F30" s="19"/>
      <c r="G30" s="19" t="s">
        <v>774</v>
      </c>
      <c r="H30" s="19"/>
      <c r="I30" s="19"/>
      <c r="J30" s="479">
        <f>H20+H29</f>
        <v>89599267.799999997</v>
      </c>
      <c r="K30" s="19"/>
      <c r="L30" s="1775"/>
      <c r="M30"/>
      <c r="N30"/>
      <c r="O30"/>
    </row>
    <row r="31" spans="1:15" s="82" customFormat="1" ht="15.6">
      <c r="A31" s="19"/>
      <c r="B31" s="817"/>
      <c r="C31" s="20"/>
      <c r="D31" s="19"/>
      <c r="E31" s="476"/>
      <c r="F31" s="19"/>
      <c r="G31" s="19"/>
      <c r="H31" s="19"/>
      <c r="I31" s="19"/>
      <c r="J31" s="480"/>
      <c r="K31" s="19"/>
      <c r="L31" s="19"/>
      <c r="M31"/>
      <c r="N31"/>
      <c r="O31"/>
    </row>
    <row r="32" spans="1:15" s="82" customFormat="1" ht="15.6">
      <c r="A32" s="19"/>
      <c r="B32" s="817"/>
      <c r="C32" s="20"/>
      <c r="D32" s="13" t="s">
        <v>838</v>
      </c>
      <c r="F32" s="19"/>
      <c r="G32" s="19"/>
      <c r="H32" s="19"/>
      <c r="I32" s="19"/>
      <c r="J32" s="707"/>
      <c r="K32" s="19"/>
      <c r="L32" s="19"/>
      <c r="M32"/>
      <c r="N32"/>
      <c r="O32"/>
    </row>
    <row r="33" spans="1:15" s="82" customFormat="1" ht="15.6">
      <c r="A33" s="19"/>
      <c r="B33" s="817">
        <f>+B30+1</f>
        <v>14</v>
      </c>
      <c r="C33" s="20"/>
      <c r="D33" s="19"/>
      <c r="E33" s="19" t="s">
        <v>145</v>
      </c>
      <c r="G33" s="481" t="s">
        <v>1628</v>
      </c>
      <c r="H33" s="19"/>
      <c r="I33" s="19"/>
      <c r="J33" s="705">
        <f>'WP-AC'!D24</f>
        <v>-1705279.6236456879</v>
      </c>
      <c r="L33" s="19"/>
      <c r="M33"/>
      <c r="N33"/>
      <c r="O33"/>
    </row>
    <row r="34" spans="1:15" s="82" customFormat="1" ht="15.6">
      <c r="A34" s="19"/>
      <c r="B34" s="817">
        <f t="shared" si="0"/>
        <v>15</v>
      </c>
      <c r="C34" s="20"/>
      <c r="D34" s="19"/>
      <c r="E34" s="19" t="s">
        <v>768</v>
      </c>
      <c r="G34" s="481" t="s">
        <v>1629</v>
      </c>
      <c r="H34" s="19"/>
      <c r="I34" s="19"/>
      <c r="J34" s="705">
        <f>'WP-AD'!D24</f>
        <v>-1005767.7968906531</v>
      </c>
      <c r="L34" s="19"/>
      <c r="M34"/>
      <c r="N34"/>
      <c r="O34"/>
    </row>
    <row r="35" spans="1:15" s="486" customFormat="1" ht="15.6">
      <c r="A35" s="186"/>
      <c r="B35" s="819">
        <f t="shared" si="0"/>
        <v>16</v>
      </c>
      <c r="C35" s="482"/>
      <c r="D35" s="186"/>
      <c r="E35" s="186" t="s">
        <v>756</v>
      </c>
      <c r="F35" s="483"/>
      <c r="G35" s="484" t="s">
        <v>1630</v>
      </c>
      <c r="H35" s="186"/>
      <c r="I35" s="186"/>
      <c r="J35" s="718">
        <f>-'WP-AE'!H36</f>
        <v>-162820.07</v>
      </c>
      <c r="K35" s="483"/>
      <c r="L35" s="485"/>
      <c r="M35"/>
      <c r="N35"/>
      <c r="O35"/>
    </row>
    <row r="36" spans="1:15" s="82" customFormat="1" ht="16.2" thickBot="1">
      <c r="A36" s="19"/>
      <c r="B36" s="817"/>
      <c r="C36" s="20"/>
      <c r="D36" s="19"/>
      <c r="E36" s="19"/>
      <c r="F36" s="487"/>
      <c r="G36" s="487"/>
      <c r="H36" s="19"/>
      <c r="I36" s="19"/>
      <c r="J36" s="488"/>
      <c r="K36" s="19"/>
      <c r="L36" s="19"/>
      <c r="M36"/>
      <c r="N36"/>
      <c r="O36"/>
    </row>
    <row r="37" spans="1:15" s="82" customFormat="1" ht="16.8" thickTop="1" thickBot="1">
      <c r="A37" s="19"/>
      <c r="B37" s="489">
        <f>B35+1</f>
        <v>17</v>
      </c>
      <c r="C37" s="490"/>
      <c r="D37" s="491"/>
      <c r="E37" s="492" t="s">
        <v>350</v>
      </c>
      <c r="F37" s="491"/>
      <c r="G37" s="491" t="s">
        <v>818</v>
      </c>
      <c r="H37" s="491"/>
      <c r="I37" s="491"/>
      <c r="J37" s="493">
        <f>SUM(J30:J36)</f>
        <v>86725400.309463665</v>
      </c>
      <c r="K37" s="491"/>
      <c r="L37" s="19"/>
      <c r="M37"/>
      <c r="N37"/>
      <c r="O37"/>
    </row>
    <row r="38" spans="1:15" s="82" customFormat="1" ht="15.6" thickTop="1">
      <c r="A38" s="19"/>
      <c r="B38" s="494" t="s">
        <v>767</v>
      </c>
      <c r="C38" s="121" t="s">
        <v>766</v>
      </c>
      <c r="D38" s="491"/>
      <c r="E38" s="491"/>
      <c r="F38" s="491"/>
      <c r="G38" s="491"/>
      <c r="H38" s="491"/>
      <c r="I38" s="491"/>
      <c r="J38" s="491"/>
      <c r="K38" s="491"/>
      <c r="L38" s="19"/>
    </row>
    <row r="39" spans="1:15" s="25" customFormat="1" ht="15">
      <c r="B39" s="82" t="s">
        <v>837</v>
      </c>
      <c r="C39" s="82" t="s">
        <v>1160</v>
      </c>
      <c r="D39" s="82"/>
      <c r="E39" s="82"/>
      <c r="F39" s="82"/>
      <c r="G39" s="82"/>
      <c r="H39" s="82"/>
      <c r="I39" s="82"/>
      <c r="J39" s="82"/>
      <c r="K39" s="82"/>
      <c r="N39" s="82"/>
    </row>
    <row r="40" spans="1:15" s="58" customFormat="1" ht="15.6">
      <c r="B40" s="59"/>
      <c r="C40" s="59"/>
      <c r="D40" s="59"/>
      <c r="E40" s="59"/>
      <c r="F40" s="59"/>
      <c r="G40" s="59"/>
      <c r="H40" s="59"/>
      <c r="I40" s="59"/>
      <c r="J40" s="59"/>
      <c r="K40" s="59"/>
      <c r="N40" s="25"/>
    </row>
    <row r="41" spans="1:15" s="58" customFormat="1" ht="15.6">
      <c r="B41" s="59"/>
      <c r="C41" s="59"/>
      <c r="D41" s="59"/>
      <c r="E41" s="59"/>
      <c r="F41" s="59"/>
      <c r="G41" s="59"/>
      <c r="H41" s="59"/>
      <c r="I41" s="59"/>
      <c r="J41" s="59"/>
      <c r="K41" s="59"/>
    </row>
    <row r="42" spans="1:15" ht="15.6">
      <c r="B42" s="59"/>
      <c r="C42" s="59"/>
      <c r="D42" s="59"/>
      <c r="E42" s="59"/>
      <c r="F42" s="59"/>
      <c r="G42" s="59"/>
      <c r="H42" s="59"/>
      <c r="I42" s="59"/>
      <c r="J42" s="59"/>
      <c r="K42" s="59"/>
      <c r="N42" s="58"/>
    </row>
  </sheetData>
  <customSheetViews>
    <customSheetView guid="{B321D76C-CDE5-48BB-9CDE-80FF97D58FCF}" scale="90" colorId="22" showPageBreaks="1" showGridLines="0" fitToPage="1" printArea="1" view="pageBreakPreview">
      <selection activeCell="D33" sqref="D33"/>
      <rowBreaks count="1" manualBreakCount="1">
        <brk id="43" max="10" man="1"/>
      </rowBreaks>
      <colBreaks count="2" manualBreakCount="2">
        <brk id="13" max="1048575" man="1"/>
        <brk id="14" max="1048575" man="1"/>
      </colBreaks>
      <pageMargins left="0" right="0" top="0.25" bottom="0.25" header="0.5" footer="0.5"/>
      <printOptions horizontalCentered="1"/>
      <pageSetup scale="87" orientation="landscape" r:id="rId1"/>
      <headerFooter alignWithMargins="0"/>
    </customSheetView>
  </customSheetViews>
  <mergeCells count="5">
    <mergeCell ref="A3:K3"/>
    <mergeCell ref="A4:K4"/>
    <mergeCell ref="A8:K8"/>
    <mergeCell ref="A5:K5"/>
    <mergeCell ref="A7:K7"/>
  </mergeCells>
  <phoneticPr fontId="0" type="noConversion"/>
  <printOptions horizontalCentered="1"/>
  <pageMargins left="0" right="0" top="0.25" bottom="0.25" header="0.5" footer="0.5"/>
  <pageSetup scale="85" orientation="landscape" r:id="rId2"/>
  <headerFooter alignWithMargins="0"/>
  <rowBreaks count="1" manualBreakCount="1">
    <brk id="43" max="10" man="1"/>
  </rowBreaks>
  <colBreaks count="2" manualBreakCount="2">
    <brk id="13" max="1048575" man="1"/>
    <brk id="14"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70C0"/>
    <pageSetUpPr fitToPage="1"/>
  </sheetPr>
  <dimension ref="A1:S46"/>
  <sheetViews>
    <sheetView view="pageBreakPreview" zoomScale="80" zoomScaleNormal="100" zoomScaleSheetLayoutView="80" workbookViewId="0">
      <selection activeCell="B30" sqref="B30"/>
    </sheetView>
  </sheetViews>
  <sheetFormatPr defaultRowHeight="13.2"/>
  <cols>
    <col min="1" max="1" width="3.109375" style="32" customWidth="1"/>
    <col min="2" max="2" width="46" style="32" customWidth="1"/>
    <col min="3" max="3" width="2.33203125" style="32" customWidth="1"/>
    <col min="4" max="4" width="1.77734375" style="32" customWidth="1"/>
    <col min="5" max="5" width="18.21875" style="32" customWidth="1"/>
    <col min="6" max="6" width="18.33203125" style="32" bestFit="1" customWidth="1"/>
    <col min="7" max="7" width="17.77734375" style="32" bestFit="1" customWidth="1"/>
    <col min="8" max="8" width="14.44140625" style="32" customWidth="1"/>
    <col min="9" max="9" width="18.77734375" style="32" customWidth="1"/>
    <col min="10" max="10" width="18.33203125" style="32" bestFit="1" customWidth="1"/>
    <col min="11" max="11" width="24.77734375" style="32" customWidth="1"/>
    <col min="12" max="12" width="14.44140625" style="32" customWidth="1"/>
    <col min="13" max="13" width="3.44140625" style="32" customWidth="1"/>
    <col min="14" max="14" width="9.77734375" style="32" bestFit="1" customWidth="1"/>
    <col min="15" max="249" width="9" style="32"/>
    <col min="250" max="250" width="11.44140625" style="32" bestFit="1" customWidth="1"/>
    <col min="251" max="251" width="1.77734375" style="32" customWidth="1"/>
    <col min="252" max="252" width="42.44140625" style="32" bestFit="1" customWidth="1"/>
    <col min="253" max="253" width="2.77734375" style="32" customWidth="1"/>
    <col min="254" max="254" width="11" style="32" bestFit="1" customWidth="1"/>
    <col min="255" max="255" width="2.77734375" style="32" customWidth="1"/>
    <col min="256" max="256" width="12.109375" style="32" bestFit="1" customWidth="1"/>
    <col min="257" max="257" width="2.44140625" style="32" customWidth="1"/>
    <col min="258" max="258" width="11.21875" style="32" bestFit="1" customWidth="1"/>
    <col min="259" max="259" width="2.77734375" style="32" customWidth="1"/>
    <col min="260" max="260" width="11.44140625" style="32" bestFit="1" customWidth="1"/>
    <col min="261" max="261" width="2.44140625" style="32" customWidth="1"/>
    <col min="262" max="262" width="11" style="32" bestFit="1" customWidth="1"/>
    <col min="263" max="263" width="3.33203125" style="32" customWidth="1"/>
    <col min="264" max="264" width="10.77734375" style="32" bestFit="1" customWidth="1"/>
    <col min="265" max="265" width="3.109375" style="32" customWidth="1"/>
    <col min="266" max="266" width="11.21875" style="32" bestFit="1" customWidth="1"/>
    <col min="267" max="267" width="2.44140625" style="32" customWidth="1"/>
    <col min="268" max="268" width="11.44140625" style="32" bestFit="1" customWidth="1"/>
    <col min="269" max="269" width="9.77734375" style="32" bestFit="1" customWidth="1"/>
    <col min="270" max="505" width="9" style="32"/>
    <col min="506" max="506" width="11.44140625" style="32" bestFit="1" customWidth="1"/>
    <col min="507" max="507" width="1.77734375" style="32" customWidth="1"/>
    <col min="508" max="508" width="42.44140625" style="32" bestFit="1" customWidth="1"/>
    <col min="509" max="509" width="2.77734375" style="32" customWidth="1"/>
    <col min="510" max="510" width="11" style="32" bestFit="1" customWidth="1"/>
    <col min="511" max="511" width="2.77734375" style="32" customWidth="1"/>
    <col min="512" max="512" width="12.109375" style="32" bestFit="1" customWidth="1"/>
    <col min="513" max="513" width="2.44140625" style="32" customWidth="1"/>
    <col min="514" max="514" width="11.21875" style="32" bestFit="1" customWidth="1"/>
    <col min="515" max="515" width="2.77734375" style="32" customWidth="1"/>
    <col min="516" max="516" width="11.44140625" style="32" bestFit="1" customWidth="1"/>
    <col min="517" max="517" width="2.44140625" style="32" customWidth="1"/>
    <col min="518" max="518" width="11" style="32" bestFit="1" customWidth="1"/>
    <col min="519" max="519" width="3.33203125" style="32" customWidth="1"/>
    <col min="520" max="520" width="10.77734375" style="32" bestFit="1" customWidth="1"/>
    <col min="521" max="521" width="3.109375" style="32" customWidth="1"/>
    <col min="522" max="522" width="11.21875" style="32" bestFit="1" customWidth="1"/>
    <col min="523" max="523" width="2.44140625" style="32" customWidth="1"/>
    <col min="524" max="524" width="11.44140625" style="32" bestFit="1" customWidth="1"/>
    <col min="525" max="525" width="9.77734375" style="32" bestFit="1" customWidth="1"/>
    <col min="526" max="761" width="9" style="32"/>
    <col min="762" max="762" width="11.44140625" style="32" bestFit="1" customWidth="1"/>
    <col min="763" max="763" width="1.77734375" style="32" customWidth="1"/>
    <col min="764" max="764" width="42.44140625" style="32" bestFit="1" customWidth="1"/>
    <col min="765" max="765" width="2.77734375" style="32" customWidth="1"/>
    <col min="766" max="766" width="11" style="32" bestFit="1" customWidth="1"/>
    <col min="767" max="767" width="2.77734375" style="32" customWidth="1"/>
    <col min="768" max="768" width="12.109375" style="32" bestFit="1" customWidth="1"/>
    <col min="769" max="769" width="2.44140625" style="32" customWidth="1"/>
    <col min="770" max="770" width="11.21875" style="32" bestFit="1" customWidth="1"/>
    <col min="771" max="771" width="2.77734375" style="32" customWidth="1"/>
    <col min="772" max="772" width="11.44140625" style="32" bestFit="1" customWidth="1"/>
    <col min="773" max="773" width="2.44140625" style="32" customWidth="1"/>
    <col min="774" max="774" width="11" style="32" bestFit="1" customWidth="1"/>
    <col min="775" max="775" width="3.33203125" style="32" customWidth="1"/>
    <col min="776" max="776" width="10.77734375" style="32" bestFit="1" customWidth="1"/>
    <col min="777" max="777" width="3.109375" style="32" customWidth="1"/>
    <col min="778" max="778" width="11.21875" style="32" bestFit="1" customWidth="1"/>
    <col min="779" max="779" width="2.44140625" style="32" customWidth="1"/>
    <col min="780" max="780" width="11.44140625" style="32" bestFit="1" customWidth="1"/>
    <col min="781" max="781" width="9.77734375" style="32" bestFit="1" customWidth="1"/>
    <col min="782" max="1017" width="9" style="32"/>
    <col min="1018" max="1018" width="11.44140625" style="32" bestFit="1" customWidth="1"/>
    <col min="1019" max="1019" width="1.77734375" style="32" customWidth="1"/>
    <col min="1020" max="1020" width="42.44140625" style="32" bestFit="1" customWidth="1"/>
    <col min="1021" max="1021" width="2.77734375" style="32" customWidth="1"/>
    <col min="1022" max="1022" width="11" style="32" bestFit="1" customWidth="1"/>
    <col min="1023" max="1023" width="2.77734375" style="32" customWidth="1"/>
    <col min="1024" max="1024" width="12.109375" style="32" bestFit="1" customWidth="1"/>
    <col min="1025" max="1025" width="2.44140625" style="32" customWidth="1"/>
    <col min="1026" max="1026" width="11.21875" style="32" bestFit="1" customWidth="1"/>
    <col min="1027" max="1027" width="2.77734375" style="32" customWidth="1"/>
    <col min="1028" max="1028" width="11.44140625" style="32" bestFit="1" customWidth="1"/>
    <col min="1029" max="1029" width="2.44140625" style="32" customWidth="1"/>
    <col min="1030" max="1030" width="11" style="32" bestFit="1" customWidth="1"/>
    <col min="1031" max="1031" width="3.33203125" style="32" customWidth="1"/>
    <col min="1032" max="1032" width="10.77734375" style="32" bestFit="1" customWidth="1"/>
    <col min="1033" max="1033" width="3.109375" style="32" customWidth="1"/>
    <col min="1034" max="1034" width="11.21875" style="32" bestFit="1" customWidth="1"/>
    <col min="1035" max="1035" width="2.44140625" style="32" customWidth="1"/>
    <col min="1036" max="1036" width="11.44140625" style="32" bestFit="1" customWidth="1"/>
    <col min="1037" max="1037" width="9.77734375" style="32" bestFit="1" customWidth="1"/>
    <col min="1038" max="1273" width="9" style="32"/>
    <col min="1274" max="1274" width="11.44140625" style="32" bestFit="1" customWidth="1"/>
    <col min="1275" max="1275" width="1.77734375" style="32" customWidth="1"/>
    <col min="1276" max="1276" width="42.44140625" style="32" bestFit="1" customWidth="1"/>
    <col min="1277" max="1277" width="2.77734375" style="32" customWidth="1"/>
    <col min="1278" max="1278" width="11" style="32" bestFit="1" customWidth="1"/>
    <col min="1279" max="1279" width="2.77734375" style="32" customWidth="1"/>
    <col min="1280" max="1280" width="12.109375" style="32" bestFit="1" customWidth="1"/>
    <col min="1281" max="1281" width="2.44140625" style="32" customWidth="1"/>
    <col min="1282" max="1282" width="11.21875" style="32" bestFit="1" customWidth="1"/>
    <col min="1283" max="1283" width="2.77734375" style="32" customWidth="1"/>
    <col min="1284" max="1284" width="11.44140625" style="32" bestFit="1" customWidth="1"/>
    <col min="1285" max="1285" width="2.44140625" style="32" customWidth="1"/>
    <col min="1286" max="1286" width="11" style="32" bestFit="1" customWidth="1"/>
    <col min="1287" max="1287" width="3.33203125" style="32" customWidth="1"/>
    <col min="1288" max="1288" width="10.77734375" style="32" bestFit="1" customWidth="1"/>
    <col min="1289" max="1289" width="3.109375" style="32" customWidth="1"/>
    <col min="1290" max="1290" width="11.21875" style="32" bestFit="1" customWidth="1"/>
    <col min="1291" max="1291" width="2.44140625" style="32" customWidth="1"/>
    <col min="1292" max="1292" width="11.44140625" style="32" bestFit="1" customWidth="1"/>
    <col min="1293" max="1293" width="9.77734375" style="32" bestFit="1" customWidth="1"/>
    <col min="1294" max="1529" width="9" style="32"/>
    <col min="1530" max="1530" width="11.44140625" style="32" bestFit="1" customWidth="1"/>
    <col min="1531" max="1531" width="1.77734375" style="32" customWidth="1"/>
    <col min="1532" max="1532" width="42.44140625" style="32" bestFit="1" customWidth="1"/>
    <col min="1533" max="1533" width="2.77734375" style="32" customWidth="1"/>
    <col min="1534" max="1534" width="11" style="32" bestFit="1" customWidth="1"/>
    <col min="1535" max="1535" width="2.77734375" style="32" customWidth="1"/>
    <col min="1536" max="1536" width="12.109375" style="32" bestFit="1" customWidth="1"/>
    <col min="1537" max="1537" width="2.44140625" style="32" customWidth="1"/>
    <col min="1538" max="1538" width="11.21875" style="32" bestFit="1" customWidth="1"/>
    <col min="1539" max="1539" width="2.77734375" style="32" customWidth="1"/>
    <col min="1540" max="1540" width="11.44140625" style="32" bestFit="1" customWidth="1"/>
    <col min="1541" max="1541" width="2.44140625" style="32" customWidth="1"/>
    <col min="1542" max="1542" width="11" style="32" bestFit="1" customWidth="1"/>
    <col min="1543" max="1543" width="3.33203125" style="32" customWidth="1"/>
    <col min="1544" max="1544" width="10.77734375" style="32" bestFit="1" customWidth="1"/>
    <col min="1545" max="1545" width="3.109375" style="32" customWidth="1"/>
    <col min="1546" max="1546" width="11.21875" style="32" bestFit="1" customWidth="1"/>
    <col min="1547" max="1547" width="2.44140625" style="32" customWidth="1"/>
    <col min="1548" max="1548" width="11.44140625" style="32" bestFit="1" customWidth="1"/>
    <col min="1549" max="1549" width="9.77734375" style="32" bestFit="1" customWidth="1"/>
    <col min="1550" max="1785" width="9" style="32"/>
    <col min="1786" max="1786" width="11.44140625" style="32" bestFit="1" customWidth="1"/>
    <col min="1787" max="1787" width="1.77734375" style="32" customWidth="1"/>
    <col min="1788" max="1788" width="42.44140625" style="32" bestFit="1" customWidth="1"/>
    <col min="1789" max="1789" width="2.77734375" style="32" customWidth="1"/>
    <col min="1790" max="1790" width="11" style="32" bestFit="1" customWidth="1"/>
    <col min="1791" max="1791" width="2.77734375" style="32" customWidth="1"/>
    <col min="1792" max="1792" width="12.109375" style="32" bestFit="1" customWidth="1"/>
    <col min="1793" max="1793" width="2.44140625" style="32" customWidth="1"/>
    <col min="1794" max="1794" width="11.21875" style="32" bestFit="1" customWidth="1"/>
    <col min="1795" max="1795" width="2.77734375" style="32" customWidth="1"/>
    <col min="1796" max="1796" width="11.44140625" style="32" bestFit="1" customWidth="1"/>
    <col min="1797" max="1797" width="2.44140625" style="32" customWidth="1"/>
    <col min="1798" max="1798" width="11" style="32" bestFit="1" customWidth="1"/>
    <col min="1799" max="1799" width="3.33203125" style="32" customWidth="1"/>
    <col min="1800" max="1800" width="10.77734375" style="32" bestFit="1" customWidth="1"/>
    <col min="1801" max="1801" width="3.109375" style="32" customWidth="1"/>
    <col min="1802" max="1802" width="11.21875" style="32" bestFit="1" customWidth="1"/>
    <col min="1803" max="1803" width="2.44140625" style="32" customWidth="1"/>
    <col min="1804" max="1804" width="11.44140625" style="32" bestFit="1" customWidth="1"/>
    <col min="1805" max="1805" width="9.77734375" style="32" bestFit="1" customWidth="1"/>
    <col min="1806" max="2041" width="9" style="32"/>
    <col min="2042" max="2042" width="11.44140625" style="32" bestFit="1" customWidth="1"/>
    <col min="2043" max="2043" width="1.77734375" style="32" customWidth="1"/>
    <col min="2044" max="2044" width="42.44140625" style="32" bestFit="1" customWidth="1"/>
    <col min="2045" max="2045" width="2.77734375" style="32" customWidth="1"/>
    <col min="2046" max="2046" width="11" style="32" bestFit="1" customWidth="1"/>
    <col min="2047" max="2047" width="2.77734375" style="32" customWidth="1"/>
    <col min="2048" max="2048" width="12.109375" style="32" bestFit="1" customWidth="1"/>
    <col min="2049" max="2049" width="2.44140625" style="32" customWidth="1"/>
    <col min="2050" max="2050" width="11.21875" style="32" bestFit="1" customWidth="1"/>
    <col min="2051" max="2051" width="2.77734375" style="32" customWidth="1"/>
    <col min="2052" max="2052" width="11.44140625" style="32" bestFit="1" customWidth="1"/>
    <col min="2053" max="2053" width="2.44140625" style="32" customWidth="1"/>
    <col min="2054" max="2054" width="11" style="32" bestFit="1" customWidth="1"/>
    <col min="2055" max="2055" width="3.33203125" style="32" customWidth="1"/>
    <col min="2056" max="2056" width="10.77734375" style="32" bestFit="1" customWidth="1"/>
    <col min="2057" max="2057" width="3.109375" style="32" customWidth="1"/>
    <col min="2058" max="2058" width="11.21875" style="32" bestFit="1" customWidth="1"/>
    <col min="2059" max="2059" width="2.44140625" style="32" customWidth="1"/>
    <col min="2060" max="2060" width="11.44140625" style="32" bestFit="1" customWidth="1"/>
    <col min="2061" max="2061" width="9.77734375" style="32" bestFit="1" customWidth="1"/>
    <col min="2062" max="2297" width="9" style="32"/>
    <col min="2298" max="2298" width="11.44140625" style="32" bestFit="1" customWidth="1"/>
    <col min="2299" max="2299" width="1.77734375" style="32" customWidth="1"/>
    <col min="2300" max="2300" width="42.44140625" style="32" bestFit="1" customWidth="1"/>
    <col min="2301" max="2301" width="2.77734375" style="32" customWidth="1"/>
    <col min="2302" max="2302" width="11" style="32" bestFit="1" customWidth="1"/>
    <col min="2303" max="2303" width="2.77734375" style="32" customWidth="1"/>
    <col min="2304" max="2304" width="12.109375" style="32" bestFit="1" customWidth="1"/>
    <col min="2305" max="2305" width="2.44140625" style="32" customWidth="1"/>
    <col min="2306" max="2306" width="11.21875" style="32" bestFit="1" customWidth="1"/>
    <col min="2307" max="2307" width="2.77734375" style="32" customWidth="1"/>
    <col min="2308" max="2308" width="11.44140625" style="32" bestFit="1" customWidth="1"/>
    <col min="2309" max="2309" width="2.44140625" style="32" customWidth="1"/>
    <col min="2310" max="2310" width="11" style="32" bestFit="1" customWidth="1"/>
    <col min="2311" max="2311" width="3.33203125" style="32" customWidth="1"/>
    <col min="2312" max="2312" width="10.77734375" style="32" bestFit="1" customWidth="1"/>
    <col min="2313" max="2313" width="3.109375" style="32" customWidth="1"/>
    <col min="2314" max="2314" width="11.21875" style="32" bestFit="1" customWidth="1"/>
    <col min="2315" max="2315" width="2.44140625" style="32" customWidth="1"/>
    <col min="2316" max="2316" width="11.44140625" style="32" bestFit="1" customWidth="1"/>
    <col min="2317" max="2317" width="9.77734375" style="32" bestFit="1" customWidth="1"/>
    <col min="2318" max="2553" width="9" style="32"/>
    <col min="2554" max="2554" width="11.44140625" style="32" bestFit="1" customWidth="1"/>
    <col min="2555" max="2555" width="1.77734375" style="32" customWidth="1"/>
    <col min="2556" max="2556" width="42.44140625" style="32" bestFit="1" customWidth="1"/>
    <col min="2557" max="2557" width="2.77734375" style="32" customWidth="1"/>
    <col min="2558" max="2558" width="11" style="32" bestFit="1" customWidth="1"/>
    <col min="2559" max="2559" width="2.77734375" style="32" customWidth="1"/>
    <col min="2560" max="2560" width="12.109375" style="32" bestFit="1" customWidth="1"/>
    <col min="2561" max="2561" width="2.44140625" style="32" customWidth="1"/>
    <col min="2562" max="2562" width="11.21875" style="32" bestFit="1" customWidth="1"/>
    <col min="2563" max="2563" width="2.77734375" style="32" customWidth="1"/>
    <col min="2564" max="2564" width="11.44140625" style="32" bestFit="1" customWidth="1"/>
    <col min="2565" max="2565" width="2.44140625" style="32" customWidth="1"/>
    <col min="2566" max="2566" width="11" style="32" bestFit="1" customWidth="1"/>
    <col min="2567" max="2567" width="3.33203125" style="32" customWidth="1"/>
    <col min="2568" max="2568" width="10.77734375" style="32" bestFit="1" customWidth="1"/>
    <col min="2569" max="2569" width="3.109375" style="32" customWidth="1"/>
    <col min="2570" max="2570" width="11.21875" style="32" bestFit="1" customWidth="1"/>
    <col min="2571" max="2571" width="2.44140625" style="32" customWidth="1"/>
    <col min="2572" max="2572" width="11.44140625" style="32" bestFit="1" customWidth="1"/>
    <col min="2573" max="2573" width="9.77734375" style="32" bestFit="1" customWidth="1"/>
    <col min="2574" max="2809" width="9" style="32"/>
    <col min="2810" max="2810" width="11.44140625" style="32" bestFit="1" customWidth="1"/>
    <col min="2811" max="2811" width="1.77734375" style="32" customWidth="1"/>
    <col min="2812" max="2812" width="42.44140625" style="32" bestFit="1" customWidth="1"/>
    <col min="2813" max="2813" width="2.77734375" style="32" customWidth="1"/>
    <col min="2814" max="2814" width="11" style="32" bestFit="1" customWidth="1"/>
    <col min="2815" max="2815" width="2.77734375" style="32" customWidth="1"/>
    <col min="2816" max="2816" width="12.109375" style="32" bestFit="1" customWidth="1"/>
    <col min="2817" max="2817" width="2.44140625" style="32" customWidth="1"/>
    <col min="2818" max="2818" width="11.21875" style="32" bestFit="1" customWidth="1"/>
    <col min="2819" max="2819" width="2.77734375" style="32" customWidth="1"/>
    <col min="2820" max="2820" width="11.44140625" style="32" bestFit="1" customWidth="1"/>
    <col min="2821" max="2821" width="2.44140625" style="32" customWidth="1"/>
    <col min="2822" max="2822" width="11" style="32" bestFit="1" customWidth="1"/>
    <col min="2823" max="2823" width="3.33203125" style="32" customWidth="1"/>
    <col min="2824" max="2824" width="10.77734375" style="32" bestFit="1" customWidth="1"/>
    <col min="2825" max="2825" width="3.109375" style="32" customWidth="1"/>
    <col min="2826" max="2826" width="11.21875" style="32" bestFit="1" customWidth="1"/>
    <col min="2827" max="2827" width="2.44140625" style="32" customWidth="1"/>
    <col min="2828" max="2828" width="11.44140625" style="32" bestFit="1" customWidth="1"/>
    <col min="2829" max="2829" width="9.77734375" style="32" bestFit="1" customWidth="1"/>
    <col min="2830" max="3065" width="9" style="32"/>
    <col min="3066" max="3066" width="11.44140625" style="32" bestFit="1" customWidth="1"/>
    <col min="3067" max="3067" width="1.77734375" style="32" customWidth="1"/>
    <col min="3068" max="3068" width="42.44140625" style="32" bestFit="1" customWidth="1"/>
    <col min="3069" max="3069" width="2.77734375" style="32" customWidth="1"/>
    <col min="3070" max="3070" width="11" style="32" bestFit="1" customWidth="1"/>
    <col min="3071" max="3071" width="2.77734375" style="32" customWidth="1"/>
    <col min="3072" max="3072" width="12.109375" style="32" bestFit="1" customWidth="1"/>
    <col min="3073" max="3073" width="2.44140625" style="32" customWidth="1"/>
    <col min="3074" max="3074" width="11.21875" style="32" bestFit="1" customWidth="1"/>
    <col min="3075" max="3075" width="2.77734375" style="32" customWidth="1"/>
    <col min="3076" max="3076" width="11.44140625" style="32" bestFit="1" customWidth="1"/>
    <col min="3077" max="3077" width="2.44140625" style="32" customWidth="1"/>
    <col min="3078" max="3078" width="11" style="32" bestFit="1" customWidth="1"/>
    <col min="3079" max="3079" width="3.33203125" style="32" customWidth="1"/>
    <col min="3080" max="3080" width="10.77734375" style="32" bestFit="1" customWidth="1"/>
    <col min="3081" max="3081" width="3.109375" style="32" customWidth="1"/>
    <col min="3082" max="3082" width="11.21875" style="32" bestFit="1" customWidth="1"/>
    <col min="3083" max="3083" width="2.44140625" style="32" customWidth="1"/>
    <col min="3084" max="3084" width="11.44140625" style="32" bestFit="1" customWidth="1"/>
    <col min="3085" max="3085" width="9.77734375" style="32" bestFit="1" customWidth="1"/>
    <col min="3086" max="3321" width="9" style="32"/>
    <col min="3322" max="3322" width="11.44140625" style="32" bestFit="1" customWidth="1"/>
    <col min="3323" max="3323" width="1.77734375" style="32" customWidth="1"/>
    <col min="3324" max="3324" width="42.44140625" style="32" bestFit="1" customWidth="1"/>
    <col min="3325" max="3325" width="2.77734375" style="32" customWidth="1"/>
    <col min="3326" max="3326" width="11" style="32" bestFit="1" customWidth="1"/>
    <col min="3327" max="3327" width="2.77734375" style="32" customWidth="1"/>
    <col min="3328" max="3328" width="12.109375" style="32" bestFit="1" customWidth="1"/>
    <col min="3329" max="3329" width="2.44140625" style="32" customWidth="1"/>
    <col min="3330" max="3330" width="11.21875" style="32" bestFit="1" customWidth="1"/>
    <col min="3331" max="3331" width="2.77734375" style="32" customWidth="1"/>
    <col min="3332" max="3332" width="11.44140625" style="32" bestFit="1" customWidth="1"/>
    <col min="3333" max="3333" width="2.44140625" style="32" customWidth="1"/>
    <col min="3334" max="3334" width="11" style="32" bestFit="1" customWidth="1"/>
    <col min="3335" max="3335" width="3.33203125" style="32" customWidth="1"/>
    <col min="3336" max="3336" width="10.77734375" style="32" bestFit="1" customWidth="1"/>
    <col min="3337" max="3337" width="3.109375" style="32" customWidth="1"/>
    <col min="3338" max="3338" width="11.21875" style="32" bestFit="1" customWidth="1"/>
    <col min="3339" max="3339" width="2.44140625" style="32" customWidth="1"/>
    <col min="3340" max="3340" width="11.44140625" style="32" bestFit="1" customWidth="1"/>
    <col min="3341" max="3341" width="9.77734375" style="32" bestFit="1" customWidth="1"/>
    <col min="3342" max="3577" width="9" style="32"/>
    <col min="3578" max="3578" width="11.44140625" style="32" bestFit="1" customWidth="1"/>
    <col min="3579" max="3579" width="1.77734375" style="32" customWidth="1"/>
    <col min="3580" max="3580" width="42.44140625" style="32" bestFit="1" customWidth="1"/>
    <col min="3581" max="3581" width="2.77734375" style="32" customWidth="1"/>
    <col min="3582" max="3582" width="11" style="32" bestFit="1" customWidth="1"/>
    <col min="3583" max="3583" width="2.77734375" style="32" customWidth="1"/>
    <col min="3584" max="3584" width="12.109375" style="32" bestFit="1" customWidth="1"/>
    <col min="3585" max="3585" width="2.44140625" style="32" customWidth="1"/>
    <col min="3586" max="3586" width="11.21875" style="32" bestFit="1" customWidth="1"/>
    <col min="3587" max="3587" width="2.77734375" style="32" customWidth="1"/>
    <col min="3588" max="3588" width="11.44140625" style="32" bestFit="1" customWidth="1"/>
    <col min="3589" max="3589" width="2.44140625" style="32" customWidth="1"/>
    <col min="3590" max="3590" width="11" style="32" bestFit="1" customWidth="1"/>
    <col min="3591" max="3591" width="3.33203125" style="32" customWidth="1"/>
    <col min="3592" max="3592" width="10.77734375" style="32" bestFit="1" customWidth="1"/>
    <col min="3593" max="3593" width="3.109375" style="32" customWidth="1"/>
    <col min="3594" max="3594" width="11.21875" style="32" bestFit="1" customWidth="1"/>
    <col min="3595" max="3595" width="2.44140625" style="32" customWidth="1"/>
    <col min="3596" max="3596" width="11.44140625" style="32" bestFit="1" customWidth="1"/>
    <col min="3597" max="3597" width="9.77734375" style="32" bestFit="1" customWidth="1"/>
    <col min="3598" max="3833" width="9" style="32"/>
    <col min="3834" max="3834" width="11.44140625" style="32" bestFit="1" customWidth="1"/>
    <col min="3835" max="3835" width="1.77734375" style="32" customWidth="1"/>
    <col min="3836" max="3836" width="42.44140625" style="32" bestFit="1" customWidth="1"/>
    <col min="3837" max="3837" width="2.77734375" style="32" customWidth="1"/>
    <col min="3838" max="3838" width="11" style="32" bestFit="1" customWidth="1"/>
    <col min="3839" max="3839" width="2.77734375" style="32" customWidth="1"/>
    <col min="3840" max="3840" width="12.109375" style="32" bestFit="1" customWidth="1"/>
    <col min="3841" max="3841" width="2.44140625" style="32" customWidth="1"/>
    <col min="3842" max="3842" width="11.21875" style="32" bestFit="1" customWidth="1"/>
    <col min="3843" max="3843" width="2.77734375" style="32" customWidth="1"/>
    <col min="3844" max="3844" width="11.44140625" style="32" bestFit="1" customWidth="1"/>
    <col min="3845" max="3845" width="2.44140625" style="32" customWidth="1"/>
    <col min="3846" max="3846" width="11" style="32" bestFit="1" customWidth="1"/>
    <col min="3847" max="3847" width="3.33203125" style="32" customWidth="1"/>
    <col min="3848" max="3848" width="10.77734375" style="32" bestFit="1" customWidth="1"/>
    <col min="3849" max="3849" width="3.109375" style="32" customWidth="1"/>
    <col min="3850" max="3850" width="11.21875" style="32" bestFit="1" customWidth="1"/>
    <col min="3851" max="3851" width="2.44140625" style="32" customWidth="1"/>
    <col min="3852" max="3852" width="11.44140625" style="32" bestFit="1" customWidth="1"/>
    <col min="3853" max="3853" width="9.77734375" style="32" bestFit="1" customWidth="1"/>
    <col min="3854" max="4089" width="9" style="32"/>
    <col min="4090" max="4090" width="11.44140625" style="32" bestFit="1" customWidth="1"/>
    <col min="4091" max="4091" width="1.77734375" style="32" customWidth="1"/>
    <col min="4092" max="4092" width="42.44140625" style="32" bestFit="1" customWidth="1"/>
    <col min="4093" max="4093" width="2.77734375" style="32" customWidth="1"/>
    <col min="4094" max="4094" width="11" style="32" bestFit="1" customWidth="1"/>
    <col min="4095" max="4095" width="2.77734375" style="32" customWidth="1"/>
    <col min="4096" max="4096" width="12.109375" style="32" bestFit="1" customWidth="1"/>
    <col min="4097" max="4097" width="2.44140625" style="32" customWidth="1"/>
    <col min="4098" max="4098" width="11.21875" style="32" bestFit="1" customWidth="1"/>
    <col min="4099" max="4099" width="2.77734375" style="32" customWidth="1"/>
    <col min="4100" max="4100" width="11.44140625" style="32" bestFit="1" customWidth="1"/>
    <col min="4101" max="4101" width="2.44140625" style="32" customWidth="1"/>
    <col min="4102" max="4102" width="11" style="32" bestFit="1" customWidth="1"/>
    <col min="4103" max="4103" width="3.33203125" style="32" customWidth="1"/>
    <col min="4104" max="4104" width="10.77734375" style="32" bestFit="1" customWidth="1"/>
    <col min="4105" max="4105" width="3.109375" style="32" customWidth="1"/>
    <col min="4106" max="4106" width="11.21875" style="32" bestFit="1" customWidth="1"/>
    <col min="4107" max="4107" width="2.44140625" style="32" customWidth="1"/>
    <col min="4108" max="4108" width="11.44140625" style="32" bestFit="1" customWidth="1"/>
    <col min="4109" max="4109" width="9.77734375" style="32" bestFit="1" customWidth="1"/>
    <col min="4110" max="4345" width="9" style="32"/>
    <col min="4346" max="4346" width="11.44140625" style="32" bestFit="1" customWidth="1"/>
    <col min="4347" max="4347" width="1.77734375" style="32" customWidth="1"/>
    <col min="4348" max="4348" width="42.44140625" style="32" bestFit="1" customWidth="1"/>
    <col min="4349" max="4349" width="2.77734375" style="32" customWidth="1"/>
    <col min="4350" max="4350" width="11" style="32" bestFit="1" customWidth="1"/>
    <col min="4351" max="4351" width="2.77734375" style="32" customWidth="1"/>
    <col min="4352" max="4352" width="12.109375" style="32" bestFit="1" customWidth="1"/>
    <col min="4353" max="4353" width="2.44140625" style="32" customWidth="1"/>
    <col min="4354" max="4354" width="11.21875" style="32" bestFit="1" customWidth="1"/>
    <col min="4355" max="4355" width="2.77734375" style="32" customWidth="1"/>
    <col min="4356" max="4356" width="11.44140625" style="32" bestFit="1" customWidth="1"/>
    <col min="4357" max="4357" width="2.44140625" style="32" customWidth="1"/>
    <col min="4358" max="4358" width="11" style="32" bestFit="1" customWidth="1"/>
    <col min="4359" max="4359" width="3.33203125" style="32" customWidth="1"/>
    <col min="4360" max="4360" width="10.77734375" style="32" bestFit="1" customWidth="1"/>
    <col min="4361" max="4361" width="3.109375" style="32" customWidth="1"/>
    <col min="4362" max="4362" width="11.21875" style="32" bestFit="1" customWidth="1"/>
    <col min="4363" max="4363" width="2.44140625" style="32" customWidth="1"/>
    <col min="4364" max="4364" width="11.44140625" style="32" bestFit="1" customWidth="1"/>
    <col min="4365" max="4365" width="9.77734375" style="32" bestFit="1" customWidth="1"/>
    <col min="4366" max="4601" width="9" style="32"/>
    <col min="4602" max="4602" width="11.44140625" style="32" bestFit="1" customWidth="1"/>
    <col min="4603" max="4603" width="1.77734375" style="32" customWidth="1"/>
    <col min="4604" max="4604" width="42.44140625" style="32" bestFit="1" customWidth="1"/>
    <col min="4605" max="4605" width="2.77734375" style="32" customWidth="1"/>
    <col min="4606" max="4606" width="11" style="32" bestFit="1" customWidth="1"/>
    <col min="4607" max="4607" width="2.77734375" style="32" customWidth="1"/>
    <col min="4608" max="4608" width="12.109375" style="32" bestFit="1" customWidth="1"/>
    <col min="4609" max="4609" width="2.44140625" style="32" customWidth="1"/>
    <col min="4610" max="4610" width="11.21875" style="32" bestFit="1" customWidth="1"/>
    <col min="4611" max="4611" width="2.77734375" style="32" customWidth="1"/>
    <col min="4612" max="4612" width="11.44140625" style="32" bestFit="1" customWidth="1"/>
    <col min="4613" max="4613" width="2.44140625" style="32" customWidth="1"/>
    <col min="4614" max="4614" width="11" style="32" bestFit="1" customWidth="1"/>
    <col min="4615" max="4615" width="3.33203125" style="32" customWidth="1"/>
    <col min="4616" max="4616" width="10.77734375" style="32" bestFit="1" customWidth="1"/>
    <col min="4617" max="4617" width="3.109375" style="32" customWidth="1"/>
    <col min="4618" max="4618" width="11.21875" style="32" bestFit="1" customWidth="1"/>
    <col min="4619" max="4619" width="2.44140625" style="32" customWidth="1"/>
    <col min="4620" max="4620" width="11.44140625" style="32" bestFit="1" customWidth="1"/>
    <col min="4621" max="4621" width="9.77734375" style="32" bestFit="1" customWidth="1"/>
    <col min="4622" max="4857" width="9" style="32"/>
    <col min="4858" max="4858" width="11.44140625" style="32" bestFit="1" customWidth="1"/>
    <col min="4859" max="4859" width="1.77734375" style="32" customWidth="1"/>
    <col min="4860" max="4860" width="42.44140625" style="32" bestFit="1" customWidth="1"/>
    <col min="4861" max="4861" width="2.77734375" style="32" customWidth="1"/>
    <col min="4862" max="4862" width="11" style="32" bestFit="1" customWidth="1"/>
    <col min="4863" max="4863" width="2.77734375" style="32" customWidth="1"/>
    <col min="4864" max="4864" width="12.109375" style="32" bestFit="1" customWidth="1"/>
    <col min="4865" max="4865" width="2.44140625" style="32" customWidth="1"/>
    <col min="4866" max="4866" width="11.21875" style="32" bestFit="1" customWidth="1"/>
    <col min="4867" max="4867" width="2.77734375" style="32" customWidth="1"/>
    <col min="4868" max="4868" width="11.44140625" style="32" bestFit="1" customWidth="1"/>
    <col min="4869" max="4869" width="2.44140625" style="32" customWidth="1"/>
    <col min="4870" max="4870" width="11" style="32" bestFit="1" customWidth="1"/>
    <col min="4871" max="4871" width="3.33203125" style="32" customWidth="1"/>
    <col min="4872" max="4872" width="10.77734375" style="32" bestFit="1" customWidth="1"/>
    <col min="4873" max="4873" width="3.109375" style="32" customWidth="1"/>
    <col min="4874" max="4874" width="11.21875" style="32" bestFit="1" customWidth="1"/>
    <col min="4875" max="4875" width="2.44140625" style="32" customWidth="1"/>
    <col min="4876" max="4876" width="11.44140625" style="32" bestFit="1" customWidth="1"/>
    <col min="4877" max="4877" width="9.77734375" style="32" bestFit="1" customWidth="1"/>
    <col min="4878" max="5113" width="9" style="32"/>
    <col min="5114" max="5114" width="11.44140625" style="32" bestFit="1" customWidth="1"/>
    <col min="5115" max="5115" width="1.77734375" style="32" customWidth="1"/>
    <col min="5116" max="5116" width="42.44140625" style="32" bestFit="1" customWidth="1"/>
    <col min="5117" max="5117" width="2.77734375" style="32" customWidth="1"/>
    <col min="5118" max="5118" width="11" style="32" bestFit="1" customWidth="1"/>
    <col min="5119" max="5119" width="2.77734375" style="32" customWidth="1"/>
    <col min="5120" max="5120" width="12.109375" style="32" bestFit="1" customWidth="1"/>
    <col min="5121" max="5121" width="2.44140625" style="32" customWidth="1"/>
    <col min="5122" max="5122" width="11.21875" style="32" bestFit="1" customWidth="1"/>
    <col min="5123" max="5123" width="2.77734375" style="32" customWidth="1"/>
    <col min="5124" max="5124" width="11.44140625" style="32" bestFit="1" customWidth="1"/>
    <col min="5125" max="5125" width="2.44140625" style="32" customWidth="1"/>
    <col min="5126" max="5126" width="11" style="32" bestFit="1" customWidth="1"/>
    <col min="5127" max="5127" width="3.33203125" style="32" customWidth="1"/>
    <col min="5128" max="5128" width="10.77734375" style="32" bestFit="1" customWidth="1"/>
    <col min="5129" max="5129" width="3.109375" style="32" customWidth="1"/>
    <col min="5130" max="5130" width="11.21875" style="32" bestFit="1" customWidth="1"/>
    <col min="5131" max="5131" width="2.44140625" style="32" customWidth="1"/>
    <col min="5132" max="5132" width="11.44140625" style="32" bestFit="1" customWidth="1"/>
    <col min="5133" max="5133" width="9.77734375" style="32" bestFit="1" customWidth="1"/>
    <col min="5134" max="5369" width="9" style="32"/>
    <col min="5370" max="5370" width="11.44140625" style="32" bestFit="1" customWidth="1"/>
    <col min="5371" max="5371" width="1.77734375" style="32" customWidth="1"/>
    <col min="5372" max="5372" width="42.44140625" style="32" bestFit="1" customWidth="1"/>
    <col min="5373" max="5373" width="2.77734375" style="32" customWidth="1"/>
    <col min="5374" max="5374" width="11" style="32" bestFit="1" customWidth="1"/>
    <col min="5375" max="5375" width="2.77734375" style="32" customWidth="1"/>
    <col min="5376" max="5376" width="12.109375" style="32" bestFit="1" customWidth="1"/>
    <col min="5377" max="5377" width="2.44140625" style="32" customWidth="1"/>
    <col min="5378" max="5378" width="11.21875" style="32" bestFit="1" customWidth="1"/>
    <col min="5379" max="5379" width="2.77734375" style="32" customWidth="1"/>
    <col min="5380" max="5380" width="11.44140625" style="32" bestFit="1" customWidth="1"/>
    <col min="5381" max="5381" width="2.44140625" style="32" customWidth="1"/>
    <col min="5382" max="5382" width="11" style="32" bestFit="1" customWidth="1"/>
    <col min="5383" max="5383" width="3.33203125" style="32" customWidth="1"/>
    <col min="5384" max="5384" width="10.77734375" style="32" bestFit="1" customWidth="1"/>
    <col min="5385" max="5385" width="3.109375" style="32" customWidth="1"/>
    <col min="5386" max="5386" width="11.21875" style="32" bestFit="1" customWidth="1"/>
    <col min="5387" max="5387" width="2.44140625" style="32" customWidth="1"/>
    <col min="5388" max="5388" width="11.44140625" style="32" bestFit="1" customWidth="1"/>
    <col min="5389" max="5389" width="9.77734375" style="32" bestFit="1" customWidth="1"/>
    <col min="5390" max="5625" width="9" style="32"/>
    <col min="5626" max="5626" width="11.44140625" style="32" bestFit="1" customWidth="1"/>
    <col min="5627" max="5627" width="1.77734375" style="32" customWidth="1"/>
    <col min="5628" max="5628" width="42.44140625" style="32" bestFit="1" customWidth="1"/>
    <col min="5629" max="5629" width="2.77734375" style="32" customWidth="1"/>
    <col min="5630" max="5630" width="11" style="32" bestFit="1" customWidth="1"/>
    <col min="5631" max="5631" width="2.77734375" style="32" customWidth="1"/>
    <col min="5632" max="5632" width="12.109375" style="32" bestFit="1" customWidth="1"/>
    <col min="5633" max="5633" width="2.44140625" style="32" customWidth="1"/>
    <col min="5634" max="5634" width="11.21875" style="32" bestFit="1" customWidth="1"/>
    <col min="5635" max="5635" width="2.77734375" style="32" customWidth="1"/>
    <col min="5636" max="5636" width="11.44140625" style="32" bestFit="1" customWidth="1"/>
    <col min="5637" max="5637" width="2.44140625" style="32" customWidth="1"/>
    <col min="5638" max="5638" width="11" style="32" bestFit="1" customWidth="1"/>
    <col min="5639" max="5639" width="3.33203125" style="32" customWidth="1"/>
    <col min="5640" max="5640" width="10.77734375" style="32" bestFit="1" customWidth="1"/>
    <col min="5641" max="5641" width="3.109375" style="32" customWidth="1"/>
    <col min="5642" max="5642" width="11.21875" style="32" bestFit="1" customWidth="1"/>
    <col min="5643" max="5643" width="2.44140625" style="32" customWidth="1"/>
    <col min="5644" max="5644" width="11.44140625" style="32" bestFit="1" customWidth="1"/>
    <col min="5645" max="5645" width="9.77734375" style="32" bestFit="1" customWidth="1"/>
    <col min="5646" max="5881" width="9" style="32"/>
    <col min="5882" max="5882" width="11.44140625" style="32" bestFit="1" customWidth="1"/>
    <col min="5883" max="5883" width="1.77734375" style="32" customWidth="1"/>
    <col min="5884" max="5884" width="42.44140625" style="32" bestFit="1" customWidth="1"/>
    <col min="5885" max="5885" width="2.77734375" style="32" customWidth="1"/>
    <col min="5886" max="5886" width="11" style="32" bestFit="1" customWidth="1"/>
    <col min="5887" max="5887" width="2.77734375" style="32" customWidth="1"/>
    <col min="5888" max="5888" width="12.109375" style="32" bestFit="1" customWidth="1"/>
    <col min="5889" max="5889" width="2.44140625" style="32" customWidth="1"/>
    <col min="5890" max="5890" width="11.21875" style="32" bestFit="1" customWidth="1"/>
    <col min="5891" max="5891" width="2.77734375" style="32" customWidth="1"/>
    <col min="5892" max="5892" width="11.44140625" style="32" bestFit="1" customWidth="1"/>
    <col min="5893" max="5893" width="2.44140625" style="32" customWidth="1"/>
    <col min="5894" max="5894" width="11" style="32" bestFit="1" customWidth="1"/>
    <col min="5895" max="5895" width="3.33203125" style="32" customWidth="1"/>
    <col min="5896" max="5896" width="10.77734375" style="32" bestFit="1" customWidth="1"/>
    <col min="5897" max="5897" width="3.109375" style="32" customWidth="1"/>
    <col min="5898" max="5898" width="11.21875" style="32" bestFit="1" customWidth="1"/>
    <col min="5899" max="5899" width="2.44140625" style="32" customWidth="1"/>
    <col min="5900" max="5900" width="11.44140625" style="32" bestFit="1" customWidth="1"/>
    <col min="5901" max="5901" width="9.77734375" style="32" bestFit="1" customWidth="1"/>
    <col min="5902" max="6137" width="9" style="32"/>
    <col min="6138" max="6138" width="11.44140625" style="32" bestFit="1" customWidth="1"/>
    <col min="6139" max="6139" width="1.77734375" style="32" customWidth="1"/>
    <col min="6140" max="6140" width="42.44140625" style="32" bestFit="1" customWidth="1"/>
    <col min="6141" max="6141" width="2.77734375" style="32" customWidth="1"/>
    <col min="6142" max="6142" width="11" style="32" bestFit="1" customWidth="1"/>
    <col min="6143" max="6143" width="2.77734375" style="32" customWidth="1"/>
    <col min="6144" max="6144" width="12.109375" style="32" bestFit="1" customWidth="1"/>
    <col min="6145" max="6145" width="2.44140625" style="32" customWidth="1"/>
    <col min="6146" max="6146" width="11.21875" style="32" bestFit="1" customWidth="1"/>
    <col min="6147" max="6147" width="2.77734375" style="32" customWidth="1"/>
    <col min="6148" max="6148" width="11.44140625" style="32" bestFit="1" customWidth="1"/>
    <col min="6149" max="6149" width="2.44140625" style="32" customWidth="1"/>
    <col min="6150" max="6150" width="11" style="32" bestFit="1" customWidth="1"/>
    <col min="6151" max="6151" width="3.33203125" style="32" customWidth="1"/>
    <col min="6152" max="6152" width="10.77734375" style="32" bestFit="1" customWidth="1"/>
    <col min="6153" max="6153" width="3.109375" style="32" customWidth="1"/>
    <col min="6154" max="6154" width="11.21875" style="32" bestFit="1" customWidth="1"/>
    <col min="6155" max="6155" width="2.44140625" style="32" customWidth="1"/>
    <col min="6156" max="6156" width="11.44140625" style="32" bestFit="1" customWidth="1"/>
    <col min="6157" max="6157" width="9.77734375" style="32" bestFit="1" customWidth="1"/>
    <col min="6158" max="6393" width="9" style="32"/>
    <col min="6394" max="6394" width="11.44140625" style="32" bestFit="1" customWidth="1"/>
    <col min="6395" max="6395" width="1.77734375" style="32" customWidth="1"/>
    <col min="6396" max="6396" width="42.44140625" style="32" bestFit="1" customWidth="1"/>
    <col min="6397" max="6397" width="2.77734375" style="32" customWidth="1"/>
    <col min="6398" max="6398" width="11" style="32" bestFit="1" customWidth="1"/>
    <col min="6399" max="6399" width="2.77734375" style="32" customWidth="1"/>
    <col min="6400" max="6400" width="12.109375" style="32" bestFit="1" customWidth="1"/>
    <col min="6401" max="6401" width="2.44140625" style="32" customWidth="1"/>
    <col min="6402" max="6402" width="11.21875" style="32" bestFit="1" customWidth="1"/>
    <col min="6403" max="6403" width="2.77734375" style="32" customWidth="1"/>
    <col min="6404" max="6404" width="11.44140625" style="32" bestFit="1" customWidth="1"/>
    <col min="6405" max="6405" width="2.44140625" style="32" customWidth="1"/>
    <col min="6406" max="6406" width="11" style="32" bestFit="1" customWidth="1"/>
    <col min="6407" max="6407" width="3.33203125" style="32" customWidth="1"/>
    <col min="6408" max="6408" width="10.77734375" style="32" bestFit="1" customWidth="1"/>
    <col min="6409" max="6409" width="3.109375" style="32" customWidth="1"/>
    <col min="6410" max="6410" width="11.21875" style="32" bestFit="1" customWidth="1"/>
    <col min="6411" max="6411" width="2.44140625" style="32" customWidth="1"/>
    <col min="6412" max="6412" width="11.44140625" style="32" bestFit="1" customWidth="1"/>
    <col min="6413" max="6413" width="9.77734375" style="32" bestFit="1" customWidth="1"/>
    <col min="6414" max="6649" width="9" style="32"/>
    <col min="6650" max="6650" width="11.44140625" style="32" bestFit="1" customWidth="1"/>
    <col min="6651" max="6651" width="1.77734375" style="32" customWidth="1"/>
    <col min="6652" max="6652" width="42.44140625" style="32" bestFit="1" customWidth="1"/>
    <col min="6653" max="6653" width="2.77734375" style="32" customWidth="1"/>
    <col min="6654" max="6654" width="11" style="32" bestFit="1" customWidth="1"/>
    <col min="6655" max="6655" width="2.77734375" style="32" customWidth="1"/>
    <col min="6656" max="6656" width="12.109375" style="32" bestFit="1" customWidth="1"/>
    <col min="6657" max="6657" width="2.44140625" style="32" customWidth="1"/>
    <col min="6658" max="6658" width="11.21875" style="32" bestFit="1" customWidth="1"/>
    <col min="6659" max="6659" width="2.77734375" style="32" customWidth="1"/>
    <col min="6660" max="6660" width="11.44140625" style="32" bestFit="1" customWidth="1"/>
    <col min="6661" max="6661" width="2.44140625" style="32" customWidth="1"/>
    <col min="6662" max="6662" width="11" style="32" bestFit="1" customWidth="1"/>
    <col min="6663" max="6663" width="3.33203125" style="32" customWidth="1"/>
    <col min="6664" max="6664" width="10.77734375" style="32" bestFit="1" customWidth="1"/>
    <col min="6665" max="6665" width="3.109375" style="32" customWidth="1"/>
    <col min="6666" max="6666" width="11.21875" style="32" bestFit="1" customWidth="1"/>
    <col min="6667" max="6667" width="2.44140625" style="32" customWidth="1"/>
    <col min="6668" max="6668" width="11.44140625" style="32" bestFit="1" customWidth="1"/>
    <col min="6669" max="6669" width="9.77734375" style="32" bestFit="1" customWidth="1"/>
    <col min="6670" max="6905" width="9" style="32"/>
    <col min="6906" max="6906" width="11.44140625" style="32" bestFit="1" customWidth="1"/>
    <col min="6907" max="6907" width="1.77734375" style="32" customWidth="1"/>
    <col min="6908" max="6908" width="42.44140625" style="32" bestFit="1" customWidth="1"/>
    <col min="6909" max="6909" width="2.77734375" style="32" customWidth="1"/>
    <col min="6910" max="6910" width="11" style="32" bestFit="1" customWidth="1"/>
    <col min="6911" max="6911" width="2.77734375" style="32" customWidth="1"/>
    <col min="6912" max="6912" width="12.109375" style="32" bestFit="1" customWidth="1"/>
    <col min="6913" max="6913" width="2.44140625" style="32" customWidth="1"/>
    <col min="6914" max="6914" width="11.21875" style="32" bestFit="1" customWidth="1"/>
    <col min="6915" max="6915" width="2.77734375" style="32" customWidth="1"/>
    <col min="6916" max="6916" width="11.44140625" style="32" bestFit="1" customWidth="1"/>
    <col min="6917" max="6917" width="2.44140625" style="32" customWidth="1"/>
    <col min="6918" max="6918" width="11" style="32" bestFit="1" customWidth="1"/>
    <col min="6919" max="6919" width="3.33203125" style="32" customWidth="1"/>
    <col min="6920" max="6920" width="10.77734375" style="32" bestFit="1" customWidth="1"/>
    <col min="6921" max="6921" width="3.109375" style="32" customWidth="1"/>
    <col min="6922" max="6922" width="11.21875" style="32" bestFit="1" customWidth="1"/>
    <col min="6923" max="6923" width="2.44140625" style="32" customWidth="1"/>
    <col min="6924" max="6924" width="11.44140625" style="32" bestFit="1" customWidth="1"/>
    <col min="6925" max="6925" width="9.77734375" style="32" bestFit="1" customWidth="1"/>
    <col min="6926" max="7161" width="9" style="32"/>
    <col min="7162" max="7162" width="11.44140625" style="32" bestFit="1" customWidth="1"/>
    <col min="7163" max="7163" width="1.77734375" style="32" customWidth="1"/>
    <col min="7164" max="7164" width="42.44140625" style="32" bestFit="1" customWidth="1"/>
    <col min="7165" max="7165" width="2.77734375" style="32" customWidth="1"/>
    <col min="7166" max="7166" width="11" style="32" bestFit="1" customWidth="1"/>
    <col min="7167" max="7167" width="2.77734375" style="32" customWidth="1"/>
    <col min="7168" max="7168" width="12.109375" style="32" bestFit="1" customWidth="1"/>
    <col min="7169" max="7169" width="2.44140625" style="32" customWidth="1"/>
    <col min="7170" max="7170" width="11.21875" style="32" bestFit="1" customWidth="1"/>
    <col min="7171" max="7171" width="2.77734375" style="32" customWidth="1"/>
    <col min="7172" max="7172" width="11.44140625" style="32" bestFit="1" customWidth="1"/>
    <col min="7173" max="7173" width="2.44140625" style="32" customWidth="1"/>
    <col min="7174" max="7174" width="11" style="32" bestFit="1" customWidth="1"/>
    <col min="7175" max="7175" width="3.33203125" style="32" customWidth="1"/>
    <col min="7176" max="7176" width="10.77734375" style="32" bestFit="1" customWidth="1"/>
    <col min="7177" max="7177" width="3.109375" style="32" customWidth="1"/>
    <col min="7178" max="7178" width="11.21875" style="32" bestFit="1" customWidth="1"/>
    <col min="7179" max="7179" width="2.44140625" style="32" customWidth="1"/>
    <col min="7180" max="7180" width="11.44140625" style="32" bestFit="1" customWidth="1"/>
    <col min="7181" max="7181" width="9.77734375" style="32" bestFit="1" customWidth="1"/>
    <col min="7182" max="7417" width="9" style="32"/>
    <col min="7418" max="7418" width="11.44140625" style="32" bestFit="1" customWidth="1"/>
    <col min="7419" max="7419" width="1.77734375" style="32" customWidth="1"/>
    <col min="7420" max="7420" width="42.44140625" style="32" bestFit="1" customWidth="1"/>
    <col min="7421" max="7421" width="2.77734375" style="32" customWidth="1"/>
    <col min="7422" max="7422" width="11" style="32" bestFit="1" customWidth="1"/>
    <col min="7423" max="7423" width="2.77734375" style="32" customWidth="1"/>
    <col min="7424" max="7424" width="12.109375" style="32" bestFit="1" customWidth="1"/>
    <col min="7425" max="7425" width="2.44140625" style="32" customWidth="1"/>
    <col min="7426" max="7426" width="11.21875" style="32" bestFit="1" customWidth="1"/>
    <col min="7427" max="7427" width="2.77734375" style="32" customWidth="1"/>
    <col min="7428" max="7428" width="11.44140625" style="32" bestFit="1" customWidth="1"/>
    <col min="7429" max="7429" width="2.44140625" style="32" customWidth="1"/>
    <col min="7430" max="7430" width="11" style="32" bestFit="1" customWidth="1"/>
    <col min="7431" max="7431" width="3.33203125" style="32" customWidth="1"/>
    <col min="7432" max="7432" width="10.77734375" style="32" bestFit="1" customWidth="1"/>
    <col min="7433" max="7433" width="3.109375" style="32" customWidth="1"/>
    <col min="7434" max="7434" width="11.21875" style="32" bestFit="1" customWidth="1"/>
    <col min="7435" max="7435" width="2.44140625" style="32" customWidth="1"/>
    <col min="7436" max="7436" width="11.44140625" style="32" bestFit="1" customWidth="1"/>
    <col min="7437" max="7437" width="9.77734375" style="32" bestFit="1" customWidth="1"/>
    <col min="7438" max="7673" width="9" style="32"/>
    <col min="7674" max="7674" width="11.44140625" style="32" bestFit="1" customWidth="1"/>
    <col min="7675" max="7675" width="1.77734375" style="32" customWidth="1"/>
    <col min="7676" max="7676" width="42.44140625" style="32" bestFit="1" customWidth="1"/>
    <col min="7677" max="7677" width="2.77734375" style="32" customWidth="1"/>
    <col min="7678" max="7678" width="11" style="32" bestFit="1" customWidth="1"/>
    <col min="7679" max="7679" width="2.77734375" style="32" customWidth="1"/>
    <col min="7680" max="7680" width="12.109375" style="32" bestFit="1" customWidth="1"/>
    <col min="7681" max="7681" width="2.44140625" style="32" customWidth="1"/>
    <col min="7682" max="7682" width="11.21875" style="32" bestFit="1" customWidth="1"/>
    <col min="7683" max="7683" width="2.77734375" style="32" customWidth="1"/>
    <col min="7684" max="7684" width="11.44140625" style="32" bestFit="1" customWidth="1"/>
    <col min="7685" max="7685" width="2.44140625" style="32" customWidth="1"/>
    <col min="7686" max="7686" width="11" style="32" bestFit="1" customWidth="1"/>
    <col min="7687" max="7687" width="3.33203125" style="32" customWidth="1"/>
    <col min="7688" max="7688" width="10.77734375" style="32" bestFit="1" customWidth="1"/>
    <col min="7689" max="7689" width="3.109375" style="32" customWidth="1"/>
    <col min="7690" max="7690" width="11.21875" style="32" bestFit="1" customWidth="1"/>
    <col min="7691" max="7691" width="2.44140625" style="32" customWidth="1"/>
    <col min="7692" max="7692" width="11.44140625" style="32" bestFit="1" customWidth="1"/>
    <col min="7693" max="7693" width="9.77734375" style="32" bestFit="1" customWidth="1"/>
    <col min="7694" max="7929" width="9" style="32"/>
    <col min="7930" max="7930" width="11.44140625" style="32" bestFit="1" customWidth="1"/>
    <col min="7931" max="7931" width="1.77734375" style="32" customWidth="1"/>
    <col min="7932" max="7932" width="42.44140625" style="32" bestFit="1" customWidth="1"/>
    <col min="7933" max="7933" width="2.77734375" style="32" customWidth="1"/>
    <col min="7934" max="7934" width="11" style="32" bestFit="1" customWidth="1"/>
    <col min="7935" max="7935" width="2.77734375" style="32" customWidth="1"/>
    <col min="7936" max="7936" width="12.109375" style="32" bestFit="1" customWidth="1"/>
    <col min="7937" max="7937" width="2.44140625" style="32" customWidth="1"/>
    <col min="7938" max="7938" width="11.21875" style="32" bestFit="1" customWidth="1"/>
    <col min="7939" max="7939" width="2.77734375" style="32" customWidth="1"/>
    <col min="7940" max="7940" width="11.44140625" style="32" bestFit="1" customWidth="1"/>
    <col min="7941" max="7941" width="2.44140625" style="32" customWidth="1"/>
    <col min="7942" max="7942" width="11" style="32" bestFit="1" customWidth="1"/>
    <col min="7943" max="7943" width="3.33203125" style="32" customWidth="1"/>
    <col min="7944" max="7944" width="10.77734375" style="32" bestFit="1" customWidth="1"/>
    <col min="7945" max="7945" width="3.109375" style="32" customWidth="1"/>
    <col min="7946" max="7946" width="11.21875" style="32" bestFit="1" customWidth="1"/>
    <col min="7947" max="7947" width="2.44140625" style="32" customWidth="1"/>
    <col min="7948" max="7948" width="11.44140625" style="32" bestFit="1" customWidth="1"/>
    <col min="7949" max="7949" width="9.77734375" style="32" bestFit="1" customWidth="1"/>
    <col min="7950" max="8185" width="9" style="32"/>
    <col min="8186" max="8186" width="11.44140625" style="32" bestFit="1" customWidth="1"/>
    <col min="8187" max="8187" width="1.77734375" style="32" customWidth="1"/>
    <col min="8188" max="8188" width="42.44140625" style="32" bestFit="1" customWidth="1"/>
    <col min="8189" max="8189" width="2.77734375" style="32" customWidth="1"/>
    <col min="8190" max="8190" width="11" style="32" bestFit="1" customWidth="1"/>
    <col min="8191" max="8191" width="2.77734375" style="32" customWidth="1"/>
    <col min="8192" max="8192" width="12.109375" style="32" bestFit="1" customWidth="1"/>
    <col min="8193" max="8193" width="2.44140625" style="32" customWidth="1"/>
    <col min="8194" max="8194" width="11.21875" style="32" bestFit="1" customWidth="1"/>
    <col min="8195" max="8195" width="2.77734375" style="32" customWidth="1"/>
    <col min="8196" max="8196" width="11.44140625" style="32" bestFit="1" customWidth="1"/>
    <col min="8197" max="8197" width="2.44140625" style="32" customWidth="1"/>
    <col min="8198" max="8198" width="11" style="32" bestFit="1" customWidth="1"/>
    <col min="8199" max="8199" width="3.33203125" style="32" customWidth="1"/>
    <col min="8200" max="8200" width="10.77734375" style="32" bestFit="1" customWidth="1"/>
    <col min="8201" max="8201" width="3.109375" style="32" customWidth="1"/>
    <col min="8202" max="8202" width="11.21875" style="32" bestFit="1" customWidth="1"/>
    <col min="8203" max="8203" width="2.44140625" style="32" customWidth="1"/>
    <col min="8204" max="8204" width="11.44140625" style="32" bestFit="1" customWidth="1"/>
    <col min="8205" max="8205" width="9.77734375" style="32" bestFit="1" customWidth="1"/>
    <col min="8206" max="8441" width="9" style="32"/>
    <col min="8442" max="8442" width="11.44140625" style="32" bestFit="1" customWidth="1"/>
    <col min="8443" max="8443" width="1.77734375" style="32" customWidth="1"/>
    <col min="8444" max="8444" width="42.44140625" style="32" bestFit="1" customWidth="1"/>
    <col min="8445" max="8445" width="2.77734375" style="32" customWidth="1"/>
    <col min="8446" max="8446" width="11" style="32" bestFit="1" customWidth="1"/>
    <col min="8447" max="8447" width="2.77734375" style="32" customWidth="1"/>
    <col min="8448" max="8448" width="12.109375" style="32" bestFit="1" customWidth="1"/>
    <col min="8449" max="8449" width="2.44140625" style="32" customWidth="1"/>
    <col min="8450" max="8450" width="11.21875" style="32" bestFit="1" customWidth="1"/>
    <col min="8451" max="8451" width="2.77734375" style="32" customWidth="1"/>
    <col min="8452" max="8452" width="11.44140625" style="32" bestFit="1" customWidth="1"/>
    <col min="8453" max="8453" width="2.44140625" style="32" customWidth="1"/>
    <col min="8454" max="8454" width="11" style="32" bestFit="1" customWidth="1"/>
    <col min="8455" max="8455" width="3.33203125" style="32" customWidth="1"/>
    <col min="8456" max="8456" width="10.77734375" style="32" bestFit="1" customWidth="1"/>
    <col min="8457" max="8457" width="3.109375" style="32" customWidth="1"/>
    <col min="8458" max="8458" width="11.21875" style="32" bestFit="1" customWidth="1"/>
    <col min="8459" max="8459" width="2.44140625" style="32" customWidth="1"/>
    <col min="8460" max="8460" width="11.44140625" style="32" bestFit="1" customWidth="1"/>
    <col min="8461" max="8461" width="9.77734375" style="32" bestFit="1" customWidth="1"/>
    <col min="8462" max="8697" width="9" style="32"/>
    <col min="8698" max="8698" width="11.44140625" style="32" bestFit="1" customWidth="1"/>
    <col min="8699" max="8699" width="1.77734375" style="32" customWidth="1"/>
    <col min="8700" max="8700" width="42.44140625" style="32" bestFit="1" customWidth="1"/>
    <col min="8701" max="8701" width="2.77734375" style="32" customWidth="1"/>
    <col min="8702" max="8702" width="11" style="32" bestFit="1" customWidth="1"/>
    <col min="8703" max="8703" width="2.77734375" style="32" customWidth="1"/>
    <col min="8704" max="8704" width="12.109375" style="32" bestFit="1" customWidth="1"/>
    <col min="8705" max="8705" width="2.44140625" style="32" customWidth="1"/>
    <col min="8706" max="8706" width="11.21875" style="32" bestFit="1" customWidth="1"/>
    <col min="8707" max="8707" width="2.77734375" style="32" customWidth="1"/>
    <col min="8708" max="8708" width="11.44140625" style="32" bestFit="1" customWidth="1"/>
    <col min="8709" max="8709" width="2.44140625" style="32" customWidth="1"/>
    <col min="8710" max="8710" width="11" style="32" bestFit="1" customWidth="1"/>
    <col min="8711" max="8711" width="3.33203125" style="32" customWidth="1"/>
    <col min="8712" max="8712" width="10.77734375" style="32" bestFit="1" customWidth="1"/>
    <col min="8713" max="8713" width="3.109375" style="32" customWidth="1"/>
    <col min="8714" max="8714" width="11.21875" style="32" bestFit="1" customWidth="1"/>
    <col min="8715" max="8715" width="2.44140625" style="32" customWidth="1"/>
    <col min="8716" max="8716" width="11.44140625" style="32" bestFit="1" customWidth="1"/>
    <col min="8717" max="8717" width="9.77734375" style="32" bestFit="1" customWidth="1"/>
    <col min="8718" max="8953" width="9" style="32"/>
    <col min="8954" max="8954" width="11.44140625" style="32" bestFit="1" customWidth="1"/>
    <col min="8955" max="8955" width="1.77734375" style="32" customWidth="1"/>
    <col min="8956" max="8956" width="42.44140625" style="32" bestFit="1" customWidth="1"/>
    <col min="8957" max="8957" width="2.77734375" style="32" customWidth="1"/>
    <col min="8958" max="8958" width="11" style="32" bestFit="1" customWidth="1"/>
    <col min="8959" max="8959" width="2.77734375" style="32" customWidth="1"/>
    <col min="8960" max="8960" width="12.109375" style="32" bestFit="1" customWidth="1"/>
    <col min="8961" max="8961" width="2.44140625" style="32" customWidth="1"/>
    <col min="8962" max="8962" width="11.21875" style="32" bestFit="1" customWidth="1"/>
    <col min="8963" max="8963" width="2.77734375" style="32" customWidth="1"/>
    <col min="8964" max="8964" width="11.44140625" style="32" bestFit="1" customWidth="1"/>
    <col min="8965" max="8965" width="2.44140625" style="32" customWidth="1"/>
    <col min="8966" max="8966" width="11" style="32" bestFit="1" customWidth="1"/>
    <col min="8967" max="8967" width="3.33203125" style="32" customWidth="1"/>
    <col min="8968" max="8968" width="10.77734375" style="32" bestFit="1" customWidth="1"/>
    <col min="8969" max="8969" width="3.109375" style="32" customWidth="1"/>
    <col min="8970" max="8970" width="11.21875" style="32" bestFit="1" customWidth="1"/>
    <col min="8971" max="8971" width="2.44140625" style="32" customWidth="1"/>
    <col min="8972" max="8972" width="11.44140625" style="32" bestFit="1" customWidth="1"/>
    <col min="8973" max="8973" width="9.77734375" style="32" bestFit="1" customWidth="1"/>
    <col min="8974" max="9209" width="9" style="32"/>
    <col min="9210" max="9210" width="11.44140625" style="32" bestFit="1" customWidth="1"/>
    <col min="9211" max="9211" width="1.77734375" style="32" customWidth="1"/>
    <col min="9212" max="9212" width="42.44140625" style="32" bestFit="1" customWidth="1"/>
    <col min="9213" max="9213" width="2.77734375" style="32" customWidth="1"/>
    <col min="9214" max="9214" width="11" style="32" bestFit="1" customWidth="1"/>
    <col min="9215" max="9215" width="2.77734375" style="32" customWidth="1"/>
    <col min="9216" max="9216" width="12.109375" style="32" bestFit="1" customWidth="1"/>
    <col min="9217" max="9217" width="2.44140625" style="32" customWidth="1"/>
    <col min="9218" max="9218" width="11.21875" style="32" bestFit="1" customWidth="1"/>
    <col min="9219" max="9219" width="2.77734375" style="32" customWidth="1"/>
    <col min="9220" max="9220" width="11.44140625" style="32" bestFit="1" customWidth="1"/>
    <col min="9221" max="9221" width="2.44140625" style="32" customWidth="1"/>
    <col min="9222" max="9222" width="11" style="32" bestFit="1" customWidth="1"/>
    <col min="9223" max="9223" width="3.33203125" style="32" customWidth="1"/>
    <col min="9224" max="9224" width="10.77734375" style="32" bestFit="1" customWidth="1"/>
    <col min="9225" max="9225" width="3.109375" style="32" customWidth="1"/>
    <col min="9226" max="9226" width="11.21875" style="32" bestFit="1" customWidth="1"/>
    <col min="9227" max="9227" width="2.44140625" style="32" customWidth="1"/>
    <col min="9228" max="9228" width="11.44140625" style="32" bestFit="1" customWidth="1"/>
    <col min="9229" max="9229" width="9.77734375" style="32" bestFit="1" customWidth="1"/>
    <col min="9230" max="9465" width="9" style="32"/>
    <col min="9466" max="9466" width="11.44140625" style="32" bestFit="1" customWidth="1"/>
    <col min="9467" max="9467" width="1.77734375" style="32" customWidth="1"/>
    <col min="9468" max="9468" width="42.44140625" style="32" bestFit="1" customWidth="1"/>
    <col min="9469" max="9469" width="2.77734375" style="32" customWidth="1"/>
    <col min="9470" max="9470" width="11" style="32" bestFit="1" customWidth="1"/>
    <col min="9471" max="9471" width="2.77734375" style="32" customWidth="1"/>
    <col min="9472" max="9472" width="12.109375" style="32" bestFit="1" customWidth="1"/>
    <col min="9473" max="9473" width="2.44140625" style="32" customWidth="1"/>
    <col min="9474" max="9474" width="11.21875" style="32" bestFit="1" customWidth="1"/>
    <col min="9475" max="9475" width="2.77734375" style="32" customWidth="1"/>
    <col min="9476" max="9476" width="11.44140625" style="32" bestFit="1" customWidth="1"/>
    <col min="9477" max="9477" width="2.44140625" style="32" customWidth="1"/>
    <col min="9478" max="9478" width="11" style="32" bestFit="1" customWidth="1"/>
    <col min="9479" max="9479" width="3.33203125" style="32" customWidth="1"/>
    <col min="9480" max="9480" width="10.77734375" style="32" bestFit="1" customWidth="1"/>
    <col min="9481" max="9481" width="3.109375" style="32" customWidth="1"/>
    <col min="9482" max="9482" width="11.21875" style="32" bestFit="1" customWidth="1"/>
    <col min="9483" max="9483" width="2.44140625" style="32" customWidth="1"/>
    <col min="9484" max="9484" width="11.44140625" style="32" bestFit="1" customWidth="1"/>
    <col min="9485" max="9485" width="9.77734375" style="32" bestFit="1" customWidth="1"/>
    <col min="9486" max="9721" width="9" style="32"/>
    <col min="9722" max="9722" width="11.44140625" style="32" bestFit="1" customWidth="1"/>
    <col min="9723" max="9723" width="1.77734375" style="32" customWidth="1"/>
    <col min="9724" max="9724" width="42.44140625" style="32" bestFit="1" customWidth="1"/>
    <col min="9725" max="9725" width="2.77734375" style="32" customWidth="1"/>
    <col min="9726" max="9726" width="11" style="32" bestFit="1" customWidth="1"/>
    <col min="9727" max="9727" width="2.77734375" style="32" customWidth="1"/>
    <col min="9728" max="9728" width="12.109375" style="32" bestFit="1" customWidth="1"/>
    <col min="9729" max="9729" width="2.44140625" style="32" customWidth="1"/>
    <col min="9730" max="9730" width="11.21875" style="32" bestFit="1" customWidth="1"/>
    <col min="9731" max="9731" width="2.77734375" style="32" customWidth="1"/>
    <col min="9732" max="9732" width="11.44140625" style="32" bestFit="1" customWidth="1"/>
    <col min="9733" max="9733" width="2.44140625" style="32" customWidth="1"/>
    <col min="9734" max="9734" width="11" style="32" bestFit="1" customWidth="1"/>
    <col min="9735" max="9735" width="3.33203125" style="32" customWidth="1"/>
    <col min="9736" max="9736" width="10.77734375" style="32" bestFit="1" customWidth="1"/>
    <col min="9737" max="9737" width="3.109375" style="32" customWidth="1"/>
    <col min="9738" max="9738" width="11.21875" style="32" bestFit="1" customWidth="1"/>
    <col min="9739" max="9739" width="2.44140625" style="32" customWidth="1"/>
    <col min="9740" max="9740" width="11.44140625" style="32" bestFit="1" customWidth="1"/>
    <col min="9741" max="9741" width="9.77734375" style="32" bestFit="1" customWidth="1"/>
    <col min="9742" max="9977" width="9" style="32"/>
    <col min="9978" max="9978" width="11.44140625" style="32" bestFit="1" customWidth="1"/>
    <col min="9979" max="9979" width="1.77734375" style="32" customWidth="1"/>
    <col min="9980" max="9980" width="42.44140625" style="32" bestFit="1" customWidth="1"/>
    <col min="9981" max="9981" width="2.77734375" style="32" customWidth="1"/>
    <col min="9982" max="9982" width="11" style="32" bestFit="1" customWidth="1"/>
    <col min="9983" max="9983" width="2.77734375" style="32" customWidth="1"/>
    <col min="9984" max="9984" width="12.109375" style="32" bestFit="1" customWidth="1"/>
    <col min="9985" max="9985" width="2.44140625" style="32" customWidth="1"/>
    <col min="9986" max="9986" width="11.21875" style="32" bestFit="1" customWidth="1"/>
    <col min="9987" max="9987" width="2.77734375" style="32" customWidth="1"/>
    <col min="9988" max="9988" width="11.44140625" style="32" bestFit="1" customWidth="1"/>
    <col min="9989" max="9989" width="2.44140625" style="32" customWidth="1"/>
    <col min="9990" max="9990" width="11" style="32" bestFit="1" customWidth="1"/>
    <col min="9991" max="9991" width="3.33203125" style="32" customWidth="1"/>
    <col min="9992" max="9992" width="10.77734375" style="32" bestFit="1" customWidth="1"/>
    <col min="9993" max="9993" width="3.109375" style="32" customWidth="1"/>
    <col min="9994" max="9994" width="11.21875" style="32" bestFit="1" customWidth="1"/>
    <col min="9995" max="9995" width="2.44140625" style="32" customWidth="1"/>
    <col min="9996" max="9996" width="11.44140625" style="32" bestFit="1" customWidth="1"/>
    <col min="9997" max="9997" width="9.77734375" style="32" bestFit="1" customWidth="1"/>
    <col min="9998" max="10233" width="9" style="32"/>
    <col min="10234" max="10234" width="11.44140625" style="32" bestFit="1" customWidth="1"/>
    <col min="10235" max="10235" width="1.77734375" style="32" customWidth="1"/>
    <col min="10236" max="10236" width="42.44140625" style="32" bestFit="1" customWidth="1"/>
    <col min="10237" max="10237" width="2.77734375" style="32" customWidth="1"/>
    <col min="10238" max="10238" width="11" style="32" bestFit="1" customWidth="1"/>
    <col min="10239" max="10239" width="2.77734375" style="32" customWidth="1"/>
    <col min="10240" max="10240" width="12.109375" style="32" bestFit="1" customWidth="1"/>
    <col min="10241" max="10241" width="2.44140625" style="32" customWidth="1"/>
    <col min="10242" max="10242" width="11.21875" style="32" bestFit="1" customWidth="1"/>
    <col min="10243" max="10243" width="2.77734375" style="32" customWidth="1"/>
    <col min="10244" max="10244" width="11.44140625" style="32" bestFit="1" customWidth="1"/>
    <col min="10245" max="10245" width="2.44140625" style="32" customWidth="1"/>
    <col min="10246" max="10246" width="11" style="32" bestFit="1" customWidth="1"/>
    <col min="10247" max="10247" width="3.33203125" style="32" customWidth="1"/>
    <col min="10248" max="10248" width="10.77734375" style="32" bestFit="1" customWidth="1"/>
    <col min="10249" max="10249" width="3.109375" style="32" customWidth="1"/>
    <col min="10250" max="10250" width="11.21875" style="32" bestFit="1" customWidth="1"/>
    <col min="10251" max="10251" width="2.44140625" style="32" customWidth="1"/>
    <col min="10252" max="10252" width="11.44140625" style="32" bestFit="1" customWidth="1"/>
    <col min="10253" max="10253" width="9.77734375" style="32" bestFit="1" customWidth="1"/>
    <col min="10254" max="10489" width="9" style="32"/>
    <col min="10490" max="10490" width="11.44140625" style="32" bestFit="1" customWidth="1"/>
    <col min="10491" max="10491" width="1.77734375" style="32" customWidth="1"/>
    <col min="10492" max="10492" width="42.44140625" style="32" bestFit="1" customWidth="1"/>
    <col min="10493" max="10493" width="2.77734375" style="32" customWidth="1"/>
    <col min="10494" max="10494" width="11" style="32" bestFit="1" customWidth="1"/>
    <col min="10495" max="10495" width="2.77734375" style="32" customWidth="1"/>
    <col min="10496" max="10496" width="12.109375" style="32" bestFit="1" customWidth="1"/>
    <col min="10497" max="10497" width="2.44140625" style="32" customWidth="1"/>
    <col min="10498" max="10498" width="11.21875" style="32" bestFit="1" customWidth="1"/>
    <col min="10499" max="10499" width="2.77734375" style="32" customWidth="1"/>
    <col min="10500" max="10500" width="11.44140625" style="32" bestFit="1" customWidth="1"/>
    <col min="10501" max="10501" width="2.44140625" style="32" customWidth="1"/>
    <col min="10502" max="10502" width="11" style="32" bestFit="1" customWidth="1"/>
    <col min="10503" max="10503" width="3.33203125" style="32" customWidth="1"/>
    <col min="10504" max="10504" width="10.77734375" style="32" bestFit="1" customWidth="1"/>
    <col min="10505" max="10505" width="3.109375" style="32" customWidth="1"/>
    <col min="10506" max="10506" width="11.21875" style="32" bestFit="1" customWidth="1"/>
    <col min="10507" max="10507" width="2.44140625" style="32" customWidth="1"/>
    <col min="10508" max="10508" width="11.44140625" style="32" bestFit="1" customWidth="1"/>
    <col min="10509" max="10509" width="9.77734375" style="32" bestFit="1" customWidth="1"/>
    <col min="10510" max="10745" width="9" style="32"/>
    <col min="10746" max="10746" width="11.44140625" style="32" bestFit="1" customWidth="1"/>
    <col min="10747" max="10747" width="1.77734375" style="32" customWidth="1"/>
    <col min="10748" max="10748" width="42.44140625" style="32" bestFit="1" customWidth="1"/>
    <col min="10749" max="10749" width="2.77734375" style="32" customWidth="1"/>
    <col min="10750" max="10750" width="11" style="32" bestFit="1" customWidth="1"/>
    <col min="10751" max="10751" width="2.77734375" style="32" customWidth="1"/>
    <col min="10752" max="10752" width="12.109375" style="32" bestFit="1" customWidth="1"/>
    <col min="10753" max="10753" width="2.44140625" style="32" customWidth="1"/>
    <col min="10754" max="10754" width="11.21875" style="32" bestFit="1" customWidth="1"/>
    <col min="10755" max="10755" width="2.77734375" style="32" customWidth="1"/>
    <col min="10756" max="10756" width="11.44140625" style="32" bestFit="1" customWidth="1"/>
    <col min="10757" max="10757" width="2.44140625" style="32" customWidth="1"/>
    <col min="10758" max="10758" width="11" style="32" bestFit="1" customWidth="1"/>
    <col min="10759" max="10759" width="3.33203125" style="32" customWidth="1"/>
    <col min="10760" max="10760" width="10.77734375" style="32" bestFit="1" customWidth="1"/>
    <col min="10761" max="10761" width="3.109375" style="32" customWidth="1"/>
    <col min="10762" max="10762" width="11.21875" style="32" bestFit="1" customWidth="1"/>
    <col min="10763" max="10763" width="2.44140625" style="32" customWidth="1"/>
    <col min="10764" max="10764" width="11.44140625" style="32" bestFit="1" customWidth="1"/>
    <col min="10765" max="10765" width="9.77734375" style="32" bestFit="1" customWidth="1"/>
    <col min="10766" max="11001" width="9" style="32"/>
    <col min="11002" max="11002" width="11.44140625" style="32" bestFit="1" customWidth="1"/>
    <col min="11003" max="11003" width="1.77734375" style="32" customWidth="1"/>
    <col min="11004" max="11004" width="42.44140625" style="32" bestFit="1" customWidth="1"/>
    <col min="11005" max="11005" width="2.77734375" style="32" customWidth="1"/>
    <col min="11006" max="11006" width="11" style="32" bestFit="1" customWidth="1"/>
    <col min="11007" max="11007" width="2.77734375" style="32" customWidth="1"/>
    <col min="11008" max="11008" width="12.109375" style="32" bestFit="1" customWidth="1"/>
    <col min="11009" max="11009" width="2.44140625" style="32" customWidth="1"/>
    <col min="11010" max="11010" width="11.21875" style="32" bestFit="1" customWidth="1"/>
    <col min="11011" max="11011" width="2.77734375" style="32" customWidth="1"/>
    <col min="11012" max="11012" width="11.44140625" style="32" bestFit="1" customWidth="1"/>
    <col min="11013" max="11013" width="2.44140625" style="32" customWidth="1"/>
    <col min="11014" max="11014" width="11" style="32" bestFit="1" customWidth="1"/>
    <col min="11015" max="11015" width="3.33203125" style="32" customWidth="1"/>
    <col min="11016" max="11016" width="10.77734375" style="32" bestFit="1" customWidth="1"/>
    <col min="11017" max="11017" width="3.109375" style="32" customWidth="1"/>
    <col min="11018" max="11018" width="11.21875" style="32" bestFit="1" customWidth="1"/>
    <col min="11019" max="11019" width="2.44140625" style="32" customWidth="1"/>
    <col min="11020" max="11020" width="11.44140625" style="32" bestFit="1" customWidth="1"/>
    <col min="11021" max="11021" width="9.77734375" style="32" bestFit="1" customWidth="1"/>
    <col min="11022" max="11257" width="9" style="32"/>
    <col min="11258" max="11258" width="11.44140625" style="32" bestFit="1" customWidth="1"/>
    <col min="11259" max="11259" width="1.77734375" style="32" customWidth="1"/>
    <col min="11260" max="11260" width="42.44140625" style="32" bestFit="1" customWidth="1"/>
    <col min="11261" max="11261" width="2.77734375" style="32" customWidth="1"/>
    <col min="11262" max="11262" width="11" style="32" bestFit="1" customWidth="1"/>
    <col min="11263" max="11263" width="2.77734375" style="32" customWidth="1"/>
    <col min="11264" max="11264" width="12.109375" style="32" bestFit="1" customWidth="1"/>
    <col min="11265" max="11265" width="2.44140625" style="32" customWidth="1"/>
    <col min="11266" max="11266" width="11.21875" style="32" bestFit="1" customWidth="1"/>
    <col min="11267" max="11267" width="2.77734375" style="32" customWidth="1"/>
    <col min="11268" max="11268" width="11.44140625" style="32" bestFit="1" customWidth="1"/>
    <col min="11269" max="11269" width="2.44140625" style="32" customWidth="1"/>
    <col min="11270" max="11270" width="11" style="32" bestFit="1" customWidth="1"/>
    <col min="11271" max="11271" width="3.33203125" style="32" customWidth="1"/>
    <col min="11272" max="11272" width="10.77734375" style="32" bestFit="1" customWidth="1"/>
    <col min="11273" max="11273" width="3.109375" style="32" customWidth="1"/>
    <col min="11274" max="11274" width="11.21875" style="32" bestFit="1" customWidth="1"/>
    <col min="11275" max="11275" width="2.44140625" style="32" customWidth="1"/>
    <col min="11276" max="11276" width="11.44140625" style="32" bestFit="1" customWidth="1"/>
    <col min="11277" max="11277" width="9.77734375" style="32" bestFit="1" customWidth="1"/>
    <col min="11278" max="11513" width="9" style="32"/>
    <col min="11514" max="11514" width="11.44140625" style="32" bestFit="1" customWidth="1"/>
    <col min="11515" max="11515" width="1.77734375" style="32" customWidth="1"/>
    <col min="11516" max="11516" width="42.44140625" style="32" bestFit="1" customWidth="1"/>
    <col min="11517" max="11517" width="2.77734375" style="32" customWidth="1"/>
    <col min="11518" max="11518" width="11" style="32" bestFit="1" customWidth="1"/>
    <col min="11519" max="11519" width="2.77734375" style="32" customWidth="1"/>
    <col min="11520" max="11520" width="12.109375" style="32" bestFit="1" customWidth="1"/>
    <col min="11521" max="11521" width="2.44140625" style="32" customWidth="1"/>
    <col min="11522" max="11522" width="11.21875" style="32" bestFit="1" customWidth="1"/>
    <col min="11523" max="11523" width="2.77734375" style="32" customWidth="1"/>
    <col min="11524" max="11524" width="11.44140625" style="32" bestFit="1" customWidth="1"/>
    <col min="11525" max="11525" width="2.44140625" style="32" customWidth="1"/>
    <col min="11526" max="11526" width="11" style="32" bestFit="1" customWidth="1"/>
    <col min="11527" max="11527" width="3.33203125" style="32" customWidth="1"/>
    <col min="11528" max="11528" width="10.77734375" style="32" bestFit="1" customWidth="1"/>
    <col min="11529" max="11529" width="3.109375" style="32" customWidth="1"/>
    <col min="11530" max="11530" width="11.21875" style="32" bestFit="1" customWidth="1"/>
    <col min="11531" max="11531" width="2.44140625" style="32" customWidth="1"/>
    <col min="11532" max="11532" width="11.44140625" style="32" bestFit="1" customWidth="1"/>
    <col min="11533" max="11533" width="9.77734375" style="32" bestFit="1" customWidth="1"/>
    <col min="11534" max="11769" width="9" style="32"/>
    <col min="11770" max="11770" width="11.44140625" style="32" bestFit="1" customWidth="1"/>
    <col min="11771" max="11771" width="1.77734375" style="32" customWidth="1"/>
    <col min="11772" max="11772" width="42.44140625" style="32" bestFit="1" customWidth="1"/>
    <col min="11773" max="11773" width="2.77734375" style="32" customWidth="1"/>
    <col min="11774" max="11774" width="11" style="32" bestFit="1" customWidth="1"/>
    <col min="11775" max="11775" width="2.77734375" style="32" customWidth="1"/>
    <col min="11776" max="11776" width="12.109375" style="32" bestFit="1" customWidth="1"/>
    <col min="11777" max="11777" width="2.44140625" style="32" customWidth="1"/>
    <col min="11778" max="11778" width="11.21875" style="32" bestFit="1" customWidth="1"/>
    <col min="11779" max="11779" width="2.77734375" style="32" customWidth="1"/>
    <col min="11780" max="11780" width="11.44140625" style="32" bestFit="1" customWidth="1"/>
    <col min="11781" max="11781" width="2.44140625" style="32" customWidth="1"/>
    <col min="11782" max="11782" width="11" style="32" bestFit="1" customWidth="1"/>
    <col min="11783" max="11783" width="3.33203125" style="32" customWidth="1"/>
    <col min="11784" max="11784" width="10.77734375" style="32" bestFit="1" customWidth="1"/>
    <col min="11785" max="11785" width="3.109375" style="32" customWidth="1"/>
    <col min="11786" max="11786" width="11.21875" style="32" bestFit="1" customWidth="1"/>
    <col min="11787" max="11787" width="2.44140625" style="32" customWidth="1"/>
    <col min="11788" max="11788" width="11.44140625" style="32" bestFit="1" customWidth="1"/>
    <col min="11789" max="11789" width="9.77734375" style="32" bestFit="1" customWidth="1"/>
    <col min="11790" max="12025" width="9" style="32"/>
    <col min="12026" max="12026" width="11.44140625" style="32" bestFit="1" customWidth="1"/>
    <col min="12027" max="12027" width="1.77734375" style="32" customWidth="1"/>
    <col min="12028" max="12028" width="42.44140625" style="32" bestFit="1" customWidth="1"/>
    <col min="12029" max="12029" width="2.77734375" style="32" customWidth="1"/>
    <col min="12030" max="12030" width="11" style="32" bestFit="1" customWidth="1"/>
    <col min="12031" max="12031" width="2.77734375" style="32" customWidth="1"/>
    <col min="12032" max="12032" width="12.109375" style="32" bestFit="1" customWidth="1"/>
    <col min="12033" max="12033" width="2.44140625" style="32" customWidth="1"/>
    <col min="12034" max="12034" width="11.21875" style="32" bestFit="1" customWidth="1"/>
    <col min="12035" max="12035" width="2.77734375" style="32" customWidth="1"/>
    <col min="12036" max="12036" width="11.44140625" style="32" bestFit="1" customWidth="1"/>
    <col min="12037" max="12037" width="2.44140625" style="32" customWidth="1"/>
    <col min="12038" max="12038" width="11" style="32" bestFit="1" customWidth="1"/>
    <col min="12039" max="12039" width="3.33203125" style="32" customWidth="1"/>
    <col min="12040" max="12040" width="10.77734375" style="32" bestFit="1" customWidth="1"/>
    <col min="12041" max="12041" width="3.109375" style="32" customWidth="1"/>
    <col min="12042" max="12042" width="11.21875" style="32" bestFit="1" customWidth="1"/>
    <col min="12043" max="12043" width="2.44140625" style="32" customWidth="1"/>
    <col min="12044" max="12044" width="11.44140625" style="32" bestFit="1" customWidth="1"/>
    <col min="12045" max="12045" width="9.77734375" style="32" bestFit="1" customWidth="1"/>
    <col min="12046" max="12281" width="9" style="32"/>
    <col min="12282" max="12282" width="11.44140625" style="32" bestFit="1" customWidth="1"/>
    <col min="12283" max="12283" width="1.77734375" style="32" customWidth="1"/>
    <col min="12284" max="12284" width="42.44140625" style="32" bestFit="1" customWidth="1"/>
    <col min="12285" max="12285" width="2.77734375" style="32" customWidth="1"/>
    <col min="12286" max="12286" width="11" style="32" bestFit="1" customWidth="1"/>
    <col min="12287" max="12287" width="2.77734375" style="32" customWidth="1"/>
    <col min="12288" max="12288" width="12.109375" style="32" bestFit="1" customWidth="1"/>
    <col min="12289" max="12289" width="2.44140625" style="32" customWidth="1"/>
    <col min="12290" max="12290" width="11.21875" style="32" bestFit="1" customWidth="1"/>
    <col min="12291" max="12291" width="2.77734375" style="32" customWidth="1"/>
    <col min="12292" max="12292" width="11.44140625" style="32" bestFit="1" customWidth="1"/>
    <col min="12293" max="12293" width="2.44140625" style="32" customWidth="1"/>
    <col min="12294" max="12294" width="11" style="32" bestFit="1" customWidth="1"/>
    <col min="12295" max="12295" width="3.33203125" style="32" customWidth="1"/>
    <col min="12296" max="12296" width="10.77734375" style="32" bestFit="1" customWidth="1"/>
    <col min="12297" max="12297" width="3.109375" style="32" customWidth="1"/>
    <col min="12298" max="12298" width="11.21875" style="32" bestFit="1" customWidth="1"/>
    <col min="12299" max="12299" width="2.44140625" style="32" customWidth="1"/>
    <col min="12300" max="12300" width="11.44140625" style="32" bestFit="1" customWidth="1"/>
    <col min="12301" max="12301" width="9.77734375" style="32" bestFit="1" customWidth="1"/>
    <col min="12302" max="12537" width="9" style="32"/>
    <col min="12538" max="12538" width="11.44140625" style="32" bestFit="1" customWidth="1"/>
    <col min="12539" max="12539" width="1.77734375" style="32" customWidth="1"/>
    <col min="12540" max="12540" width="42.44140625" style="32" bestFit="1" customWidth="1"/>
    <col min="12541" max="12541" width="2.77734375" style="32" customWidth="1"/>
    <col min="12542" max="12542" width="11" style="32" bestFit="1" customWidth="1"/>
    <col min="12543" max="12543" width="2.77734375" style="32" customWidth="1"/>
    <col min="12544" max="12544" width="12.109375" style="32" bestFit="1" customWidth="1"/>
    <col min="12545" max="12545" width="2.44140625" style="32" customWidth="1"/>
    <col min="12546" max="12546" width="11.21875" style="32" bestFit="1" customWidth="1"/>
    <col min="12547" max="12547" width="2.77734375" style="32" customWidth="1"/>
    <col min="12548" max="12548" width="11.44140625" style="32" bestFit="1" customWidth="1"/>
    <col min="12549" max="12549" width="2.44140625" style="32" customWidth="1"/>
    <col min="12550" max="12550" width="11" style="32" bestFit="1" customWidth="1"/>
    <col min="12551" max="12551" width="3.33203125" style="32" customWidth="1"/>
    <col min="12552" max="12552" width="10.77734375" style="32" bestFit="1" customWidth="1"/>
    <col min="12553" max="12553" width="3.109375" style="32" customWidth="1"/>
    <col min="12554" max="12554" width="11.21875" style="32" bestFit="1" customWidth="1"/>
    <col min="12555" max="12555" width="2.44140625" style="32" customWidth="1"/>
    <col min="12556" max="12556" width="11.44140625" style="32" bestFit="1" customWidth="1"/>
    <col min="12557" max="12557" width="9.77734375" style="32" bestFit="1" customWidth="1"/>
    <col min="12558" max="12793" width="9" style="32"/>
    <col min="12794" max="12794" width="11.44140625" style="32" bestFit="1" customWidth="1"/>
    <col min="12795" max="12795" width="1.77734375" style="32" customWidth="1"/>
    <col min="12796" max="12796" width="42.44140625" style="32" bestFit="1" customWidth="1"/>
    <col min="12797" max="12797" width="2.77734375" style="32" customWidth="1"/>
    <col min="12798" max="12798" width="11" style="32" bestFit="1" customWidth="1"/>
    <col min="12799" max="12799" width="2.77734375" style="32" customWidth="1"/>
    <col min="12800" max="12800" width="12.109375" style="32" bestFit="1" customWidth="1"/>
    <col min="12801" max="12801" width="2.44140625" style="32" customWidth="1"/>
    <col min="12802" max="12802" width="11.21875" style="32" bestFit="1" customWidth="1"/>
    <col min="12803" max="12803" width="2.77734375" style="32" customWidth="1"/>
    <col min="12804" max="12804" width="11.44140625" style="32" bestFit="1" customWidth="1"/>
    <col min="12805" max="12805" width="2.44140625" style="32" customWidth="1"/>
    <col min="12806" max="12806" width="11" style="32" bestFit="1" customWidth="1"/>
    <col min="12807" max="12807" width="3.33203125" style="32" customWidth="1"/>
    <col min="12808" max="12808" width="10.77734375" style="32" bestFit="1" customWidth="1"/>
    <col min="12809" max="12809" width="3.109375" style="32" customWidth="1"/>
    <col min="12810" max="12810" width="11.21875" style="32" bestFit="1" customWidth="1"/>
    <col min="12811" max="12811" width="2.44140625" style="32" customWidth="1"/>
    <col min="12812" max="12812" width="11.44140625" style="32" bestFit="1" customWidth="1"/>
    <col min="12813" max="12813" width="9.77734375" style="32" bestFit="1" customWidth="1"/>
    <col min="12814" max="13049" width="9" style="32"/>
    <col min="13050" max="13050" width="11.44140625" style="32" bestFit="1" customWidth="1"/>
    <col min="13051" max="13051" width="1.77734375" style="32" customWidth="1"/>
    <col min="13052" max="13052" width="42.44140625" style="32" bestFit="1" customWidth="1"/>
    <col min="13053" max="13053" width="2.77734375" style="32" customWidth="1"/>
    <col min="13054" max="13054" width="11" style="32" bestFit="1" customWidth="1"/>
    <col min="13055" max="13055" width="2.77734375" style="32" customWidth="1"/>
    <col min="13056" max="13056" width="12.109375" style="32" bestFit="1" customWidth="1"/>
    <col min="13057" max="13057" width="2.44140625" style="32" customWidth="1"/>
    <col min="13058" max="13058" width="11.21875" style="32" bestFit="1" customWidth="1"/>
    <col min="13059" max="13059" width="2.77734375" style="32" customWidth="1"/>
    <col min="13060" max="13060" width="11.44140625" style="32" bestFit="1" customWidth="1"/>
    <col min="13061" max="13061" width="2.44140625" style="32" customWidth="1"/>
    <col min="13062" max="13062" width="11" style="32" bestFit="1" customWidth="1"/>
    <col min="13063" max="13063" width="3.33203125" style="32" customWidth="1"/>
    <col min="13064" max="13064" width="10.77734375" style="32" bestFit="1" customWidth="1"/>
    <col min="13065" max="13065" width="3.109375" style="32" customWidth="1"/>
    <col min="13066" max="13066" width="11.21875" style="32" bestFit="1" customWidth="1"/>
    <col min="13067" max="13067" width="2.44140625" style="32" customWidth="1"/>
    <col min="13068" max="13068" width="11.44140625" style="32" bestFit="1" customWidth="1"/>
    <col min="13069" max="13069" width="9.77734375" style="32" bestFit="1" customWidth="1"/>
    <col min="13070" max="13305" width="9" style="32"/>
    <col min="13306" max="13306" width="11.44140625" style="32" bestFit="1" customWidth="1"/>
    <col min="13307" max="13307" width="1.77734375" style="32" customWidth="1"/>
    <col min="13308" max="13308" width="42.44140625" style="32" bestFit="1" customWidth="1"/>
    <col min="13309" max="13309" width="2.77734375" style="32" customWidth="1"/>
    <col min="13310" max="13310" width="11" style="32" bestFit="1" customWidth="1"/>
    <col min="13311" max="13311" width="2.77734375" style="32" customWidth="1"/>
    <col min="13312" max="13312" width="12.109375" style="32" bestFit="1" customWidth="1"/>
    <col min="13313" max="13313" width="2.44140625" style="32" customWidth="1"/>
    <col min="13314" max="13314" width="11.21875" style="32" bestFit="1" customWidth="1"/>
    <col min="13315" max="13315" width="2.77734375" style="32" customWidth="1"/>
    <col min="13316" max="13316" width="11.44140625" style="32" bestFit="1" customWidth="1"/>
    <col min="13317" max="13317" width="2.44140625" style="32" customWidth="1"/>
    <col min="13318" max="13318" width="11" style="32" bestFit="1" customWidth="1"/>
    <col min="13319" max="13319" width="3.33203125" style="32" customWidth="1"/>
    <col min="13320" max="13320" width="10.77734375" style="32" bestFit="1" customWidth="1"/>
    <col min="13321" max="13321" width="3.109375" style="32" customWidth="1"/>
    <col min="13322" max="13322" width="11.21875" style="32" bestFit="1" customWidth="1"/>
    <col min="13323" max="13323" width="2.44140625" style="32" customWidth="1"/>
    <col min="13324" max="13324" width="11.44140625" style="32" bestFit="1" customWidth="1"/>
    <col min="13325" max="13325" width="9.77734375" style="32" bestFit="1" customWidth="1"/>
    <col min="13326" max="13561" width="9" style="32"/>
    <col min="13562" max="13562" width="11.44140625" style="32" bestFit="1" customWidth="1"/>
    <col min="13563" max="13563" width="1.77734375" style="32" customWidth="1"/>
    <col min="13564" max="13564" width="42.44140625" style="32" bestFit="1" customWidth="1"/>
    <col min="13565" max="13565" width="2.77734375" style="32" customWidth="1"/>
    <col min="13566" max="13566" width="11" style="32" bestFit="1" customWidth="1"/>
    <col min="13567" max="13567" width="2.77734375" style="32" customWidth="1"/>
    <col min="13568" max="13568" width="12.109375" style="32" bestFit="1" customWidth="1"/>
    <col min="13569" max="13569" width="2.44140625" style="32" customWidth="1"/>
    <col min="13570" max="13570" width="11.21875" style="32" bestFit="1" customWidth="1"/>
    <col min="13571" max="13571" width="2.77734375" style="32" customWidth="1"/>
    <col min="13572" max="13572" width="11.44140625" style="32" bestFit="1" customWidth="1"/>
    <col min="13573" max="13573" width="2.44140625" style="32" customWidth="1"/>
    <col min="13574" max="13574" width="11" style="32" bestFit="1" customWidth="1"/>
    <col min="13575" max="13575" width="3.33203125" style="32" customWidth="1"/>
    <col min="13576" max="13576" width="10.77734375" style="32" bestFit="1" customWidth="1"/>
    <col min="13577" max="13577" width="3.109375" style="32" customWidth="1"/>
    <col min="13578" max="13578" width="11.21875" style="32" bestFit="1" customWidth="1"/>
    <col min="13579" max="13579" width="2.44140625" style="32" customWidth="1"/>
    <col min="13580" max="13580" width="11.44140625" style="32" bestFit="1" customWidth="1"/>
    <col min="13581" max="13581" width="9.77734375" style="32" bestFit="1" customWidth="1"/>
    <col min="13582" max="13817" width="9" style="32"/>
    <col min="13818" max="13818" width="11.44140625" style="32" bestFit="1" customWidth="1"/>
    <col min="13819" max="13819" width="1.77734375" style="32" customWidth="1"/>
    <col min="13820" max="13820" width="42.44140625" style="32" bestFit="1" customWidth="1"/>
    <col min="13821" max="13821" width="2.77734375" style="32" customWidth="1"/>
    <col min="13822" max="13822" width="11" style="32" bestFit="1" customWidth="1"/>
    <col min="13823" max="13823" width="2.77734375" style="32" customWidth="1"/>
    <col min="13824" max="13824" width="12.109375" style="32" bestFit="1" customWidth="1"/>
    <col min="13825" max="13825" width="2.44140625" style="32" customWidth="1"/>
    <col min="13826" max="13826" width="11.21875" style="32" bestFit="1" customWidth="1"/>
    <col min="13827" max="13827" width="2.77734375" style="32" customWidth="1"/>
    <col min="13828" max="13828" width="11.44140625" style="32" bestFit="1" customWidth="1"/>
    <col min="13829" max="13829" width="2.44140625" style="32" customWidth="1"/>
    <col min="13830" max="13830" width="11" style="32" bestFit="1" customWidth="1"/>
    <col min="13831" max="13831" width="3.33203125" style="32" customWidth="1"/>
    <col min="13832" max="13832" width="10.77734375" style="32" bestFit="1" customWidth="1"/>
    <col min="13833" max="13833" width="3.109375" style="32" customWidth="1"/>
    <col min="13834" max="13834" width="11.21875" style="32" bestFit="1" customWidth="1"/>
    <col min="13835" max="13835" width="2.44140625" style="32" customWidth="1"/>
    <col min="13836" max="13836" width="11.44140625" style="32" bestFit="1" customWidth="1"/>
    <col min="13837" max="13837" width="9.77734375" style="32" bestFit="1" customWidth="1"/>
    <col min="13838" max="14073" width="9" style="32"/>
    <col min="14074" max="14074" width="11.44140625" style="32" bestFit="1" customWidth="1"/>
    <col min="14075" max="14075" width="1.77734375" style="32" customWidth="1"/>
    <col min="14076" max="14076" width="42.44140625" style="32" bestFit="1" customWidth="1"/>
    <col min="14077" max="14077" width="2.77734375" style="32" customWidth="1"/>
    <col min="14078" max="14078" width="11" style="32" bestFit="1" customWidth="1"/>
    <col min="14079" max="14079" width="2.77734375" style="32" customWidth="1"/>
    <col min="14080" max="14080" width="12.109375" style="32" bestFit="1" customWidth="1"/>
    <col min="14081" max="14081" width="2.44140625" style="32" customWidth="1"/>
    <col min="14082" max="14082" width="11.21875" style="32" bestFit="1" customWidth="1"/>
    <col min="14083" max="14083" width="2.77734375" style="32" customWidth="1"/>
    <col min="14084" max="14084" width="11.44140625" style="32" bestFit="1" customWidth="1"/>
    <col min="14085" max="14085" width="2.44140625" style="32" customWidth="1"/>
    <col min="14086" max="14086" width="11" style="32" bestFit="1" customWidth="1"/>
    <col min="14087" max="14087" width="3.33203125" style="32" customWidth="1"/>
    <col min="14088" max="14088" width="10.77734375" style="32" bestFit="1" customWidth="1"/>
    <col min="14089" max="14089" width="3.109375" style="32" customWidth="1"/>
    <col min="14090" max="14090" width="11.21875" style="32" bestFit="1" customWidth="1"/>
    <col min="14091" max="14091" width="2.44140625" style="32" customWidth="1"/>
    <col min="14092" max="14092" width="11.44140625" style="32" bestFit="1" customWidth="1"/>
    <col min="14093" max="14093" width="9.77734375" style="32" bestFit="1" customWidth="1"/>
    <col min="14094" max="14329" width="9" style="32"/>
    <col min="14330" max="14330" width="11.44140625" style="32" bestFit="1" customWidth="1"/>
    <col min="14331" max="14331" width="1.77734375" style="32" customWidth="1"/>
    <col min="14332" max="14332" width="42.44140625" style="32" bestFit="1" customWidth="1"/>
    <col min="14333" max="14333" width="2.77734375" style="32" customWidth="1"/>
    <col min="14334" max="14334" width="11" style="32" bestFit="1" customWidth="1"/>
    <col min="14335" max="14335" width="2.77734375" style="32" customWidth="1"/>
    <col min="14336" max="14336" width="12.109375" style="32" bestFit="1" customWidth="1"/>
    <col min="14337" max="14337" width="2.44140625" style="32" customWidth="1"/>
    <col min="14338" max="14338" width="11.21875" style="32" bestFit="1" customWidth="1"/>
    <col min="14339" max="14339" width="2.77734375" style="32" customWidth="1"/>
    <col min="14340" max="14340" width="11.44140625" style="32" bestFit="1" customWidth="1"/>
    <col min="14341" max="14341" width="2.44140625" style="32" customWidth="1"/>
    <col min="14342" max="14342" width="11" style="32" bestFit="1" customWidth="1"/>
    <col min="14343" max="14343" width="3.33203125" style="32" customWidth="1"/>
    <col min="14344" max="14344" width="10.77734375" style="32" bestFit="1" customWidth="1"/>
    <col min="14345" max="14345" width="3.109375" style="32" customWidth="1"/>
    <col min="14346" max="14346" width="11.21875" style="32" bestFit="1" customWidth="1"/>
    <col min="14347" max="14347" width="2.44140625" style="32" customWidth="1"/>
    <col min="14348" max="14348" width="11.44140625" style="32" bestFit="1" customWidth="1"/>
    <col min="14349" max="14349" width="9.77734375" style="32" bestFit="1" customWidth="1"/>
    <col min="14350" max="14585" width="9" style="32"/>
    <col min="14586" max="14586" width="11.44140625" style="32" bestFit="1" customWidth="1"/>
    <col min="14587" max="14587" width="1.77734375" style="32" customWidth="1"/>
    <col min="14588" max="14588" width="42.44140625" style="32" bestFit="1" customWidth="1"/>
    <col min="14589" max="14589" width="2.77734375" style="32" customWidth="1"/>
    <col min="14590" max="14590" width="11" style="32" bestFit="1" customWidth="1"/>
    <col min="14591" max="14591" width="2.77734375" style="32" customWidth="1"/>
    <col min="14592" max="14592" width="12.109375" style="32" bestFit="1" customWidth="1"/>
    <col min="14593" max="14593" width="2.44140625" style="32" customWidth="1"/>
    <col min="14594" max="14594" width="11.21875" style="32" bestFit="1" customWidth="1"/>
    <col min="14595" max="14595" width="2.77734375" style="32" customWidth="1"/>
    <col min="14596" max="14596" width="11.44140625" style="32" bestFit="1" customWidth="1"/>
    <col min="14597" max="14597" width="2.44140625" style="32" customWidth="1"/>
    <col min="14598" max="14598" width="11" style="32" bestFit="1" customWidth="1"/>
    <col min="14599" max="14599" width="3.33203125" style="32" customWidth="1"/>
    <col min="14600" max="14600" width="10.77734375" style="32" bestFit="1" customWidth="1"/>
    <col min="14601" max="14601" width="3.109375" style="32" customWidth="1"/>
    <col min="14602" max="14602" width="11.21875" style="32" bestFit="1" customWidth="1"/>
    <col min="14603" max="14603" width="2.44140625" style="32" customWidth="1"/>
    <col min="14604" max="14604" width="11.44140625" style="32" bestFit="1" customWidth="1"/>
    <col min="14605" max="14605" width="9.77734375" style="32" bestFit="1" customWidth="1"/>
    <col min="14606" max="14841" width="9" style="32"/>
    <col min="14842" max="14842" width="11.44140625" style="32" bestFit="1" customWidth="1"/>
    <col min="14843" max="14843" width="1.77734375" style="32" customWidth="1"/>
    <col min="14844" max="14844" width="42.44140625" style="32" bestFit="1" customWidth="1"/>
    <col min="14845" max="14845" width="2.77734375" style="32" customWidth="1"/>
    <col min="14846" max="14846" width="11" style="32" bestFit="1" customWidth="1"/>
    <col min="14847" max="14847" width="2.77734375" style="32" customWidth="1"/>
    <col min="14848" max="14848" width="12.109375" style="32" bestFit="1" customWidth="1"/>
    <col min="14849" max="14849" width="2.44140625" style="32" customWidth="1"/>
    <col min="14850" max="14850" width="11.21875" style="32" bestFit="1" customWidth="1"/>
    <col min="14851" max="14851" width="2.77734375" style="32" customWidth="1"/>
    <col min="14852" max="14852" width="11.44140625" style="32" bestFit="1" customWidth="1"/>
    <col min="14853" max="14853" width="2.44140625" style="32" customWidth="1"/>
    <col min="14854" max="14854" width="11" style="32" bestFit="1" customWidth="1"/>
    <col min="14855" max="14855" width="3.33203125" style="32" customWidth="1"/>
    <col min="14856" max="14856" width="10.77734375" style="32" bestFit="1" customWidth="1"/>
    <col min="14857" max="14857" width="3.109375" style="32" customWidth="1"/>
    <col min="14858" max="14858" width="11.21875" style="32" bestFit="1" customWidth="1"/>
    <col min="14859" max="14859" width="2.44140625" style="32" customWidth="1"/>
    <col min="14860" max="14860" width="11.44140625" style="32" bestFit="1" customWidth="1"/>
    <col min="14861" max="14861" width="9.77734375" style="32" bestFit="1" customWidth="1"/>
    <col min="14862" max="15097" width="9" style="32"/>
    <col min="15098" max="15098" width="11.44140625" style="32" bestFit="1" customWidth="1"/>
    <col min="15099" max="15099" width="1.77734375" style="32" customWidth="1"/>
    <col min="15100" max="15100" width="42.44140625" style="32" bestFit="1" customWidth="1"/>
    <col min="15101" max="15101" width="2.77734375" style="32" customWidth="1"/>
    <col min="15102" max="15102" width="11" style="32" bestFit="1" customWidth="1"/>
    <col min="15103" max="15103" width="2.77734375" style="32" customWidth="1"/>
    <col min="15104" max="15104" width="12.109375" style="32" bestFit="1" customWidth="1"/>
    <col min="15105" max="15105" width="2.44140625" style="32" customWidth="1"/>
    <col min="15106" max="15106" width="11.21875" style="32" bestFit="1" customWidth="1"/>
    <col min="15107" max="15107" width="2.77734375" style="32" customWidth="1"/>
    <col min="15108" max="15108" width="11.44140625" style="32" bestFit="1" customWidth="1"/>
    <col min="15109" max="15109" width="2.44140625" style="32" customWidth="1"/>
    <col min="15110" max="15110" width="11" style="32" bestFit="1" customWidth="1"/>
    <col min="15111" max="15111" width="3.33203125" style="32" customWidth="1"/>
    <col min="15112" max="15112" width="10.77734375" style="32" bestFit="1" customWidth="1"/>
    <col min="15113" max="15113" width="3.109375" style="32" customWidth="1"/>
    <col min="15114" max="15114" width="11.21875" style="32" bestFit="1" customWidth="1"/>
    <col min="15115" max="15115" width="2.44140625" style="32" customWidth="1"/>
    <col min="15116" max="15116" width="11.44140625" style="32" bestFit="1" customWidth="1"/>
    <col min="15117" max="15117" width="9.77734375" style="32" bestFit="1" customWidth="1"/>
    <col min="15118" max="15353" width="9" style="32"/>
    <col min="15354" max="15354" width="11.44140625" style="32" bestFit="1" customWidth="1"/>
    <col min="15355" max="15355" width="1.77734375" style="32" customWidth="1"/>
    <col min="15356" max="15356" width="42.44140625" style="32" bestFit="1" customWidth="1"/>
    <col min="15357" max="15357" width="2.77734375" style="32" customWidth="1"/>
    <col min="15358" max="15358" width="11" style="32" bestFit="1" customWidth="1"/>
    <col min="15359" max="15359" width="2.77734375" style="32" customWidth="1"/>
    <col min="15360" max="15360" width="12.109375" style="32" bestFit="1" customWidth="1"/>
    <col min="15361" max="15361" width="2.44140625" style="32" customWidth="1"/>
    <col min="15362" max="15362" width="11.21875" style="32" bestFit="1" customWidth="1"/>
    <col min="15363" max="15363" width="2.77734375" style="32" customWidth="1"/>
    <col min="15364" max="15364" width="11.44140625" style="32" bestFit="1" customWidth="1"/>
    <col min="15365" max="15365" width="2.44140625" style="32" customWidth="1"/>
    <col min="15366" max="15366" width="11" style="32" bestFit="1" customWidth="1"/>
    <col min="15367" max="15367" width="3.33203125" style="32" customWidth="1"/>
    <col min="15368" max="15368" width="10.77734375" style="32" bestFit="1" customWidth="1"/>
    <col min="15369" max="15369" width="3.109375" style="32" customWidth="1"/>
    <col min="15370" max="15370" width="11.21875" style="32" bestFit="1" customWidth="1"/>
    <col min="15371" max="15371" width="2.44140625" style="32" customWidth="1"/>
    <col min="15372" max="15372" width="11.44140625" style="32" bestFit="1" customWidth="1"/>
    <col min="15373" max="15373" width="9.77734375" style="32" bestFit="1" customWidth="1"/>
    <col min="15374" max="15609" width="9" style="32"/>
    <col min="15610" max="15610" width="11.44140625" style="32" bestFit="1" customWidth="1"/>
    <col min="15611" max="15611" width="1.77734375" style="32" customWidth="1"/>
    <col min="15612" max="15612" width="42.44140625" style="32" bestFit="1" customWidth="1"/>
    <col min="15613" max="15613" width="2.77734375" style="32" customWidth="1"/>
    <col min="15614" max="15614" width="11" style="32" bestFit="1" customWidth="1"/>
    <col min="15615" max="15615" width="2.77734375" style="32" customWidth="1"/>
    <col min="15616" max="15616" width="12.109375" style="32" bestFit="1" customWidth="1"/>
    <col min="15617" max="15617" width="2.44140625" style="32" customWidth="1"/>
    <col min="15618" max="15618" width="11.21875" style="32" bestFit="1" customWidth="1"/>
    <col min="15619" max="15619" width="2.77734375" style="32" customWidth="1"/>
    <col min="15620" max="15620" width="11.44140625" style="32" bestFit="1" customWidth="1"/>
    <col min="15621" max="15621" width="2.44140625" style="32" customWidth="1"/>
    <col min="15622" max="15622" width="11" style="32" bestFit="1" customWidth="1"/>
    <col min="15623" max="15623" width="3.33203125" style="32" customWidth="1"/>
    <col min="15624" max="15624" width="10.77734375" style="32" bestFit="1" customWidth="1"/>
    <col min="15625" max="15625" width="3.109375" style="32" customWidth="1"/>
    <col min="15626" max="15626" width="11.21875" style="32" bestFit="1" customWidth="1"/>
    <col min="15627" max="15627" width="2.44140625" style="32" customWidth="1"/>
    <col min="15628" max="15628" width="11.44140625" style="32" bestFit="1" customWidth="1"/>
    <col min="15629" max="15629" width="9.77734375" style="32" bestFit="1" customWidth="1"/>
    <col min="15630" max="15865" width="9" style="32"/>
    <col min="15866" max="15866" width="11.44140625" style="32" bestFit="1" customWidth="1"/>
    <col min="15867" max="15867" width="1.77734375" style="32" customWidth="1"/>
    <col min="15868" max="15868" width="42.44140625" style="32" bestFit="1" customWidth="1"/>
    <col min="15869" max="15869" width="2.77734375" style="32" customWidth="1"/>
    <col min="15870" max="15870" width="11" style="32" bestFit="1" customWidth="1"/>
    <col min="15871" max="15871" width="2.77734375" style="32" customWidth="1"/>
    <col min="15872" max="15872" width="12.109375" style="32" bestFit="1" customWidth="1"/>
    <col min="15873" max="15873" width="2.44140625" style="32" customWidth="1"/>
    <col min="15874" max="15874" width="11.21875" style="32" bestFit="1" customWidth="1"/>
    <col min="15875" max="15875" width="2.77734375" style="32" customWidth="1"/>
    <col min="15876" max="15876" width="11.44140625" style="32" bestFit="1" customWidth="1"/>
    <col min="15877" max="15877" width="2.44140625" style="32" customWidth="1"/>
    <col min="15878" max="15878" width="11" style="32" bestFit="1" customWidth="1"/>
    <col min="15879" max="15879" width="3.33203125" style="32" customWidth="1"/>
    <col min="15880" max="15880" width="10.77734375" style="32" bestFit="1" customWidth="1"/>
    <col min="15881" max="15881" width="3.109375" style="32" customWidth="1"/>
    <col min="15882" max="15882" width="11.21875" style="32" bestFit="1" customWidth="1"/>
    <col min="15883" max="15883" width="2.44140625" style="32" customWidth="1"/>
    <col min="15884" max="15884" width="11.44140625" style="32" bestFit="1" customWidth="1"/>
    <col min="15885" max="15885" width="9.77734375" style="32" bestFit="1" customWidth="1"/>
    <col min="15886" max="16121" width="9" style="32"/>
    <col min="16122" max="16122" width="11.44140625" style="32" bestFit="1" customWidth="1"/>
    <col min="16123" max="16123" width="1.77734375" style="32" customWidth="1"/>
    <col min="16124" max="16124" width="42.44140625" style="32" bestFit="1" customWidth="1"/>
    <col min="16125" max="16125" width="2.77734375" style="32" customWidth="1"/>
    <col min="16126" max="16126" width="11" style="32" bestFit="1" customWidth="1"/>
    <col min="16127" max="16127" width="2.77734375" style="32" customWidth="1"/>
    <col min="16128" max="16128" width="12.109375" style="32" bestFit="1" customWidth="1"/>
    <col min="16129" max="16129" width="2.44140625" style="32" customWidth="1"/>
    <col min="16130" max="16130" width="11.21875" style="32" bestFit="1" customWidth="1"/>
    <col min="16131" max="16131" width="2.77734375" style="32" customWidth="1"/>
    <col min="16132" max="16132" width="11.44140625" style="32" bestFit="1" customWidth="1"/>
    <col min="16133" max="16133" width="2.44140625" style="32" customWidth="1"/>
    <col min="16134" max="16134" width="11" style="32" bestFit="1" customWidth="1"/>
    <col min="16135" max="16135" width="3.33203125" style="32" customWidth="1"/>
    <col min="16136" max="16136" width="10.77734375" style="32" bestFit="1" customWidth="1"/>
    <col min="16137" max="16137" width="3.109375" style="32" customWidth="1"/>
    <col min="16138" max="16138" width="11.21875" style="32" bestFit="1" customWidth="1"/>
    <col min="16139" max="16139" width="2.44140625" style="32" customWidth="1"/>
    <col min="16140" max="16140" width="11.44140625" style="32" bestFit="1" customWidth="1"/>
    <col min="16141" max="16141" width="9.77734375" style="32" bestFit="1" customWidth="1"/>
    <col min="16142" max="16384" width="9" style="32"/>
  </cols>
  <sheetData>
    <row r="1" spans="1:19" s="45" customFormat="1" ht="15.6">
      <c r="A1" s="421" t="s">
        <v>970</v>
      </c>
      <c r="K1" s="122"/>
      <c r="L1" s="122"/>
    </row>
    <row r="2" spans="1:19" s="34" customFormat="1" ht="17.399999999999999">
      <c r="B2" s="35"/>
      <c r="C2" s="35"/>
      <c r="D2" s="35"/>
      <c r="E2" s="35"/>
      <c r="F2" s="35"/>
    </row>
    <row r="3" spans="1:19" s="34" customFormat="1" ht="17.399999999999999">
      <c r="A3" s="33"/>
      <c r="B3" s="35"/>
      <c r="C3" s="35"/>
      <c r="D3" s="35"/>
      <c r="E3" s="35"/>
      <c r="F3" s="35"/>
      <c r="J3" s="36"/>
      <c r="K3" s="37"/>
      <c r="L3" s="37"/>
    </row>
    <row r="4" spans="1:19" s="34" customFormat="1" ht="17.399999999999999">
      <c r="A4" s="2058" t="s">
        <v>200</v>
      </c>
      <c r="B4" s="2058"/>
      <c r="C4" s="2058"/>
      <c r="D4" s="2058"/>
      <c r="E4" s="2058"/>
      <c r="F4" s="2058"/>
      <c r="G4" s="2058"/>
      <c r="H4" s="2058"/>
      <c r="I4" s="2058"/>
      <c r="J4" s="2058"/>
      <c r="K4" s="2058"/>
      <c r="L4" s="2058"/>
      <c r="M4" s="2058"/>
    </row>
    <row r="5" spans="1:19" s="34" customFormat="1" ht="17.399999999999999">
      <c r="A5" s="2058" t="s">
        <v>103</v>
      </c>
      <c r="B5" s="2058"/>
      <c r="C5" s="2058"/>
      <c r="D5" s="2058"/>
      <c r="E5" s="2058"/>
      <c r="F5" s="2058"/>
      <c r="G5" s="2058"/>
      <c r="H5" s="2058"/>
      <c r="I5" s="2058"/>
      <c r="J5" s="2058"/>
      <c r="K5" s="2058"/>
      <c r="L5" s="2058"/>
      <c r="M5" s="2058"/>
    </row>
    <row r="6" spans="1:19" s="34" customFormat="1" ht="17.399999999999999">
      <c r="A6" s="2059" t="str">
        <f>SUMMARY!A7</f>
        <v>YEAR ENDING DECEMBER 31, 2021</v>
      </c>
      <c r="B6" s="2059"/>
      <c r="C6" s="2059"/>
      <c r="D6" s="2059"/>
      <c r="E6" s="2059"/>
      <c r="F6" s="2059"/>
      <c r="G6" s="2059"/>
      <c r="H6" s="2059"/>
      <c r="I6" s="2059"/>
      <c r="J6" s="2059"/>
      <c r="K6" s="2059"/>
      <c r="L6" s="2059"/>
      <c r="M6" s="2059"/>
    </row>
    <row r="7" spans="1:19" s="34" customFormat="1" ht="17.399999999999999">
      <c r="A7" s="39"/>
      <c r="B7" s="35"/>
      <c r="C7" s="35"/>
      <c r="D7" s="35"/>
      <c r="E7" s="35"/>
      <c r="F7" s="35"/>
      <c r="G7" s="35"/>
      <c r="H7" s="35"/>
    </row>
    <row r="8" spans="1:19" s="34" customFormat="1" ht="17.399999999999999">
      <c r="A8" s="2060" t="s">
        <v>971</v>
      </c>
      <c r="B8" s="2060"/>
      <c r="C8" s="2060"/>
      <c r="D8" s="2060"/>
      <c r="E8" s="2060"/>
      <c r="F8" s="2060"/>
      <c r="G8" s="2060"/>
      <c r="H8" s="2060"/>
      <c r="I8" s="2060"/>
      <c r="J8" s="2060"/>
      <c r="K8" s="2060"/>
      <c r="L8" s="2060"/>
      <c r="M8" s="2060"/>
    </row>
    <row r="9" spans="1:19" s="34" customFormat="1" ht="17.399999999999999">
      <c r="A9" s="2058" t="s">
        <v>252</v>
      </c>
      <c r="B9" s="2058"/>
      <c r="C9" s="2058"/>
      <c r="D9" s="2058"/>
      <c r="E9" s="2058"/>
      <c r="F9" s="2058"/>
      <c r="G9" s="2058"/>
      <c r="H9" s="2058"/>
      <c r="I9" s="2058"/>
      <c r="J9" s="2058"/>
      <c r="K9" s="2058"/>
      <c r="L9" s="2058"/>
      <c r="M9" s="2058"/>
    </row>
    <row r="10" spans="1:19" s="114" customFormat="1" ht="13.8"/>
    <row r="11" spans="1:19" s="114" customFormat="1" ht="13.8"/>
    <row r="12" spans="1:19" s="114" customFormat="1" ht="13.8"/>
    <row r="13" spans="1:19" s="45" customFormat="1" ht="15.6">
      <c r="D13" s="2055">
        <v>2021</v>
      </c>
      <c r="E13" s="2056"/>
      <c r="F13" s="2056"/>
      <c r="G13" s="2056"/>
      <c r="H13" s="2057"/>
      <c r="I13" s="2055">
        <v>2020</v>
      </c>
      <c r="J13" s="2056"/>
      <c r="K13" s="2056"/>
      <c r="L13" s="2057"/>
      <c r="M13" s="114"/>
      <c r="N13" s="579"/>
      <c r="O13" s="579"/>
      <c r="P13" s="579"/>
      <c r="Q13" s="579"/>
      <c r="R13" s="579"/>
      <c r="S13" s="334"/>
    </row>
    <row r="14" spans="1:19" s="45" customFormat="1" ht="15.6">
      <c r="E14" s="235" t="s">
        <v>234</v>
      </c>
      <c r="F14" s="235" t="s">
        <v>150</v>
      </c>
      <c r="G14" s="235" t="s">
        <v>234</v>
      </c>
      <c r="H14" s="235" t="s">
        <v>68</v>
      </c>
      <c r="I14" s="235" t="s">
        <v>234</v>
      </c>
      <c r="J14" s="235" t="s">
        <v>150</v>
      </c>
      <c r="K14" s="235" t="s">
        <v>234</v>
      </c>
      <c r="L14" s="235" t="s">
        <v>68</v>
      </c>
      <c r="N14" s="334"/>
      <c r="O14" s="334"/>
      <c r="P14" s="334"/>
      <c r="Q14" s="334"/>
      <c r="R14" s="334"/>
      <c r="S14" s="334"/>
    </row>
    <row r="15" spans="1:19" s="45" customFormat="1" ht="16.2" thickBot="1">
      <c r="B15" s="235" t="s">
        <v>30</v>
      </c>
      <c r="E15" s="215" t="s">
        <v>791</v>
      </c>
      <c r="F15" s="215" t="s">
        <v>280</v>
      </c>
      <c r="G15" s="215" t="s">
        <v>794</v>
      </c>
      <c r="H15" s="215" t="s">
        <v>793</v>
      </c>
      <c r="I15" s="215" t="s">
        <v>791</v>
      </c>
      <c r="J15" s="215" t="s">
        <v>280</v>
      </c>
      <c r="K15" s="215" t="s">
        <v>794</v>
      </c>
      <c r="L15" s="215" t="s">
        <v>793</v>
      </c>
    </row>
    <row r="16" spans="1:19" s="45" customFormat="1" ht="15.6">
      <c r="B16" s="235"/>
      <c r="E16" s="569" t="s">
        <v>192</v>
      </c>
      <c r="F16" s="569" t="s">
        <v>193</v>
      </c>
      <c r="G16" s="569" t="s">
        <v>194</v>
      </c>
      <c r="H16" s="569" t="s">
        <v>195</v>
      </c>
      <c r="I16" s="569" t="s">
        <v>196</v>
      </c>
      <c r="J16" s="569" t="s">
        <v>371</v>
      </c>
      <c r="K16" s="569" t="s">
        <v>372</v>
      </c>
      <c r="L16" s="569" t="s">
        <v>900</v>
      </c>
    </row>
    <row r="17" spans="1:16" ht="15">
      <c r="A17" s="631" t="s">
        <v>471</v>
      </c>
      <c r="B17" s="1224" t="s">
        <v>1840</v>
      </c>
      <c r="D17" s="1224"/>
      <c r="E17" s="1331">
        <v>50486953.469999999</v>
      </c>
      <c r="F17" s="1331">
        <v>29822441.469999999</v>
      </c>
      <c r="G17" s="1331">
        <v>20664512</v>
      </c>
      <c r="H17" s="1331">
        <v>1682899</v>
      </c>
      <c r="I17" s="1331">
        <v>50486953.469999999</v>
      </c>
      <c r="J17" s="1332">
        <v>28139542.469999999</v>
      </c>
      <c r="K17" s="1331">
        <v>22347411</v>
      </c>
      <c r="L17" s="1331">
        <v>1682899</v>
      </c>
      <c r="N17" s="1921"/>
      <c r="O17" s="1921"/>
      <c r="P17" s="1921"/>
    </row>
    <row r="18" spans="1:16" ht="15">
      <c r="A18" s="631" t="s">
        <v>473</v>
      </c>
      <c r="B18" s="1224" t="s">
        <v>1841</v>
      </c>
      <c r="D18" s="1224"/>
      <c r="E18" s="1331">
        <v>325068838.27999997</v>
      </c>
      <c r="F18" s="1332">
        <v>93186404.280000001</v>
      </c>
      <c r="G18" s="1331">
        <v>231882434</v>
      </c>
      <c r="H18" s="1331">
        <v>6501377</v>
      </c>
      <c r="I18" s="1331">
        <v>325068838.27999997</v>
      </c>
      <c r="J18" s="1332">
        <v>86685027.280000001</v>
      </c>
      <c r="K18" s="1331">
        <v>238383811</v>
      </c>
      <c r="L18" s="1331">
        <v>6501377</v>
      </c>
      <c r="N18" s="1921"/>
      <c r="O18" s="1921"/>
      <c r="P18" s="1921"/>
    </row>
    <row r="19" spans="1:16" ht="15">
      <c r="A19" s="631" t="s">
        <v>494</v>
      </c>
      <c r="B19" s="1224" t="s">
        <v>1842</v>
      </c>
      <c r="D19" s="1224"/>
      <c r="E19" s="1331">
        <v>104568703.38</v>
      </c>
      <c r="F19" s="1332">
        <v>25270901.379999999</v>
      </c>
      <c r="G19" s="1331">
        <v>79297802</v>
      </c>
      <c r="H19" s="1331">
        <v>2074397.14</v>
      </c>
      <c r="I19" s="1331">
        <v>103106296.23999999</v>
      </c>
      <c r="J19" s="1332">
        <v>23196504.239999998</v>
      </c>
      <c r="K19" s="1331">
        <v>79909792</v>
      </c>
      <c r="L19" s="1331">
        <v>2057910.3</v>
      </c>
      <c r="N19" s="1921"/>
      <c r="O19" s="1921"/>
      <c r="P19" s="1921"/>
    </row>
    <row r="20" spans="1:16" ht="15">
      <c r="A20" s="631" t="s">
        <v>541</v>
      </c>
      <c r="B20" s="1330"/>
      <c r="D20" s="1224"/>
      <c r="E20" s="1334"/>
      <c r="F20" s="1334"/>
      <c r="G20" s="1334"/>
      <c r="H20" s="1334"/>
      <c r="I20" s="1334"/>
      <c r="J20" s="1334"/>
      <c r="K20" s="1334"/>
      <c r="L20" s="1334"/>
      <c r="N20" s="1921"/>
      <c r="O20" s="1921"/>
      <c r="P20" s="1921"/>
    </row>
    <row r="21" spans="1:16" s="572" customFormat="1" ht="13.8" thickBot="1">
      <c r="A21" s="570">
        <v>1</v>
      </c>
      <c r="B21" s="570"/>
      <c r="C21" s="570"/>
      <c r="D21" s="571"/>
      <c r="E21" s="571">
        <f t="shared" ref="E21:H21" si="0">SUM(E17:E20)</f>
        <v>480124495.13</v>
      </c>
      <c r="F21" s="571">
        <f t="shared" si="0"/>
        <v>148279747.13</v>
      </c>
      <c r="G21" s="571">
        <f t="shared" si="0"/>
        <v>331844748</v>
      </c>
      <c r="H21" s="571">
        <f t="shared" si="0"/>
        <v>10258673.140000001</v>
      </c>
      <c r="I21" s="571">
        <f t="shared" ref="I21:L21" si="1">SUM(I17:I20)</f>
        <v>478662087.99000001</v>
      </c>
      <c r="J21" s="571">
        <f t="shared" si="1"/>
        <v>138021073.99000001</v>
      </c>
      <c r="K21" s="571">
        <f t="shared" si="1"/>
        <v>340641014</v>
      </c>
      <c r="L21" s="571">
        <f t="shared" si="1"/>
        <v>10242186.300000001</v>
      </c>
      <c r="N21" s="1921"/>
      <c r="O21" s="1921"/>
      <c r="P21" s="1921"/>
    </row>
    <row r="22" spans="1:16" ht="13.8" thickTop="1">
      <c r="E22" s="573"/>
      <c r="F22" s="573"/>
      <c r="G22" s="573"/>
      <c r="H22" s="573"/>
      <c r="I22" s="573"/>
      <c r="J22" s="573"/>
      <c r="K22" s="573"/>
      <c r="L22" s="573"/>
      <c r="N22" s="1921"/>
      <c r="O22" s="1921"/>
      <c r="P22" s="1921"/>
    </row>
    <row r="23" spans="1:16" s="45" customFormat="1" ht="15.6">
      <c r="B23" s="235" t="s">
        <v>1119</v>
      </c>
      <c r="E23" s="218"/>
      <c r="F23" s="402"/>
      <c r="G23" s="218"/>
      <c r="H23" s="218"/>
      <c r="I23" s="218"/>
      <c r="J23" s="402"/>
      <c r="K23" s="218"/>
      <c r="L23" s="218"/>
      <c r="N23" s="1921"/>
      <c r="O23" s="1921"/>
      <c r="P23" s="1921"/>
    </row>
    <row r="24" spans="1:16">
      <c r="A24" s="32" t="s">
        <v>1265</v>
      </c>
      <c r="B24" s="1224" t="s">
        <v>1840</v>
      </c>
      <c r="D24" s="1224"/>
      <c r="E24" s="1336">
        <v>97609417.209999993</v>
      </c>
      <c r="F24" s="1332">
        <v>47039956.210000001</v>
      </c>
      <c r="G24" s="1332">
        <v>50569461</v>
      </c>
      <c r="H24" s="1331">
        <v>3185424.27</v>
      </c>
      <c r="I24" s="1336">
        <v>95101421.939999998</v>
      </c>
      <c r="J24" s="1332">
        <v>43854531.939999998</v>
      </c>
      <c r="K24" s="1332">
        <v>51246890</v>
      </c>
      <c r="L24" s="1331">
        <v>3164701.68</v>
      </c>
      <c r="N24" s="1921"/>
      <c r="O24" s="1921"/>
      <c r="P24" s="1921"/>
    </row>
    <row r="25" spans="1:16">
      <c r="A25" s="32" t="s">
        <v>1266</v>
      </c>
      <c r="B25" s="1224" t="s">
        <v>1843</v>
      </c>
      <c r="D25" s="1224"/>
      <c r="E25" s="1336">
        <v>24602050</v>
      </c>
      <c r="F25" s="1332">
        <v>7913660</v>
      </c>
      <c r="G25" s="1332">
        <v>16688390</v>
      </c>
      <c r="H25" s="1331">
        <v>492041</v>
      </c>
      <c r="I25" s="1336">
        <v>24602050</v>
      </c>
      <c r="J25" s="1332">
        <v>7421619</v>
      </c>
      <c r="K25" s="1332">
        <v>17180431</v>
      </c>
      <c r="L25" s="1331">
        <v>492041</v>
      </c>
      <c r="N25" s="1921"/>
      <c r="O25" s="1921"/>
      <c r="P25" s="1921"/>
    </row>
    <row r="26" spans="1:16">
      <c r="A26" s="32" t="s">
        <v>1267</v>
      </c>
      <c r="B26" s="1224" t="s">
        <v>1844</v>
      </c>
      <c r="D26" s="1224"/>
      <c r="E26" s="1336">
        <v>32900000</v>
      </c>
      <c r="F26" s="1332">
        <v>10587518</v>
      </c>
      <c r="G26" s="1332">
        <v>22312482</v>
      </c>
      <c r="H26" s="1331">
        <v>658000</v>
      </c>
      <c r="I26" s="1336">
        <v>32900000</v>
      </c>
      <c r="J26" s="1332">
        <v>9929518</v>
      </c>
      <c r="K26" s="1332">
        <v>22970482</v>
      </c>
      <c r="L26" s="1331">
        <v>658000</v>
      </c>
      <c r="N26" s="1921"/>
      <c r="O26" s="1921"/>
      <c r="P26" s="1921"/>
    </row>
    <row r="27" spans="1:16">
      <c r="A27" s="32" t="s">
        <v>1268</v>
      </c>
      <c r="B27" s="1224" t="s">
        <v>1845</v>
      </c>
      <c r="D27" s="1224"/>
      <c r="E27" s="1332">
        <v>6412288.1600000001</v>
      </c>
      <c r="F27" s="1332">
        <v>2020620.16</v>
      </c>
      <c r="G27" s="1332">
        <v>4391668</v>
      </c>
      <c r="H27" s="1331">
        <v>128246</v>
      </c>
      <c r="I27" s="1332">
        <v>6412288.1600000001</v>
      </c>
      <c r="J27" s="1332">
        <v>1892374.16</v>
      </c>
      <c r="K27" s="1332">
        <v>4519914</v>
      </c>
      <c r="L27" s="1331">
        <v>128246</v>
      </c>
      <c r="N27" s="1921"/>
      <c r="O27" s="1921"/>
      <c r="P27" s="1921"/>
    </row>
    <row r="28" spans="1:16">
      <c r="A28" s="32" t="s">
        <v>1269</v>
      </c>
      <c r="B28" s="1224" t="s">
        <v>1846</v>
      </c>
      <c r="D28" s="1224"/>
      <c r="E28" s="1332">
        <v>16320373.34</v>
      </c>
      <c r="F28" s="1332">
        <v>5090755.34</v>
      </c>
      <c r="G28" s="1332">
        <v>11229618</v>
      </c>
      <c r="H28" s="1331">
        <v>326408</v>
      </c>
      <c r="I28" s="1332">
        <v>16320373.34</v>
      </c>
      <c r="J28" s="1332">
        <v>4764347.34</v>
      </c>
      <c r="K28" s="1332">
        <v>11556026</v>
      </c>
      <c r="L28" s="1331">
        <v>326408</v>
      </c>
      <c r="N28" s="1921"/>
      <c r="O28" s="1921"/>
      <c r="P28" s="1921"/>
    </row>
    <row r="29" spans="1:16">
      <c r="A29" s="32" t="s">
        <v>1270</v>
      </c>
      <c r="B29" s="1224" t="s">
        <v>1847</v>
      </c>
      <c r="D29" s="1224"/>
      <c r="E29" s="1332">
        <v>11314793.439999999</v>
      </c>
      <c r="F29" s="1332">
        <v>3458371.44</v>
      </c>
      <c r="G29" s="1332">
        <v>7856422</v>
      </c>
      <c r="H29" s="1331">
        <v>237366.51</v>
      </c>
      <c r="I29" s="1332">
        <v>10623897.93</v>
      </c>
      <c r="J29" s="1332">
        <v>3221004.93</v>
      </c>
      <c r="K29" s="1332">
        <v>7402893</v>
      </c>
      <c r="L29" s="1331">
        <v>234276.4</v>
      </c>
      <c r="N29" s="1921"/>
      <c r="O29" s="1921"/>
      <c r="P29" s="1921"/>
    </row>
    <row r="30" spans="1:16">
      <c r="A30" s="32" t="s">
        <v>1271</v>
      </c>
      <c r="B30" s="1224" t="s">
        <v>1848</v>
      </c>
      <c r="D30" s="1224"/>
      <c r="E30" s="1332">
        <v>11535674.01</v>
      </c>
      <c r="F30" s="1332">
        <v>3769021.01</v>
      </c>
      <c r="G30" s="1332">
        <v>7766653</v>
      </c>
      <c r="H30" s="1331">
        <v>334421.5</v>
      </c>
      <c r="I30" s="1331">
        <v>9895993.5099999998</v>
      </c>
      <c r="J30" s="1332">
        <v>3434599.51</v>
      </c>
      <c r="K30" s="1332">
        <v>6461394</v>
      </c>
      <c r="L30" s="1331">
        <v>329867</v>
      </c>
      <c r="N30" s="1921"/>
      <c r="O30" s="1921"/>
      <c r="P30" s="1921"/>
    </row>
    <row r="31" spans="1:16">
      <c r="A31" s="32" t="s">
        <v>1272</v>
      </c>
      <c r="B31" s="1224" t="s">
        <v>2084</v>
      </c>
      <c r="D31" s="1224"/>
      <c r="E31" s="1332">
        <v>6865737.2800000003</v>
      </c>
      <c r="F31" s="1332">
        <v>772758.28</v>
      </c>
      <c r="G31" s="1332">
        <v>6092979</v>
      </c>
      <c r="H31" s="1331">
        <v>414986.55</v>
      </c>
      <c r="I31" s="1331">
        <v>3902956.73</v>
      </c>
      <c r="J31" s="1332">
        <v>357771.73</v>
      </c>
      <c r="K31" s="1332">
        <v>3545185</v>
      </c>
      <c r="L31" s="1331">
        <v>357771.73</v>
      </c>
      <c r="N31" s="1921"/>
      <c r="O31" s="1921"/>
      <c r="P31" s="1921"/>
    </row>
    <row r="32" spans="1:16">
      <c r="A32" s="32" t="s">
        <v>541</v>
      </c>
      <c r="B32" s="1224"/>
      <c r="D32" s="1224"/>
      <c r="E32" s="1334"/>
      <c r="F32" s="1334"/>
      <c r="G32" s="1334"/>
      <c r="H32" s="1334"/>
      <c r="I32" s="1334"/>
      <c r="J32" s="1334"/>
      <c r="K32" s="1334"/>
      <c r="L32" s="1334"/>
      <c r="N32" s="1921"/>
      <c r="O32" s="1921"/>
      <c r="P32" s="1921"/>
    </row>
    <row r="33" spans="1:16" s="572" customFormat="1" ht="13.8" thickBot="1">
      <c r="A33" s="570">
        <v>2</v>
      </c>
      <c r="B33" s="570"/>
      <c r="C33" s="570"/>
      <c r="D33" s="423"/>
      <c r="E33" s="571">
        <f t="shared" ref="E33:G33" si="2">SUM(E24:E32)</f>
        <v>207560333.43999997</v>
      </c>
      <c r="F33" s="571">
        <f t="shared" si="2"/>
        <v>80652660.440000013</v>
      </c>
      <c r="G33" s="571">
        <f t="shared" si="2"/>
        <v>126907673</v>
      </c>
      <c r="H33" s="571">
        <f>SUM(H24:H32)</f>
        <v>5776893.8299999991</v>
      </c>
      <c r="I33" s="571">
        <f t="shared" ref="I33:L33" si="3">SUM(I24:I32)</f>
        <v>199758981.60999998</v>
      </c>
      <c r="J33" s="571">
        <f t="shared" si="3"/>
        <v>74875766.610000014</v>
      </c>
      <c r="K33" s="571">
        <f t="shared" si="3"/>
        <v>124883215</v>
      </c>
      <c r="L33" s="571">
        <f t="shared" si="3"/>
        <v>5691311.8100000005</v>
      </c>
      <c r="N33" s="1921"/>
      <c r="O33" s="1921"/>
      <c r="P33" s="1921"/>
    </row>
    <row r="34" spans="1:16" s="572" customFormat="1" ht="13.8" thickTop="1">
      <c r="A34" s="570"/>
      <c r="B34" s="570"/>
      <c r="C34" s="570"/>
      <c r="D34" s="423"/>
      <c r="E34" s="636"/>
      <c r="F34" s="636"/>
      <c r="G34" s="636"/>
      <c r="H34" s="636"/>
      <c r="I34" s="636"/>
      <c r="J34" s="636"/>
      <c r="K34" s="636"/>
      <c r="L34" s="636"/>
      <c r="N34" s="1921"/>
      <c r="O34" s="1921"/>
      <c r="P34" s="1921"/>
    </row>
    <row r="35" spans="1:16" s="45" customFormat="1" ht="15.6">
      <c r="B35" s="235" t="s">
        <v>1853</v>
      </c>
      <c r="E35" s="218"/>
      <c r="F35" s="402"/>
      <c r="G35" s="218"/>
      <c r="H35" s="218"/>
      <c r="I35" s="218"/>
      <c r="J35" s="402"/>
      <c r="K35" s="218"/>
      <c r="L35" s="218"/>
      <c r="N35" s="1921"/>
      <c r="O35" s="1921"/>
      <c r="P35" s="1921"/>
    </row>
    <row r="36" spans="1:16">
      <c r="A36" s="32" t="s">
        <v>1276</v>
      </c>
      <c r="B36" s="1224" t="s">
        <v>1849</v>
      </c>
      <c r="D36" s="1224"/>
      <c r="E36" s="1332">
        <v>11123947.460000001</v>
      </c>
      <c r="F36" s="1332">
        <v>1790971.46</v>
      </c>
      <c r="G36" s="1332">
        <v>9332976</v>
      </c>
      <c r="H36" s="1331">
        <v>363417.56</v>
      </c>
      <c r="I36" s="1336">
        <v>10882406.9</v>
      </c>
      <c r="J36" s="1332">
        <v>1427553.9</v>
      </c>
      <c r="K36" s="1332">
        <v>9454853</v>
      </c>
      <c r="L36" s="1331">
        <v>331081.48</v>
      </c>
      <c r="N36" s="1921"/>
      <c r="O36" s="1921"/>
      <c r="P36" s="1921"/>
    </row>
    <row r="37" spans="1:16">
      <c r="A37" s="32" t="s">
        <v>1277</v>
      </c>
      <c r="B37" s="1335" t="s">
        <v>2004</v>
      </c>
      <c r="D37" s="1224"/>
      <c r="E37" s="1332">
        <v>23730000</v>
      </c>
      <c r="F37" s="1332">
        <v>1274237</v>
      </c>
      <c r="G37" s="1332">
        <v>22455763</v>
      </c>
      <c r="H37" s="1331">
        <v>480769</v>
      </c>
      <c r="I37" s="1336">
        <v>24470250</v>
      </c>
      <c r="J37" s="1332">
        <v>793468</v>
      </c>
      <c r="K37" s="1332">
        <v>23676782</v>
      </c>
      <c r="L37" s="1331">
        <v>477068</v>
      </c>
      <c r="N37" s="1924"/>
      <c r="O37" s="1921"/>
      <c r="P37" s="1921"/>
    </row>
    <row r="38" spans="1:16">
      <c r="A38" s="32" t="s">
        <v>541</v>
      </c>
      <c r="B38" s="1224"/>
      <c r="D38" s="1224"/>
      <c r="E38" s="1331"/>
      <c r="F38" s="1333"/>
      <c r="G38" s="1333"/>
      <c r="H38" s="1331"/>
      <c r="I38" s="1331"/>
      <c r="J38" s="1333"/>
      <c r="K38" s="1333"/>
      <c r="L38" s="1331"/>
      <c r="N38" s="1921"/>
      <c r="O38" s="1921"/>
      <c r="P38" s="1921"/>
    </row>
    <row r="39" spans="1:16">
      <c r="A39" s="32" t="s">
        <v>541</v>
      </c>
      <c r="B39" s="1224"/>
      <c r="D39" s="1224"/>
      <c r="E39" s="1334"/>
      <c r="F39" s="1334"/>
      <c r="G39" s="1334"/>
      <c r="H39" s="1334"/>
      <c r="I39" s="1334"/>
      <c r="J39" s="1334"/>
      <c r="K39" s="1334"/>
      <c r="L39" s="1334"/>
      <c r="N39" s="1921"/>
      <c r="O39" s="1921"/>
      <c r="P39" s="1921"/>
    </row>
    <row r="40" spans="1:16" s="572" customFormat="1" ht="13.8" thickBot="1">
      <c r="A40" s="570">
        <v>3</v>
      </c>
      <c r="B40" s="570"/>
      <c r="C40" s="570"/>
      <c r="D40" s="423"/>
      <c r="E40" s="571">
        <f t="shared" ref="E40:H40" si="4">SUM(E36:E39)</f>
        <v>34853947.460000001</v>
      </c>
      <c r="F40" s="571">
        <f t="shared" si="4"/>
        <v>3065208.46</v>
      </c>
      <c r="G40" s="571">
        <f t="shared" si="4"/>
        <v>31788739</v>
      </c>
      <c r="H40" s="571">
        <f t="shared" si="4"/>
        <v>844186.56</v>
      </c>
      <c r="I40" s="571">
        <f t="shared" ref="I40:L40" si="5">SUM(I36:I39)</f>
        <v>35352656.899999999</v>
      </c>
      <c r="J40" s="571">
        <f t="shared" si="5"/>
        <v>2221021.9</v>
      </c>
      <c r="K40" s="571">
        <f t="shared" si="5"/>
        <v>33131635</v>
      </c>
      <c r="L40" s="571">
        <f t="shared" si="5"/>
        <v>808149.48</v>
      </c>
      <c r="N40" s="1921"/>
      <c r="O40" s="1921"/>
      <c r="P40" s="1921"/>
    </row>
    <row r="41" spans="1:16" s="572" customFormat="1" ht="13.8" thickTop="1">
      <c r="A41" s="570"/>
      <c r="B41" s="570"/>
      <c r="C41" s="570"/>
      <c r="D41" s="423"/>
      <c r="E41" s="636"/>
      <c r="F41" s="636"/>
      <c r="G41" s="636"/>
      <c r="H41" s="636"/>
      <c r="I41" s="636"/>
      <c r="J41" s="636"/>
      <c r="K41" s="636"/>
      <c r="L41" s="636"/>
    </row>
    <row r="42" spans="1:16" s="572" customFormat="1">
      <c r="A42" s="570"/>
      <c r="B42" s="570"/>
      <c r="C42" s="570"/>
      <c r="D42" s="423"/>
      <c r="E42" s="636"/>
      <c r="F42" s="636"/>
      <c r="G42" s="636"/>
      <c r="H42" s="636"/>
      <c r="I42" s="636"/>
      <c r="J42" s="636"/>
      <c r="K42" s="636"/>
      <c r="L42" s="636"/>
    </row>
    <row r="43" spans="1:16">
      <c r="D43" s="574"/>
      <c r="E43" s="574"/>
      <c r="F43" s="574"/>
      <c r="G43" s="574"/>
      <c r="H43" s="574"/>
      <c r="I43" s="574"/>
      <c r="J43" s="574"/>
      <c r="K43" s="574"/>
      <c r="L43" s="574"/>
    </row>
    <row r="44" spans="1:16" s="45" customFormat="1" ht="15.6">
      <c r="A44" s="45">
        <v>4</v>
      </c>
      <c r="B44" s="421" t="s">
        <v>253</v>
      </c>
      <c r="D44" s="221"/>
      <c r="E44" s="575">
        <f t="shared" ref="E44:L44" si="6">+E33+E21+E40</f>
        <v>722538776.02999997</v>
      </c>
      <c r="F44" s="575">
        <f t="shared" si="6"/>
        <v>231997616.03</v>
      </c>
      <c r="G44" s="575">
        <f t="shared" si="6"/>
        <v>490541160</v>
      </c>
      <c r="H44" s="575">
        <f t="shared" si="6"/>
        <v>16879753.529999997</v>
      </c>
      <c r="I44" s="575">
        <f t="shared" si="6"/>
        <v>713773726.5</v>
      </c>
      <c r="J44" s="575">
        <f t="shared" si="6"/>
        <v>215117862.50000003</v>
      </c>
      <c r="K44" s="575">
        <f t="shared" si="6"/>
        <v>498655864</v>
      </c>
      <c r="L44" s="575">
        <f t="shared" si="6"/>
        <v>16741647.590000002</v>
      </c>
      <c r="M44" s="576"/>
    </row>
    <row r="46" spans="1:16" s="114" customFormat="1" ht="13.8">
      <c r="G46" s="115"/>
      <c r="H46" s="115"/>
    </row>
  </sheetData>
  <customSheetViews>
    <customSheetView guid="{B321D76C-CDE5-48BB-9CDE-80FF97D58FCF}" scale="90" showPageBreaks="1" fitToPage="1" printArea="1" view="pageBreakPreview">
      <selection activeCell="D33" sqref="D33"/>
      <pageMargins left="0.2" right="0.2" top="0.5" bottom="0.25" header="0.3" footer="0.3"/>
      <printOptions horizontalCentered="1"/>
      <pageSetup scale="69" orientation="landscape" r:id="rId1"/>
    </customSheetView>
  </customSheetViews>
  <mergeCells count="7">
    <mergeCell ref="D13:H13"/>
    <mergeCell ref="I13:L13"/>
    <mergeCell ref="A4:M4"/>
    <mergeCell ref="A5:M5"/>
    <mergeCell ref="A9:M9"/>
    <mergeCell ref="A6:M6"/>
    <mergeCell ref="A8:M8"/>
  </mergeCells>
  <printOptions horizontalCentered="1"/>
  <pageMargins left="0.2" right="0.2" top="0.5" bottom="0.25" header="0.3" footer="0.3"/>
  <pageSetup scale="68" orientation="landscape"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tabColor rgb="FF0070C0"/>
    <pageSetUpPr fitToPage="1"/>
  </sheetPr>
  <dimension ref="A1:M31"/>
  <sheetViews>
    <sheetView view="pageBreakPreview" zoomScale="80" zoomScaleNormal="80" zoomScaleSheetLayoutView="80" workbookViewId="0">
      <selection activeCell="M28" sqref="M28"/>
    </sheetView>
  </sheetViews>
  <sheetFormatPr defaultColWidth="16.77734375" defaultRowHeight="13.2"/>
  <cols>
    <col min="1" max="1" width="7.77734375" style="25" customWidth="1"/>
    <col min="2" max="2" width="13.77734375" style="25" customWidth="1"/>
    <col min="3" max="3" width="2.77734375" style="25" customWidth="1"/>
    <col min="4" max="4" width="9.109375" style="25" bestFit="1" customWidth="1"/>
    <col min="5" max="5" width="3.44140625" style="25" customWidth="1"/>
    <col min="6" max="6" width="12" style="25" customWidth="1"/>
    <col min="7" max="7" width="3.44140625" style="25" customWidth="1"/>
    <col min="8" max="8" width="15" style="25" bestFit="1" customWidth="1"/>
    <col min="9" max="9" width="2.77734375" style="25" customWidth="1"/>
    <col min="10" max="10" width="52.44140625" style="25" bestFit="1" customWidth="1"/>
    <col min="11" max="11" width="29.109375" style="25" customWidth="1"/>
    <col min="12" max="16384" width="16.77734375" style="25"/>
  </cols>
  <sheetData>
    <row r="1" spans="1:13" ht="15.6">
      <c r="A1" s="13" t="s">
        <v>973</v>
      </c>
      <c r="B1" s="13"/>
      <c r="C1" s="13"/>
      <c r="D1" s="19"/>
      <c r="E1" s="19"/>
      <c r="F1" s="210"/>
      <c r="G1" s="19"/>
      <c r="H1" s="19"/>
      <c r="I1" s="19"/>
      <c r="J1" s="122"/>
      <c r="L1" s="62"/>
    </row>
    <row r="2" spans="1:13" ht="15.6">
      <c r="A2" s="13"/>
      <c r="B2" s="13"/>
      <c r="C2" s="13"/>
      <c r="D2" s="19"/>
      <c r="E2" s="19"/>
      <c r="F2" s="210"/>
      <c r="G2" s="19"/>
      <c r="H2" s="19"/>
      <c r="I2" s="19"/>
      <c r="J2" s="19"/>
      <c r="K2" s="62"/>
      <c r="L2" s="62"/>
      <c r="M2" s="21"/>
    </row>
    <row r="3" spans="1:13" ht="17.399999999999999">
      <c r="A3" s="11"/>
      <c r="B3" s="11"/>
      <c r="C3" s="11"/>
      <c r="D3" s="10"/>
      <c r="E3" s="10"/>
      <c r="F3" s="211"/>
      <c r="G3" s="10"/>
      <c r="H3" s="10"/>
      <c r="I3" s="10"/>
      <c r="J3" s="10"/>
      <c r="K3" s="10"/>
      <c r="L3" s="10"/>
      <c r="M3" s="204"/>
    </row>
    <row r="4" spans="1:13" ht="17.399999999999999">
      <c r="A4" s="1984" t="s">
        <v>200</v>
      </c>
      <c r="B4" s="1984"/>
      <c r="C4" s="1984"/>
      <c r="D4" s="1984"/>
      <c r="E4" s="1984"/>
      <c r="F4" s="1984"/>
      <c r="G4" s="1984"/>
      <c r="H4" s="1984"/>
      <c r="I4" s="1984"/>
      <c r="J4" s="1984"/>
      <c r="K4" s="1984"/>
      <c r="L4" s="66"/>
      <c r="M4" s="66"/>
    </row>
    <row r="5" spans="1:13" ht="17.399999999999999">
      <c r="A5" s="1984" t="s">
        <v>103</v>
      </c>
      <c r="B5" s="1984"/>
      <c r="C5" s="1984"/>
      <c r="D5" s="1984"/>
      <c r="E5" s="1984"/>
      <c r="F5" s="1984"/>
      <c r="G5" s="1984"/>
      <c r="H5" s="1984"/>
      <c r="I5" s="1984"/>
      <c r="J5" s="1984"/>
      <c r="K5" s="1984"/>
      <c r="L5" s="66"/>
      <c r="M5" s="66"/>
    </row>
    <row r="6" spans="1:13" ht="17.399999999999999">
      <c r="A6" s="1985" t="str">
        <f>SUMMARY!A7</f>
        <v>YEAR ENDING DECEMBER 31, 2021</v>
      </c>
      <c r="B6" s="1985"/>
      <c r="C6" s="1985"/>
      <c r="D6" s="1985"/>
      <c r="E6" s="1985"/>
      <c r="F6" s="1985"/>
      <c r="G6" s="1985"/>
      <c r="H6" s="1985"/>
      <c r="I6" s="1985"/>
      <c r="J6" s="1985"/>
      <c r="K6" s="1985"/>
      <c r="L6" s="66"/>
      <c r="M6" s="66"/>
    </row>
    <row r="7" spans="1:13" ht="17.399999999999999">
      <c r="A7" s="10"/>
      <c r="B7" s="10"/>
      <c r="C7" s="10"/>
      <c r="D7" s="10"/>
      <c r="E7" s="10"/>
      <c r="F7" s="22"/>
      <c r="G7" s="10"/>
      <c r="H7" s="10"/>
      <c r="I7" s="10"/>
      <c r="J7" s="10"/>
      <c r="K7" s="10"/>
      <c r="L7" s="10"/>
      <c r="M7" s="10"/>
    </row>
    <row r="8" spans="1:13" ht="17.399999999999999">
      <c r="A8" s="1986" t="s">
        <v>972</v>
      </c>
      <c r="B8" s="1986"/>
      <c r="C8" s="1986"/>
      <c r="D8" s="1986"/>
      <c r="E8" s="1986"/>
      <c r="F8" s="1986"/>
      <c r="G8" s="1986"/>
      <c r="H8" s="1986"/>
      <c r="I8" s="1986"/>
      <c r="J8" s="1986"/>
      <c r="K8" s="1986"/>
      <c r="L8" s="27"/>
      <c r="M8" s="27"/>
    </row>
    <row r="9" spans="1:13" ht="17.399999999999999">
      <c r="A9" s="1984" t="s">
        <v>1075</v>
      </c>
      <c r="B9" s="1984"/>
      <c r="C9" s="1984"/>
      <c r="D9" s="1984"/>
      <c r="E9" s="1984"/>
      <c r="F9" s="1984"/>
      <c r="G9" s="1984"/>
      <c r="H9" s="1984"/>
      <c r="I9" s="1984"/>
      <c r="J9" s="1984"/>
      <c r="K9" s="1984"/>
      <c r="L9" s="66"/>
      <c r="M9" s="66"/>
    </row>
    <row r="10" spans="1:13" ht="17.399999999999999">
      <c r="A10" s="66"/>
      <c r="B10" s="66"/>
      <c r="C10" s="66"/>
      <c r="D10" s="66"/>
      <c r="E10" s="66"/>
      <c r="F10" s="66"/>
      <c r="G10" s="66"/>
      <c r="H10" s="66"/>
      <c r="I10" s="66"/>
      <c r="J10" s="66"/>
      <c r="K10" s="66"/>
      <c r="L10" s="66"/>
      <c r="M10" s="66"/>
    </row>
    <row r="11" spans="1:13" ht="17.399999999999999">
      <c r="A11" s="66"/>
      <c r="B11" s="66"/>
      <c r="C11" s="66"/>
      <c r="D11" s="66"/>
      <c r="E11" s="66"/>
      <c r="F11" s="66"/>
      <c r="G11" s="66"/>
      <c r="H11" s="66"/>
      <c r="I11" s="66"/>
      <c r="J11" s="66"/>
      <c r="K11" s="66"/>
      <c r="L11" s="66"/>
      <c r="M11" s="66"/>
    </row>
    <row r="12" spans="1:13" ht="17.399999999999999">
      <c r="A12" s="66"/>
      <c r="B12" s="632" t="s">
        <v>192</v>
      </c>
      <c r="C12" s="632"/>
      <c r="D12" s="632" t="s">
        <v>193</v>
      </c>
      <c r="E12" s="632"/>
      <c r="F12" s="632" t="s">
        <v>194</v>
      </c>
      <c r="G12" s="632"/>
      <c r="H12" s="632" t="s">
        <v>195</v>
      </c>
      <c r="I12" s="632"/>
      <c r="J12" s="632" t="s">
        <v>196</v>
      </c>
      <c r="K12" s="66"/>
      <c r="L12" s="66"/>
      <c r="M12" s="66"/>
    </row>
    <row r="13" spans="1:13" s="82" customFormat="1" ht="18.75" customHeight="1">
      <c r="B13" s="206"/>
      <c r="C13" s="206"/>
      <c r="D13" s="206"/>
      <c r="E13" s="206"/>
      <c r="F13" s="206"/>
      <c r="G13" s="206"/>
      <c r="H13" s="206"/>
      <c r="I13" s="206"/>
      <c r="J13" s="206"/>
    </row>
    <row r="14" spans="1:13" s="82" customFormat="1" ht="18.75" customHeight="1">
      <c r="B14" s="206" t="s">
        <v>302</v>
      </c>
      <c r="C14" s="206"/>
      <c r="D14" s="206" t="s">
        <v>169</v>
      </c>
      <c r="E14" s="206"/>
      <c r="F14" s="206"/>
      <c r="G14" s="206"/>
      <c r="H14" s="206" t="s">
        <v>284</v>
      </c>
      <c r="I14" s="206"/>
      <c r="J14" s="206"/>
    </row>
    <row r="15" spans="1:13" s="82" customFormat="1" ht="18.75" customHeight="1">
      <c r="B15" s="329" t="s">
        <v>303</v>
      </c>
      <c r="C15" s="330"/>
      <c r="D15" s="329" t="s">
        <v>301</v>
      </c>
      <c r="E15" s="206"/>
      <c r="F15" s="329" t="s">
        <v>2</v>
      </c>
      <c r="G15" s="330"/>
      <c r="H15" s="329" t="s">
        <v>338</v>
      </c>
      <c r="I15" s="330"/>
      <c r="J15" s="329" t="s">
        <v>248</v>
      </c>
    </row>
    <row r="16" spans="1:13" s="82" customFormat="1" ht="18.75" customHeight="1">
      <c r="A16" s="331" t="s">
        <v>471</v>
      </c>
      <c r="B16" s="1327" t="s">
        <v>2059</v>
      </c>
      <c r="C16" s="1327"/>
      <c r="D16" s="1327" t="s">
        <v>2060</v>
      </c>
      <c r="E16" s="1328"/>
      <c r="F16" s="1177" t="s">
        <v>2061</v>
      </c>
      <c r="G16" s="1327"/>
      <c r="H16" s="1174">
        <v>62000000</v>
      </c>
      <c r="I16" s="1175"/>
      <c r="J16" s="1327" t="s">
        <v>2070</v>
      </c>
    </row>
    <row r="17" spans="1:10" s="82" customFormat="1" ht="18.75" customHeight="1">
      <c r="A17" s="331" t="s">
        <v>473</v>
      </c>
      <c r="B17" s="1327" t="s">
        <v>2062</v>
      </c>
      <c r="C17" s="1327"/>
      <c r="D17" s="1327" t="s">
        <v>2063</v>
      </c>
      <c r="E17" s="1528"/>
      <c r="F17" s="1177" t="s">
        <v>2061</v>
      </c>
      <c r="G17" s="1327"/>
      <c r="H17" s="1174">
        <v>37000000</v>
      </c>
      <c r="I17" s="1175"/>
      <c r="J17" s="1327" t="s">
        <v>2071</v>
      </c>
    </row>
    <row r="18" spans="1:10" s="82" customFormat="1" ht="18.75" customHeight="1">
      <c r="A18" s="331" t="s">
        <v>494</v>
      </c>
      <c r="B18" s="1327" t="s">
        <v>2062</v>
      </c>
      <c r="C18" s="1327"/>
      <c r="D18" s="1327" t="s">
        <v>2064</v>
      </c>
      <c r="E18" s="1528"/>
      <c r="F18" s="1177" t="s">
        <v>2061</v>
      </c>
      <c r="G18" s="1327"/>
      <c r="H18" s="1174">
        <v>26000000</v>
      </c>
      <c r="I18" s="1175"/>
      <c r="J18" s="1327" t="s">
        <v>2072</v>
      </c>
    </row>
    <row r="19" spans="1:10" s="82" customFormat="1" ht="18.75" customHeight="1">
      <c r="A19" s="331" t="s">
        <v>495</v>
      </c>
      <c r="B19" s="1327" t="s">
        <v>2065</v>
      </c>
      <c r="C19" s="1327"/>
      <c r="D19" s="1327" t="s">
        <v>2060</v>
      </c>
      <c r="E19" s="1528"/>
      <c r="F19" s="1177" t="s">
        <v>2061</v>
      </c>
      <c r="G19" s="1327"/>
      <c r="H19" s="1174">
        <v>14816000</v>
      </c>
      <c r="I19" s="1175"/>
      <c r="J19" s="1327" t="s">
        <v>2073</v>
      </c>
    </row>
    <row r="20" spans="1:10" s="82" customFormat="1" ht="18.75" customHeight="1">
      <c r="A20" s="331" t="s">
        <v>496</v>
      </c>
      <c r="B20" s="1327" t="s">
        <v>2066</v>
      </c>
      <c r="C20" s="1327"/>
      <c r="D20" s="1327" t="s">
        <v>2067</v>
      </c>
      <c r="E20" s="1528"/>
      <c r="F20" s="1177" t="s">
        <v>2061</v>
      </c>
      <c r="G20" s="1327"/>
      <c r="H20" s="1174">
        <v>30000000</v>
      </c>
      <c r="I20" s="1175"/>
      <c r="J20" s="1327" t="s">
        <v>2074</v>
      </c>
    </row>
    <row r="21" spans="1:10" s="82" customFormat="1" ht="18.75" customHeight="1">
      <c r="A21" s="331" t="s">
        <v>497</v>
      </c>
      <c r="B21" s="1327" t="s">
        <v>2066</v>
      </c>
      <c r="C21" s="1327"/>
      <c r="D21" s="1327" t="s">
        <v>2068</v>
      </c>
      <c r="E21" s="1528"/>
      <c r="F21" s="1177" t="s">
        <v>2061</v>
      </c>
      <c r="G21" s="1327"/>
      <c r="H21" s="1174">
        <v>16000000</v>
      </c>
      <c r="I21" s="1175"/>
      <c r="J21" s="1327" t="s">
        <v>2075</v>
      </c>
    </row>
    <row r="22" spans="1:10" s="82" customFormat="1" ht="18.75" customHeight="1">
      <c r="A22" s="331" t="s">
        <v>498</v>
      </c>
      <c r="B22" s="1327" t="s">
        <v>2066</v>
      </c>
      <c r="C22" s="1327"/>
      <c r="D22" s="1327" t="s">
        <v>2069</v>
      </c>
      <c r="E22" s="1528"/>
      <c r="F22" s="1177" t="s">
        <v>2061</v>
      </c>
      <c r="G22" s="1327"/>
      <c r="H22" s="1174">
        <v>18000000</v>
      </c>
      <c r="I22" s="1175"/>
      <c r="J22" s="1327" t="s">
        <v>2076</v>
      </c>
    </row>
    <row r="23" spans="1:10" s="82" customFormat="1" ht="18.75" customHeight="1">
      <c r="A23" s="331" t="s">
        <v>541</v>
      </c>
      <c r="B23" s="1179"/>
      <c r="C23" s="1327"/>
      <c r="D23" s="1179"/>
      <c r="E23" s="1327"/>
      <c r="F23" s="1179"/>
      <c r="G23" s="1327"/>
      <c r="H23" s="1180"/>
      <c r="I23" s="1329"/>
      <c r="J23" s="1179"/>
    </row>
    <row r="24" spans="1:10" s="82" customFormat="1" ht="18.75" customHeight="1">
      <c r="A24" s="247">
        <v>2</v>
      </c>
      <c r="B24" s="331"/>
      <c r="C24" s="331"/>
      <c r="D24" s="331" t="s">
        <v>295</v>
      </c>
      <c r="E24" s="331"/>
      <c r="F24" s="351" t="s">
        <v>296</v>
      </c>
      <c r="G24" s="331"/>
      <c r="H24" s="332">
        <f>SUM(H16:H23)</f>
        <v>203816000</v>
      </c>
      <c r="I24" s="333"/>
      <c r="J24" s="331" t="s">
        <v>297</v>
      </c>
    </row>
    <row r="25" spans="1:10" s="82" customFormat="1" ht="15.6">
      <c r="A25" s="247"/>
      <c r="H25" s="167"/>
    </row>
    <row r="26" spans="1:10" s="82" customFormat="1" ht="15.6">
      <c r="A26" s="247"/>
      <c r="H26" s="167"/>
    </row>
    <row r="27" spans="1:10" s="82" customFormat="1" ht="15.6">
      <c r="A27" s="247">
        <v>3</v>
      </c>
      <c r="B27" s="82" t="s">
        <v>299</v>
      </c>
      <c r="H27" s="313">
        <f>H24-H28</f>
        <v>173816000</v>
      </c>
      <c r="I27" s="350"/>
    </row>
    <row r="28" spans="1:10" s="82" customFormat="1" ht="15.6">
      <c r="A28" s="247">
        <v>4</v>
      </c>
      <c r="B28" s="82" t="s">
        <v>298</v>
      </c>
      <c r="H28" s="313">
        <f>H20</f>
        <v>30000000</v>
      </c>
      <c r="I28" s="350"/>
    </row>
    <row r="29" spans="1:10" s="82" customFormat="1" ht="15.6">
      <c r="A29" s="247">
        <v>5</v>
      </c>
      <c r="B29" s="82" t="s">
        <v>300</v>
      </c>
      <c r="H29" s="313">
        <v>0</v>
      </c>
      <c r="I29" s="350"/>
    </row>
    <row r="30" spans="1:10" s="82" customFormat="1" ht="15">
      <c r="A30" s="247"/>
    </row>
    <row r="31" spans="1:10" s="82" customFormat="1" ht="15"/>
  </sheetData>
  <sheetProtection algorithmName="SHA-512" hashValue="eV7wwZ4VEkdzKg36eNoJUQS604gBNyRVqwfyUHbwU83j6pbHVLXmkrQQLhh+ppDdkx6omAue4BeQt8AWVZmCSA==" saltValue="d3JQS+qCIYCOuEKSzf4Wfg==" spinCount="100000" sheet="1" objects="1" scenarios="1"/>
  <customSheetViews>
    <customSheetView guid="{B321D76C-CDE5-48BB-9CDE-80FF97D58FCF}" scale="70" showPageBreaks="1" fitToPage="1" printArea="1" view="pageBreakPreview">
      <selection activeCell="D33" sqref="D33"/>
      <colBreaks count="1" manualBreakCount="1">
        <brk id="11" max="29" man="1"/>
      </colBreaks>
      <pageMargins left="0.7" right="0.7" top="0.75" bottom="0.75" header="0.3" footer="0.3"/>
      <printOptions horizontalCentered="1"/>
      <pageSetup scale="82" orientation="landscape" r:id="rId1"/>
    </customSheetView>
  </customSheetViews>
  <mergeCells count="5">
    <mergeCell ref="A4:K4"/>
    <mergeCell ref="A5:K5"/>
    <mergeCell ref="A6:K6"/>
    <mergeCell ref="A8:K8"/>
    <mergeCell ref="A9:K9"/>
  </mergeCells>
  <printOptions horizontalCentered="1"/>
  <pageMargins left="0.7" right="0.7" top="0.75" bottom="0.75" header="0.3" footer="0.3"/>
  <pageSetup scale="82" orientation="landscape" r:id="rId2"/>
  <colBreaks count="1" manualBreakCount="1">
    <brk id="11" max="29" man="1"/>
  </colBreak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8">
    <tabColor rgb="FF0070C0"/>
  </sheetPr>
  <dimension ref="A1:P27"/>
  <sheetViews>
    <sheetView view="pageBreakPreview" zoomScale="80" zoomScaleNormal="100" zoomScaleSheetLayoutView="80" workbookViewId="0">
      <selection activeCell="K33" sqref="K33"/>
    </sheetView>
  </sheetViews>
  <sheetFormatPr defaultColWidth="9" defaultRowHeight="13.2"/>
  <cols>
    <col min="1" max="1" width="3" style="25" customWidth="1"/>
    <col min="2" max="2" width="4.21875" style="25" customWidth="1"/>
    <col min="3" max="3" width="26.44140625" style="25" bestFit="1" customWidth="1"/>
    <col min="4" max="4" width="16" style="25" customWidth="1"/>
    <col min="5" max="5" width="1.77734375" style="25" customWidth="1"/>
    <col min="6" max="6" width="14" style="25" customWidth="1"/>
    <col min="7" max="9" width="9" style="25"/>
    <col min="10" max="10" width="10.44140625" style="25" bestFit="1" customWidth="1"/>
    <col min="11" max="11" width="29.109375" style="25" customWidth="1"/>
    <col min="12" max="16384" width="9" style="25"/>
  </cols>
  <sheetData>
    <row r="1" spans="1:16" s="301" customFormat="1" ht="15.6">
      <c r="A1" s="13" t="s">
        <v>974</v>
      </c>
      <c r="B1" s="91"/>
      <c r="C1" s="91"/>
      <c r="D1" s="308"/>
      <c r="E1" s="308"/>
      <c r="F1" s="91"/>
      <c r="G1" s="91"/>
      <c r="H1" s="91"/>
      <c r="I1" s="91"/>
      <c r="J1" s="91"/>
      <c r="K1" s="91"/>
      <c r="L1" s="128"/>
      <c r="P1" s="129"/>
    </row>
    <row r="2" spans="1:16" s="299" customFormat="1"/>
    <row r="3" spans="1:16" s="299" customFormat="1" ht="17.399999999999999">
      <c r="A3" s="94"/>
      <c r="B3" s="95"/>
      <c r="C3" s="95"/>
      <c r="D3" s="320"/>
      <c r="E3" s="320"/>
      <c r="F3" s="95"/>
      <c r="G3" s="95"/>
      <c r="H3" s="95"/>
      <c r="I3" s="95"/>
      <c r="J3" s="95"/>
      <c r="K3" s="95"/>
      <c r="L3" s="95"/>
      <c r="M3" s="95"/>
      <c r="N3" s="95"/>
      <c r="O3" s="95"/>
      <c r="P3" s="207"/>
    </row>
    <row r="4" spans="1:16" s="299" customFormat="1" ht="17.399999999999999">
      <c r="A4" s="2033" t="s">
        <v>200</v>
      </c>
      <c r="B4" s="2033"/>
      <c r="C4" s="2033"/>
      <c r="D4" s="2033"/>
      <c r="E4" s="2033"/>
      <c r="F4" s="2033"/>
      <c r="G4" s="131"/>
      <c r="H4" s="131"/>
      <c r="I4" s="131"/>
      <c r="J4" s="131"/>
      <c r="K4" s="131"/>
      <c r="L4" s="131"/>
      <c r="M4" s="131"/>
      <c r="N4" s="131"/>
      <c r="O4" s="131"/>
      <c r="P4" s="131"/>
    </row>
    <row r="5" spans="1:16" s="299" customFormat="1" ht="17.399999999999999">
      <c r="A5" s="2033" t="s">
        <v>103</v>
      </c>
      <c r="B5" s="2033"/>
      <c r="C5" s="2033"/>
      <c r="D5" s="2033"/>
      <c r="E5" s="2033"/>
      <c r="F5" s="2033"/>
      <c r="G5" s="131"/>
      <c r="H5" s="131"/>
      <c r="I5" s="131"/>
      <c r="J5" s="131"/>
      <c r="K5" s="131"/>
      <c r="L5" s="131"/>
      <c r="M5" s="131"/>
      <c r="N5" s="131"/>
      <c r="O5" s="131"/>
      <c r="P5" s="131"/>
    </row>
    <row r="6" spans="1:16" s="299" customFormat="1" ht="17.399999999999999">
      <c r="A6" s="2034" t="str">
        <f>SUMMARY!A7</f>
        <v>YEAR ENDING DECEMBER 31, 2021</v>
      </c>
      <c r="B6" s="2034"/>
      <c r="C6" s="2034"/>
      <c r="D6" s="2034"/>
      <c r="E6" s="2034"/>
      <c r="F6" s="2034"/>
      <c r="G6" s="131"/>
      <c r="H6" s="131"/>
      <c r="I6" s="131"/>
      <c r="J6" s="131"/>
      <c r="K6" s="131"/>
      <c r="L6" s="131"/>
      <c r="M6" s="131"/>
      <c r="N6" s="131"/>
      <c r="O6" s="131"/>
      <c r="P6" s="131"/>
    </row>
    <row r="7" spans="1:16" s="299" customFormat="1" ht="12" customHeight="1">
      <c r="A7" s="95"/>
      <c r="B7" s="95"/>
      <c r="C7" s="95"/>
      <c r="D7" s="98"/>
      <c r="E7" s="98"/>
      <c r="F7" s="95"/>
      <c r="G7" s="95"/>
      <c r="H7" s="95"/>
      <c r="I7" s="95"/>
      <c r="J7" s="95"/>
      <c r="K7" s="95"/>
      <c r="L7" s="95"/>
      <c r="M7" s="95"/>
      <c r="N7" s="95"/>
      <c r="O7" s="95"/>
      <c r="P7" s="95"/>
    </row>
    <row r="8" spans="1:16" s="299" customFormat="1" ht="17.399999999999999">
      <c r="A8" s="2035" t="s">
        <v>975</v>
      </c>
      <c r="B8" s="2035"/>
      <c r="C8" s="2035"/>
      <c r="D8" s="2035"/>
      <c r="E8" s="2035"/>
      <c r="F8" s="2035"/>
      <c r="G8" s="132"/>
      <c r="H8" s="132"/>
      <c r="I8" s="132"/>
      <c r="J8" s="132"/>
      <c r="K8" s="132"/>
      <c r="L8" s="132"/>
      <c r="M8" s="132"/>
      <c r="N8" s="132"/>
      <c r="O8" s="132"/>
      <c r="P8" s="132"/>
    </row>
    <row r="9" spans="1:16" s="299" customFormat="1" ht="17.399999999999999">
      <c r="A9" s="2033" t="s">
        <v>704</v>
      </c>
      <c r="B9" s="2033"/>
      <c r="C9" s="2033"/>
      <c r="D9" s="2033"/>
      <c r="E9" s="2033"/>
      <c r="F9" s="2033"/>
      <c r="G9" s="131"/>
      <c r="H9" s="131"/>
      <c r="I9" s="131"/>
      <c r="J9" s="131"/>
      <c r="K9" s="131"/>
      <c r="L9" s="131"/>
      <c r="M9" s="131"/>
      <c r="N9" s="131"/>
      <c r="O9" s="131"/>
      <c r="P9" s="131"/>
    </row>
    <row r="12" spans="1:16" ht="13.8">
      <c r="C12" s="323" t="s">
        <v>453</v>
      </c>
    </row>
    <row r="13" spans="1:16" ht="13.8">
      <c r="C13" s="323"/>
    </row>
    <row r="14" spans="1:16" ht="15">
      <c r="C14" s="633" t="s">
        <v>192</v>
      </c>
      <c r="D14" s="633" t="s">
        <v>193</v>
      </c>
      <c r="E14" s="633"/>
      <c r="F14" s="633" t="s">
        <v>194</v>
      </c>
      <c r="G14" s="632"/>
    </row>
    <row r="15" spans="1:16">
      <c r="D15" s="1337">
        <v>2021</v>
      </c>
      <c r="E15" s="1294"/>
      <c r="F15" s="1337">
        <v>2020</v>
      </c>
    </row>
    <row r="16" spans="1:16">
      <c r="D16" s="324" t="s">
        <v>338</v>
      </c>
      <c r="F16" s="324" t="s">
        <v>338</v>
      </c>
    </row>
    <row r="17" spans="1:6" ht="13.8">
      <c r="C17" s="325"/>
    </row>
    <row r="18" spans="1:6" ht="13.8">
      <c r="A18" s="25">
        <v>1</v>
      </c>
      <c r="C18" s="325" t="s">
        <v>434</v>
      </c>
      <c r="D18" s="1338">
        <v>195954154.99999997</v>
      </c>
      <c r="F18" s="1338">
        <v>190048415</v>
      </c>
    </row>
    <row r="19" spans="1:6" ht="13.8">
      <c r="A19" s="25">
        <v>2</v>
      </c>
      <c r="C19" s="325" t="s">
        <v>435</v>
      </c>
      <c r="D19" s="1338">
        <v>143886520</v>
      </c>
      <c r="F19" s="1338">
        <v>135513688.06</v>
      </c>
    </row>
    <row r="20" spans="1:6" ht="13.8">
      <c r="A20" s="25">
        <v>3</v>
      </c>
      <c r="C20" s="325" t="s">
        <v>436</v>
      </c>
      <c r="D20" s="1339">
        <v>3691987</v>
      </c>
      <c r="F20" s="1339">
        <v>3800611</v>
      </c>
    </row>
    <row r="21" spans="1:6" ht="13.8">
      <c r="A21" s="25">
        <v>4</v>
      </c>
      <c r="C21" s="323" t="s">
        <v>4</v>
      </c>
      <c r="D21" s="326">
        <f>SUM(D18:D20)</f>
        <v>343532662</v>
      </c>
      <c r="F21" s="326">
        <f>SUM(F17:F20)</f>
        <v>329362714.06</v>
      </c>
    </row>
    <row r="22" spans="1:6" ht="13.8">
      <c r="C22" s="323"/>
      <c r="D22" s="326"/>
      <c r="F22" s="326"/>
    </row>
    <row r="23" spans="1:6" ht="13.8">
      <c r="A23" s="531"/>
      <c r="B23" s="531"/>
      <c r="C23" s="531"/>
      <c r="D23" s="661"/>
      <c r="E23" s="531"/>
      <c r="F23" s="531"/>
    </row>
    <row r="24" spans="1:6" ht="13.2" customHeight="1">
      <c r="A24" s="2061" t="s">
        <v>1703</v>
      </c>
      <c r="B24" s="2062"/>
      <c r="C24" s="2062"/>
      <c r="D24" s="2062"/>
      <c r="E24" s="2062"/>
      <c r="F24" s="2062"/>
    </row>
    <row r="25" spans="1:6">
      <c r="A25" s="2063"/>
      <c r="B25" s="2063"/>
      <c r="C25" s="2063"/>
      <c r="D25" s="2063"/>
      <c r="E25" s="2063"/>
      <c r="F25" s="2063"/>
    </row>
    <row r="26" spans="1:6">
      <c r="A26" s="2063"/>
      <c r="B26" s="2063"/>
      <c r="C26" s="2063"/>
      <c r="D26" s="2063"/>
      <c r="E26" s="2063"/>
      <c r="F26" s="2063"/>
    </row>
    <row r="27" spans="1:6">
      <c r="A27" s="2063"/>
      <c r="B27" s="2063"/>
      <c r="C27" s="2063"/>
      <c r="D27" s="2063"/>
      <c r="E27" s="2063"/>
      <c r="F27" s="2063"/>
    </row>
  </sheetData>
  <customSheetViews>
    <customSheetView guid="{B321D76C-CDE5-48BB-9CDE-80FF97D58FCF}" showPageBreaks="1" printArea="1" view="pageBreakPreview" topLeftCell="A10">
      <selection activeCell="D33" sqref="D33"/>
      <pageMargins left="0.7" right="0.7" top="0.75" bottom="0.75" header="0.3" footer="0.3"/>
      <printOptions horizontalCentered="1"/>
      <pageSetup orientation="portrait" r:id="rId1"/>
    </customSheetView>
  </customSheetViews>
  <mergeCells count="6">
    <mergeCell ref="A24:F27"/>
    <mergeCell ref="A8:F8"/>
    <mergeCell ref="A9:F9"/>
    <mergeCell ref="A4:F4"/>
    <mergeCell ref="A5:F5"/>
    <mergeCell ref="A6:F6"/>
  </mergeCells>
  <printOptions horizontalCentered="1"/>
  <pageMargins left="0.7" right="0.7" top="0.75" bottom="0.75" header="0.3" footer="0.3"/>
  <pageSetup orientation="portrait"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tabColor rgb="FFFFC000"/>
    <pageSetUpPr fitToPage="1"/>
  </sheetPr>
  <dimension ref="A1:N54"/>
  <sheetViews>
    <sheetView view="pageBreakPreview" zoomScale="80" zoomScaleNormal="70" zoomScaleSheetLayoutView="80" workbookViewId="0">
      <selection activeCell="H18" sqref="H18"/>
    </sheetView>
  </sheetViews>
  <sheetFormatPr defaultColWidth="9" defaultRowHeight="12"/>
  <cols>
    <col min="1" max="1" width="2.33203125" style="12" customWidth="1"/>
    <col min="2" max="2" width="1.33203125" style="12" customWidth="1"/>
    <col min="3" max="3" width="2.77734375" style="12" customWidth="1"/>
    <col min="4" max="4" width="6.33203125" style="12" customWidth="1"/>
    <col min="5" max="5" width="7.44140625" style="12" customWidth="1"/>
    <col min="6" max="6" width="22.109375" style="12" customWidth="1"/>
    <col min="7" max="7" width="4" style="12" customWidth="1"/>
    <col min="8" max="8" width="14.109375" style="12" customWidth="1"/>
    <col min="9" max="9" width="14" style="12" customWidth="1"/>
    <col min="10" max="10" width="12.44140625" style="12" bestFit="1" customWidth="1"/>
    <col min="11" max="11" width="29.109375" style="12" customWidth="1"/>
    <col min="12" max="12" width="14.21875" style="12" bestFit="1" customWidth="1"/>
    <col min="13" max="13" width="1.21875" style="12" customWidth="1"/>
    <col min="14" max="14" width="12.44140625" style="12" bestFit="1" customWidth="1"/>
    <col min="15" max="16384" width="9" style="12"/>
  </cols>
  <sheetData>
    <row r="1" spans="1:14" s="16" customFormat="1" ht="15.6">
      <c r="A1" s="13" t="s">
        <v>976</v>
      </c>
      <c r="B1" s="19"/>
      <c r="C1" s="19"/>
      <c r="D1" s="19"/>
      <c r="E1" s="19"/>
      <c r="F1" s="19"/>
      <c r="G1" s="19"/>
      <c r="H1" s="19"/>
      <c r="I1" s="19"/>
      <c r="J1" s="19"/>
      <c r="K1" s="19"/>
      <c r="L1" s="19"/>
      <c r="M1" s="19"/>
      <c r="N1" s="19"/>
    </row>
    <row r="3" spans="1:14" ht="17.399999999999999">
      <c r="A3" s="11"/>
      <c r="B3" s="10"/>
      <c r="C3" s="10"/>
      <c r="D3" s="10"/>
      <c r="E3" s="10"/>
      <c r="F3" s="10"/>
      <c r="G3" s="10"/>
      <c r="H3" s="10"/>
      <c r="I3" s="10"/>
      <c r="J3" s="10"/>
      <c r="K3" s="10"/>
      <c r="L3" s="10"/>
      <c r="M3" s="10"/>
      <c r="N3" s="10"/>
    </row>
    <row r="4" spans="1:14" ht="17.399999999999999">
      <c r="A4" s="1984" t="s">
        <v>200</v>
      </c>
      <c r="B4" s="1984"/>
      <c r="C4" s="1984"/>
      <c r="D4" s="1984"/>
      <c r="E4" s="1984"/>
      <c r="F4" s="1984"/>
      <c r="G4" s="1984"/>
      <c r="H4" s="1984"/>
      <c r="I4" s="1984"/>
      <c r="J4" s="1984"/>
      <c r="K4" s="1984"/>
      <c r="L4" s="1984"/>
      <c r="M4" s="1984"/>
      <c r="N4" s="1984"/>
    </row>
    <row r="5" spans="1:14" ht="17.399999999999999">
      <c r="A5" s="1984" t="s">
        <v>103</v>
      </c>
      <c r="B5" s="1984"/>
      <c r="C5" s="1984"/>
      <c r="D5" s="1984"/>
      <c r="E5" s="1984"/>
      <c r="F5" s="1984"/>
      <c r="G5" s="1984"/>
      <c r="H5" s="1984"/>
      <c r="I5" s="1984"/>
      <c r="J5" s="1984"/>
      <c r="K5" s="1984"/>
      <c r="L5" s="1984"/>
      <c r="M5" s="1984"/>
      <c r="N5" s="1984"/>
    </row>
    <row r="6" spans="1:14" ht="17.399999999999999">
      <c r="A6" s="1985" t="str">
        <f>SUMMARY!A7</f>
        <v>YEAR ENDING DECEMBER 31, 2021</v>
      </c>
      <c r="B6" s="1985"/>
      <c r="C6" s="1985"/>
      <c r="D6" s="1985"/>
      <c r="E6" s="1985"/>
      <c r="F6" s="1985"/>
      <c r="G6" s="1985"/>
      <c r="H6" s="1985"/>
      <c r="I6" s="1985"/>
      <c r="J6" s="1985"/>
      <c r="K6" s="1985"/>
      <c r="L6" s="1985"/>
      <c r="M6" s="1985"/>
      <c r="N6" s="1985"/>
    </row>
    <row r="7" spans="1:14" ht="12" customHeight="1">
      <c r="A7" s="10"/>
      <c r="B7" s="10"/>
      <c r="C7" s="10"/>
      <c r="D7" s="10"/>
      <c r="E7" s="10"/>
      <c r="F7" s="10"/>
      <c r="G7" s="10"/>
      <c r="H7" s="10"/>
      <c r="I7" s="10"/>
      <c r="J7" s="10"/>
      <c r="K7" s="10"/>
      <c r="L7" s="10"/>
      <c r="M7" s="10"/>
      <c r="N7" s="10"/>
    </row>
    <row r="8" spans="1:14" ht="17.399999999999999">
      <c r="A8" s="1986" t="s">
        <v>977</v>
      </c>
      <c r="B8" s="1986"/>
      <c r="C8" s="1986"/>
      <c r="D8" s="1986"/>
      <c r="E8" s="1986"/>
      <c r="F8" s="1986"/>
      <c r="G8" s="1986"/>
      <c r="H8" s="1986"/>
      <c r="I8" s="1986"/>
      <c r="J8" s="1986"/>
      <c r="K8" s="1986"/>
      <c r="L8" s="1986"/>
      <c r="M8" s="1986"/>
      <c r="N8" s="1986"/>
    </row>
    <row r="9" spans="1:14" ht="17.399999999999999">
      <c r="A9" s="1984" t="s">
        <v>290</v>
      </c>
      <c r="B9" s="1984"/>
      <c r="C9" s="1984"/>
      <c r="D9" s="1984"/>
      <c r="E9" s="1984"/>
      <c r="F9" s="1984"/>
      <c r="G9" s="1984"/>
      <c r="H9" s="1984"/>
      <c r="I9" s="1984"/>
      <c r="J9" s="1984"/>
      <c r="K9" s="1984"/>
      <c r="L9" s="1984"/>
      <c r="M9" s="1984"/>
      <c r="N9" s="1984"/>
    </row>
    <row r="11" spans="1:14" s="25" customFormat="1" ht="13.2">
      <c r="D11" s="633" t="s">
        <v>192</v>
      </c>
      <c r="E11" s="509"/>
      <c r="F11" s="633" t="s">
        <v>193</v>
      </c>
      <c r="G11" s="509"/>
      <c r="H11" s="633" t="s">
        <v>194</v>
      </c>
      <c r="I11" s="515" t="s">
        <v>195</v>
      </c>
      <c r="J11" s="515" t="s">
        <v>196</v>
      </c>
      <c r="K11" s="509"/>
      <c r="L11" s="515" t="s">
        <v>371</v>
      </c>
      <c r="M11" s="509"/>
      <c r="N11" s="515" t="s">
        <v>372</v>
      </c>
    </row>
    <row r="12" spans="1:14" s="25" customFormat="1" ht="13.8">
      <c r="H12" s="248" t="s">
        <v>381</v>
      </c>
      <c r="I12" s="248" t="s">
        <v>381</v>
      </c>
      <c r="J12" s="248" t="s">
        <v>441</v>
      </c>
      <c r="K12" s="248"/>
      <c r="L12" s="248"/>
      <c r="M12" s="248"/>
      <c r="N12" s="248"/>
    </row>
    <row r="13" spans="1:14" s="25" customFormat="1" ht="15.6">
      <c r="D13" s="249" t="s">
        <v>251</v>
      </c>
      <c r="E13" s="250"/>
      <c r="F13" s="250"/>
      <c r="G13" s="250"/>
      <c r="H13" s="248" t="s">
        <v>789</v>
      </c>
      <c r="I13" s="248" t="s">
        <v>789</v>
      </c>
      <c r="J13" s="248" t="s">
        <v>382</v>
      </c>
      <c r="K13" s="248"/>
      <c r="L13" s="248" t="s">
        <v>34</v>
      </c>
      <c r="M13" s="248"/>
      <c r="N13" s="248" t="s">
        <v>336</v>
      </c>
    </row>
    <row r="14" spans="1:14" s="25" customFormat="1" ht="15.6">
      <c r="D14" s="251" t="s">
        <v>228</v>
      </c>
      <c r="E14" s="252"/>
      <c r="F14" s="253" t="s">
        <v>248</v>
      </c>
      <c r="G14" s="252"/>
      <c r="H14" s="1343">
        <v>44561</v>
      </c>
      <c r="I14" s="1343">
        <v>44196</v>
      </c>
      <c r="J14" s="1343" t="s">
        <v>2052</v>
      </c>
      <c r="K14" s="254"/>
      <c r="L14" s="255" t="s">
        <v>440</v>
      </c>
      <c r="M14" s="254"/>
      <c r="N14" s="255" t="s">
        <v>790</v>
      </c>
    </row>
    <row r="15" spans="1:14" s="25" customFormat="1" ht="13.8">
      <c r="C15" s="256" t="s">
        <v>471</v>
      </c>
      <c r="D15" s="1340">
        <v>1100</v>
      </c>
      <c r="E15" s="1340"/>
      <c r="F15" s="1340" t="s">
        <v>383</v>
      </c>
      <c r="G15" s="256"/>
      <c r="H15" s="1344">
        <v>18889212.010000002</v>
      </c>
      <c r="I15" s="1344">
        <v>18330862.199999999</v>
      </c>
      <c r="J15" s="257"/>
      <c r="K15" s="257"/>
      <c r="L15" s="258"/>
      <c r="N15" s="259"/>
    </row>
    <row r="16" spans="1:14" s="25" customFormat="1" ht="13.8">
      <c r="C16" s="256" t="s">
        <v>473</v>
      </c>
      <c r="D16" s="1340">
        <v>1200</v>
      </c>
      <c r="E16" s="1340"/>
      <c r="F16" s="1340" t="s">
        <v>384</v>
      </c>
      <c r="G16" s="256"/>
      <c r="H16" s="1344">
        <v>16689852.76</v>
      </c>
      <c r="I16" s="1344">
        <v>16973418.289999999</v>
      </c>
      <c r="J16" s="257"/>
      <c r="K16" s="257"/>
      <c r="L16" s="258"/>
      <c r="N16" s="259"/>
    </row>
    <row r="17" spans="3:14" s="25" customFormat="1" ht="13.8">
      <c r="C17" s="256" t="s">
        <v>494</v>
      </c>
      <c r="D17" s="1340">
        <v>3100</v>
      </c>
      <c r="E17" s="1340"/>
      <c r="F17" s="1340" t="s">
        <v>385</v>
      </c>
      <c r="G17" s="256"/>
      <c r="H17" s="1344">
        <v>13312313.529999999</v>
      </c>
      <c r="I17" s="1344">
        <v>12932537.630000001</v>
      </c>
      <c r="J17" s="257"/>
      <c r="K17" s="257"/>
      <c r="L17" s="258"/>
      <c r="N17" s="259"/>
    </row>
    <row r="18" spans="3:14" s="25" customFormat="1" ht="13.8">
      <c r="C18" s="256" t="s">
        <v>495</v>
      </c>
      <c r="D18" s="1340">
        <v>3200</v>
      </c>
      <c r="E18" s="1340"/>
      <c r="F18" s="1340" t="s">
        <v>220</v>
      </c>
      <c r="G18" s="256"/>
      <c r="H18" s="1344">
        <v>9883651.0700000003</v>
      </c>
      <c r="I18" s="1344">
        <v>8715615.7899999991</v>
      </c>
      <c r="J18" s="257"/>
      <c r="K18" s="257"/>
      <c r="L18" s="258"/>
      <c r="N18" s="259"/>
    </row>
    <row r="19" spans="3:14" s="25" customFormat="1" ht="13.8">
      <c r="C19" s="256" t="s">
        <v>496</v>
      </c>
      <c r="D19" s="1340">
        <v>1300</v>
      </c>
      <c r="E19" s="1340"/>
      <c r="F19" s="1340" t="s">
        <v>386</v>
      </c>
      <c r="G19" s="256"/>
      <c r="H19" s="1344">
        <v>12203807.5</v>
      </c>
      <c r="I19" s="1344">
        <v>11733112.720000001</v>
      </c>
      <c r="J19" s="257"/>
      <c r="K19" s="257"/>
      <c r="L19" s="258"/>
      <c r="N19" s="259"/>
    </row>
    <row r="20" spans="3:14" s="25" customFormat="1" ht="13.8">
      <c r="C20" s="256" t="s">
        <v>497</v>
      </c>
      <c r="D20" s="1340">
        <v>3300</v>
      </c>
      <c r="E20" s="1340"/>
      <c r="F20" s="1340" t="s">
        <v>387</v>
      </c>
      <c r="G20" s="256"/>
      <c r="H20" s="1344">
        <v>30286908.93</v>
      </c>
      <c r="I20" s="1344">
        <v>29189557.579999998</v>
      </c>
      <c r="J20" s="257"/>
      <c r="K20" s="257"/>
      <c r="L20" s="258"/>
      <c r="N20" s="259"/>
    </row>
    <row r="21" spans="3:14" s="25" customFormat="1" ht="13.8">
      <c r="C21" s="256" t="s">
        <v>498</v>
      </c>
      <c r="D21" s="1340">
        <v>2100</v>
      </c>
      <c r="E21" s="1340"/>
      <c r="F21" s="1340" t="s">
        <v>388</v>
      </c>
      <c r="G21" s="256"/>
      <c r="H21" s="1344">
        <v>6050064.4100000001</v>
      </c>
      <c r="I21" s="1344">
        <v>6869873.7199999997</v>
      </c>
      <c r="J21" s="257"/>
      <c r="K21" s="257"/>
      <c r="L21" s="258"/>
      <c r="N21" s="259"/>
    </row>
    <row r="22" spans="3:14" s="25" customFormat="1" ht="15.6">
      <c r="C22" s="256" t="s">
        <v>541</v>
      </c>
      <c r="D22" s="1341" t="s">
        <v>1165</v>
      </c>
      <c r="E22" s="1340"/>
      <c r="F22" s="1342" t="s">
        <v>1165</v>
      </c>
      <c r="G22" s="256"/>
      <c r="H22" s="1345"/>
      <c r="I22" s="1345"/>
      <c r="J22" s="257"/>
      <c r="K22" s="257"/>
      <c r="L22" s="258"/>
      <c r="N22" s="259"/>
    </row>
    <row r="23" spans="3:14" s="25" customFormat="1" ht="13.8">
      <c r="C23" s="25">
        <v>2</v>
      </c>
      <c r="D23" s="256"/>
      <c r="E23" s="256"/>
      <c r="F23" s="256" t="s">
        <v>1129</v>
      </c>
      <c r="G23" s="256"/>
      <c r="H23" s="257">
        <f>SUM(H15:H22)</f>
        <v>107315810.21000001</v>
      </c>
      <c r="I23" s="257">
        <f>SUM(I15:I22)</f>
        <v>104744977.92999999</v>
      </c>
      <c r="J23" s="257"/>
      <c r="K23" s="257"/>
      <c r="L23" s="258"/>
      <c r="N23" s="259"/>
    </row>
    <row r="24" spans="3:14" s="25" customFormat="1" ht="13.8">
      <c r="D24" s="256"/>
      <c r="E24" s="256"/>
      <c r="F24" s="256"/>
      <c r="G24" s="256"/>
      <c r="H24" s="257"/>
      <c r="I24" s="257"/>
      <c r="J24" s="257"/>
      <c r="K24" s="257"/>
      <c r="L24" s="258"/>
      <c r="N24" s="259"/>
    </row>
    <row r="25" spans="3:14" s="25" customFormat="1" ht="13.8">
      <c r="C25" s="256" t="s">
        <v>1276</v>
      </c>
      <c r="D25" s="1340" t="s">
        <v>1128</v>
      </c>
      <c r="E25" s="1340"/>
      <c r="F25" s="1340"/>
      <c r="G25" s="256"/>
      <c r="H25" s="1344">
        <v>-682635</v>
      </c>
      <c r="I25" s="1344">
        <v>-682635</v>
      </c>
      <c r="J25" s="257"/>
      <c r="K25" s="257"/>
      <c r="L25" s="258"/>
      <c r="N25" s="259"/>
    </row>
    <row r="26" spans="3:14" s="25" customFormat="1" ht="15">
      <c r="C26" s="256" t="s">
        <v>1277</v>
      </c>
      <c r="D26" s="1340" t="s">
        <v>1127</v>
      </c>
      <c r="E26" s="1340"/>
      <c r="F26" s="1340"/>
      <c r="G26" s="256"/>
      <c r="H26" s="1344">
        <v>-22635550.07</v>
      </c>
      <c r="I26" s="1344">
        <v>-14971121</v>
      </c>
      <c r="J26" s="586"/>
      <c r="K26" s="586"/>
      <c r="L26" s="587"/>
      <c r="M26" s="586"/>
      <c r="N26" s="586"/>
    </row>
    <row r="27" spans="3:14" s="25" customFormat="1" ht="16.8">
      <c r="C27" s="256" t="s">
        <v>541</v>
      </c>
      <c r="D27" s="1341" t="s">
        <v>1165</v>
      </c>
      <c r="E27" s="1340"/>
      <c r="F27" s="1342" t="s">
        <v>1165</v>
      </c>
      <c r="G27" s="256"/>
      <c r="H27" s="1345"/>
      <c r="I27" s="1345"/>
      <c r="J27" s="586"/>
      <c r="K27" s="586"/>
      <c r="L27" s="587"/>
      <c r="M27" s="586"/>
      <c r="N27" s="586"/>
    </row>
    <row r="28" spans="3:14" s="25" customFormat="1" ht="15">
      <c r="C28" s="25">
        <v>4</v>
      </c>
      <c r="D28" s="256"/>
      <c r="E28" s="256"/>
      <c r="F28" s="256" t="s">
        <v>1130</v>
      </c>
      <c r="G28" s="256"/>
      <c r="H28" s="591">
        <f>SUM(H25:H27)</f>
        <v>-23318185.07</v>
      </c>
      <c r="I28" s="591">
        <f>SUM(I25:I27)</f>
        <v>-15653756</v>
      </c>
      <c r="J28" s="586"/>
      <c r="K28" s="586"/>
      <c r="L28" s="587"/>
      <c r="M28" s="586"/>
      <c r="N28" s="586"/>
    </row>
    <row r="29" spans="3:14" s="25" customFormat="1" ht="15">
      <c r="D29" s="256"/>
      <c r="E29" s="256"/>
      <c r="F29" s="256"/>
      <c r="G29" s="256"/>
      <c r="H29" s="591"/>
      <c r="I29" s="591"/>
      <c r="J29" s="586"/>
      <c r="K29" s="586"/>
      <c r="L29" s="587"/>
      <c r="M29" s="586"/>
      <c r="N29" s="586"/>
    </row>
    <row r="30" spans="3:14" s="25" customFormat="1" ht="14.4" thickBot="1">
      <c r="C30" s="25">
        <v>5</v>
      </c>
      <c r="D30" s="260"/>
      <c r="E30" s="260"/>
      <c r="F30" s="260" t="s">
        <v>4</v>
      </c>
      <c r="G30" s="260"/>
      <c r="H30" s="261">
        <f>H23+H28</f>
        <v>83997625.140000015</v>
      </c>
      <c r="I30" s="261">
        <f>I23+I28</f>
        <v>89091221.929999992</v>
      </c>
      <c r="J30" s="261">
        <f>AVERAGE(H30,I30)</f>
        <v>86544423.534999996</v>
      </c>
      <c r="K30" s="261"/>
      <c r="L30" s="763">
        <f>'E1-Labor Ratio'!H21</f>
        <v>0.35069999486318831</v>
      </c>
      <c r="M30" s="261"/>
      <c r="N30" s="261">
        <f>J30*L30</f>
        <v>30351128.889162093</v>
      </c>
    </row>
    <row r="31" spans="3:14" s="25" customFormat="1" ht="13.8" thickTop="1"/>
    <row r="32" spans="3:14" s="25" customFormat="1" ht="13.2">
      <c r="H32" s="262"/>
      <c r="I32" s="262"/>
      <c r="J32" s="262"/>
    </row>
    <row r="33" spans="2:2" s="25" customFormat="1" ht="13.2"/>
    <row r="34" spans="2:2" s="25" customFormat="1" ht="13.2"/>
    <row r="37" spans="2:2" ht="14.4">
      <c r="B37" s="46"/>
    </row>
    <row r="38" spans="2:2" ht="14.4">
      <c r="B38" s="47"/>
    </row>
    <row r="39" spans="2:2" ht="14.4">
      <c r="B39" s="47"/>
    </row>
    <row r="40" spans="2:2" ht="14.4">
      <c r="B40" s="47"/>
    </row>
    <row r="41" spans="2:2" ht="14.4">
      <c r="B41" s="47"/>
    </row>
    <row r="42" spans="2:2" ht="14.4">
      <c r="B42" s="47"/>
    </row>
    <row r="43" spans="2:2" ht="14.4">
      <c r="B43" s="47"/>
    </row>
    <row r="44" spans="2:2" ht="14.4">
      <c r="B44" s="47"/>
    </row>
    <row r="45" spans="2:2" ht="14.4">
      <c r="B45" s="47"/>
    </row>
    <row r="46" spans="2:2" ht="14.4">
      <c r="B46" s="47"/>
    </row>
    <row r="47" spans="2:2" ht="14.4">
      <c r="B47" s="46"/>
    </row>
    <row r="48" spans="2:2" ht="14.4">
      <c r="B48" s="47"/>
    </row>
    <row r="49" spans="2:2" ht="14.4">
      <c r="B49" s="47"/>
    </row>
    <row r="50" spans="2:2" ht="14.4">
      <c r="B50" s="47"/>
    </row>
    <row r="51" spans="2:2" ht="14.4">
      <c r="B51" s="46"/>
    </row>
    <row r="52" spans="2:2" ht="14.4">
      <c r="B52" s="46"/>
    </row>
    <row r="53" spans="2:2" ht="14.4">
      <c r="B53" s="46"/>
    </row>
    <row r="54" spans="2:2" ht="14.4">
      <c r="B54" s="46"/>
    </row>
  </sheetData>
  <customSheetViews>
    <customSheetView guid="{B321D76C-CDE5-48BB-9CDE-80FF97D58FCF}" showPageBreaks="1" fitToPage="1" printArea="1" view="pageBreakPreview">
      <selection activeCell="D33" sqref="D33"/>
      <pageMargins left="0.45" right="0.45" top="0.75" bottom="0.75" header="0.3" footer="0.3"/>
      <printOptions horizontalCentered="1"/>
      <pageSetup scale="69" orientation="portrait" r:id="rId1"/>
    </customSheetView>
  </customSheetViews>
  <mergeCells count="5">
    <mergeCell ref="A4:N4"/>
    <mergeCell ref="A5:N5"/>
    <mergeCell ref="A9:N9"/>
    <mergeCell ref="A6:N6"/>
    <mergeCell ref="A8:N8"/>
  </mergeCells>
  <printOptions horizontalCentered="1"/>
  <pageMargins left="0.45" right="0.45" top="0.75" bottom="0.75" header="0.3" footer="0.3"/>
  <pageSetup scale="68" orientation="portrait"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tabColor rgb="FFFFC000"/>
    <pageSetUpPr fitToPage="1"/>
  </sheetPr>
  <dimension ref="A1:Q29"/>
  <sheetViews>
    <sheetView view="pageBreakPreview" zoomScale="80" zoomScaleNormal="100" zoomScaleSheetLayoutView="80" workbookViewId="0">
      <selection activeCell="F18" sqref="F18"/>
    </sheetView>
  </sheetViews>
  <sheetFormatPr defaultColWidth="9" defaultRowHeight="13.2"/>
  <cols>
    <col min="1" max="1" width="9" style="32"/>
    <col min="2" max="2" width="11.33203125" style="32" customWidth="1"/>
    <col min="3" max="3" width="16.33203125" style="32" customWidth="1"/>
    <col min="4" max="4" width="16.109375" style="32" customWidth="1"/>
    <col min="5" max="5" width="10.77734375" style="32" customWidth="1"/>
    <col min="6" max="6" width="12.44140625" style="32" bestFit="1" customWidth="1"/>
    <col min="7" max="7" width="13.44140625" style="32" customWidth="1"/>
    <col min="8" max="10" width="9" style="32"/>
    <col min="11" max="11" width="29.109375" style="32" customWidth="1"/>
    <col min="12" max="16" width="9" style="32"/>
    <col min="17" max="17" width="11.21875" style="32" bestFit="1" customWidth="1"/>
    <col min="18" max="16384" width="9" style="32"/>
  </cols>
  <sheetData>
    <row r="1" spans="1:7" s="301" customFormat="1" ht="15.6">
      <c r="A1" s="13" t="s">
        <v>978</v>
      </c>
      <c r="B1" s="308"/>
      <c r="C1" s="91"/>
      <c r="D1" s="91"/>
      <c r="E1" s="91"/>
      <c r="G1" s="122"/>
    </row>
    <row r="2" spans="1:7" s="299" customFormat="1" ht="17.399999999999999">
      <c r="A2" s="94"/>
      <c r="B2" s="320"/>
      <c r="C2" s="95"/>
      <c r="D2" s="95"/>
      <c r="E2" s="95"/>
      <c r="F2" s="95"/>
      <c r="G2" s="207"/>
    </row>
    <row r="3" spans="1:7" s="299" customFormat="1" ht="17.399999999999999">
      <c r="A3" s="2033" t="s">
        <v>200</v>
      </c>
      <c r="B3" s="2033"/>
      <c r="C3" s="2033"/>
      <c r="D3" s="2033"/>
      <c r="E3" s="2033"/>
      <c r="F3" s="2033"/>
      <c r="G3" s="2033"/>
    </row>
    <row r="4" spans="1:7" s="299" customFormat="1" ht="17.399999999999999">
      <c r="A4" s="2033" t="s">
        <v>103</v>
      </c>
      <c r="B4" s="2033"/>
      <c r="C4" s="2033"/>
      <c r="D4" s="2033"/>
      <c r="E4" s="2033"/>
      <c r="F4" s="2033"/>
      <c r="G4" s="2033"/>
    </row>
    <row r="5" spans="1:7" s="299" customFormat="1" ht="17.399999999999999">
      <c r="A5" s="2034" t="str">
        <f>SUMMARY!A7</f>
        <v>YEAR ENDING DECEMBER 31, 2021</v>
      </c>
      <c r="B5" s="2034"/>
      <c r="C5" s="2034"/>
      <c r="D5" s="2034"/>
      <c r="E5" s="2034"/>
      <c r="F5" s="2034"/>
      <c r="G5" s="2034"/>
    </row>
    <row r="6" spans="1:7" s="299" customFormat="1" ht="12" customHeight="1">
      <c r="A6" s="95"/>
      <c r="B6" s="98"/>
      <c r="C6" s="95"/>
      <c r="D6" s="95"/>
      <c r="E6" s="95"/>
      <c r="F6" s="95"/>
      <c r="G6" s="95"/>
    </row>
    <row r="7" spans="1:7" s="299" customFormat="1" ht="17.399999999999999">
      <c r="A7" s="2035" t="s">
        <v>979</v>
      </c>
      <c r="B7" s="2035"/>
      <c r="C7" s="2035"/>
      <c r="D7" s="2035"/>
      <c r="E7" s="2035"/>
      <c r="F7" s="2035"/>
      <c r="G7" s="2035"/>
    </row>
    <row r="8" spans="1:7" ht="17.399999999999999">
      <c r="A8" s="2033" t="s">
        <v>283</v>
      </c>
      <c r="B8" s="2033"/>
      <c r="C8" s="2033"/>
      <c r="D8" s="2033"/>
      <c r="E8" s="2033"/>
      <c r="F8" s="2033"/>
      <c r="G8" s="2033"/>
    </row>
    <row r="9" spans="1:7" ht="17.399999999999999">
      <c r="A9" s="207"/>
      <c r="B9" s="12"/>
      <c r="C9" s="12"/>
      <c r="D9" s="12"/>
      <c r="E9" s="207"/>
      <c r="F9" s="207"/>
      <c r="G9" s="207"/>
    </row>
    <row r="10" spans="1:7">
      <c r="B10" s="633" t="s">
        <v>192</v>
      </c>
      <c r="C10" s="509"/>
      <c r="D10" s="633" t="s">
        <v>193</v>
      </c>
      <c r="F10" s="633" t="s">
        <v>194</v>
      </c>
    </row>
    <row r="11" spans="1:7">
      <c r="A11" s="352"/>
      <c r="B11" s="352"/>
      <c r="C11" s="352"/>
      <c r="D11" s="352"/>
      <c r="E11" s="352"/>
      <c r="F11" s="352"/>
      <c r="G11" s="352"/>
    </row>
    <row r="12" spans="1:7">
      <c r="B12" s="31"/>
      <c r="C12" s="31"/>
      <c r="D12" s="40" t="s">
        <v>281</v>
      </c>
      <c r="E12" s="31"/>
      <c r="F12" s="40" t="s">
        <v>67</v>
      </c>
    </row>
    <row r="13" spans="1:7">
      <c r="B13" s="88" t="s">
        <v>303</v>
      </c>
      <c r="C13" s="31"/>
      <c r="D13" s="88" t="s">
        <v>784</v>
      </c>
      <c r="E13" s="31"/>
      <c r="F13" s="88" t="s">
        <v>785</v>
      </c>
    </row>
    <row r="14" spans="1:7">
      <c r="B14" s="208"/>
      <c r="C14" s="31"/>
      <c r="D14" s="208"/>
      <c r="E14" s="31"/>
      <c r="F14" s="208"/>
    </row>
    <row r="16" spans="1:7" ht="13.8">
      <c r="A16" s="352">
        <v>1</v>
      </c>
      <c r="B16" s="1346">
        <v>44196</v>
      </c>
      <c r="D16" s="1347">
        <v>0</v>
      </c>
      <c r="E16" s="353"/>
      <c r="F16" s="1347">
        <v>19151093</v>
      </c>
    </row>
    <row r="17" spans="1:17" ht="13.8">
      <c r="A17" s="352"/>
      <c r="B17" s="1224"/>
      <c r="D17" s="1348"/>
      <c r="E17" s="354"/>
      <c r="F17" s="1348"/>
    </row>
    <row r="18" spans="1:17" ht="13.8">
      <c r="A18" s="352">
        <v>2</v>
      </c>
      <c r="B18" s="1346">
        <v>44561</v>
      </c>
      <c r="D18" s="1349">
        <v>0</v>
      </c>
      <c r="E18" s="354"/>
      <c r="F18" s="1350">
        <v>19468174</v>
      </c>
      <c r="Q18" s="152"/>
    </row>
    <row r="19" spans="1:17" ht="13.8">
      <c r="A19" s="352"/>
      <c r="D19" s="354"/>
      <c r="E19" s="354"/>
      <c r="F19" s="354"/>
      <c r="Q19" s="152"/>
    </row>
    <row r="20" spans="1:17">
      <c r="A20" s="352"/>
      <c r="Q20" s="152"/>
    </row>
    <row r="21" spans="1:17" ht="13.8">
      <c r="A21" s="352">
        <v>3</v>
      </c>
      <c r="B21" s="31" t="s">
        <v>1120</v>
      </c>
      <c r="C21" s="355"/>
      <c r="D21" s="356">
        <f>IF(D16&gt;0,AVERAGE(D16,D18),0)</f>
        <v>0</v>
      </c>
      <c r="E21" s="357"/>
      <c r="F21" s="356">
        <f>+(F16+F18)/2</f>
        <v>19309633.5</v>
      </c>
      <c r="G21" s="57"/>
      <c r="Q21" s="152"/>
    </row>
    <row r="22" spans="1:17">
      <c r="G22" s="57"/>
      <c r="Q22" s="152"/>
    </row>
    <row r="23" spans="1:17">
      <c r="Q23" s="152"/>
    </row>
    <row r="24" spans="1:17">
      <c r="Q24" s="152"/>
    </row>
    <row r="25" spans="1:17">
      <c r="Q25" s="152"/>
    </row>
    <row r="26" spans="1:17">
      <c r="Q26" s="152"/>
    </row>
    <row r="27" spans="1:17">
      <c r="Q27" s="152"/>
    </row>
    <row r="28" spans="1:17">
      <c r="Q28" s="152"/>
    </row>
    <row r="29" spans="1:17">
      <c r="Q29" s="152"/>
    </row>
  </sheetData>
  <customSheetViews>
    <customSheetView guid="{B321D76C-CDE5-48BB-9CDE-80FF97D58FCF}" showPageBreaks="1" fitToPage="1" printArea="1" view="pageBreakPreview">
      <selection activeCell="D33" sqref="D33"/>
      <pageMargins left="0.2" right="0.2" top="0.5" bottom="0.5" header="0.3" footer="0.3"/>
      <printOptions horizontalCentered="1"/>
      <pageSetup orientation="portrait" r:id="rId1"/>
    </customSheetView>
  </customSheetViews>
  <mergeCells count="5">
    <mergeCell ref="A3:G3"/>
    <mergeCell ref="A4:G4"/>
    <mergeCell ref="A8:G8"/>
    <mergeCell ref="A5:G5"/>
    <mergeCell ref="A7:G7"/>
  </mergeCells>
  <printOptions horizontalCentered="1"/>
  <pageMargins left="0.2" right="0.2" top="0.5" bottom="0.5" header="0.3" footer="0.3"/>
  <pageSetup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7030A0"/>
    <pageSetUpPr fitToPage="1"/>
  </sheetPr>
  <dimension ref="A1:W50"/>
  <sheetViews>
    <sheetView view="pageBreakPreview" zoomScale="80" zoomScaleNormal="80" zoomScaleSheetLayoutView="80" workbookViewId="0">
      <selection activeCell="E31" sqref="E31"/>
    </sheetView>
  </sheetViews>
  <sheetFormatPr defaultRowHeight="15"/>
  <cols>
    <col min="1" max="1" width="5.77734375" style="346" customWidth="1"/>
    <col min="2" max="2" width="5.21875" style="347" customWidth="1"/>
    <col min="3" max="3" width="43.77734375" style="346" customWidth="1"/>
    <col min="4" max="4" width="1.77734375" style="346" customWidth="1"/>
    <col min="5" max="5" width="22.5546875" style="602" customWidth="1"/>
    <col min="6" max="6" width="8.77734375" style="602" customWidth="1"/>
    <col min="7" max="7" width="9.44140625" style="602" customWidth="1"/>
    <col min="8" max="8" width="2.77734375" style="602" customWidth="1"/>
    <col min="9" max="9" width="10.44140625" style="602" customWidth="1"/>
    <col min="10" max="10" width="2.77734375" style="602" customWidth="1"/>
    <col min="11" max="11" width="29.109375" style="602" customWidth="1"/>
    <col min="12" max="12" width="2.77734375" style="602" customWidth="1"/>
    <col min="13" max="13" width="11.33203125" style="602" customWidth="1"/>
    <col min="14" max="14" width="6.33203125" style="602" customWidth="1"/>
    <col min="15" max="15" width="9.44140625" style="602" customWidth="1"/>
    <col min="16" max="16" width="11.109375" style="602" customWidth="1"/>
    <col min="17" max="17" width="6.44140625" style="346" customWidth="1"/>
    <col min="18" max="251" width="9" style="346"/>
    <col min="252" max="252" width="22.33203125" style="346" customWidth="1"/>
    <col min="253" max="253" width="1.77734375" style="346" customWidth="1"/>
    <col min="254" max="254" width="15.44140625" style="346" customWidth="1"/>
    <col min="255" max="255" width="1.77734375" style="346" customWidth="1"/>
    <col min="256" max="256" width="17" style="346" customWidth="1"/>
    <col min="257" max="257" width="1.44140625" style="346" customWidth="1"/>
    <col min="258" max="258" width="9.44140625" style="346" customWidth="1"/>
    <col min="259" max="259" width="2" style="346" customWidth="1"/>
    <col min="260" max="260" width="11.33203125" style="346" customWidth="1"/>
    <col min="261" max="261" width="10.109375" style="346" customWidth="1"/>
    <col min="262" max="262" width="11.77734375" style="346" customWidth="1"/>
    <col min="263" max="263" width="18.109375" style="346" customWidth="1"/>
    <col min="264" max="507" width="9" style="346"/>
    <col min="508" max="508" width="22.33203125" style="346" customWidth="1"/>
    <col min="509" max="509" width="1.77734375" style="346" customWidth="1"/>
    <col min="510" max="510" width="15.44140625" style="346" customWidth="1"/>
    <col min="511" max="511" width="1.77734375" style="346" customWidth="1"/>
    <col min="512" max="512" width="17" style="346" customWidth="1"/>
    <col min="513" max="513" width="1.44140625" style="346" customWidth="1"/>
    <col min="514" max="514" width="9.44140625" style="346" customWidth="1"/>
    <col min="515" max="515" width="2" style="346" customWidth="1"/>
    <col min="516" max="516" width="11.33203125" style="346" customWidth="1"/>
    <col min="517" max="517" width="10.109375" style="346" customWidth="1"/>
    <col min="518" max="518" width="11.77734375" style="346" customWidth="1"/>
    <col min="519" max="519" width="18.109375" style="346" customWidth="1"/>
    <col min="520" max="763" width="9" style="346"/>
    <col min="764" max="764" width="22.33203125" style="346" customWidth="1"/>
    <col min="765" max="765" width="1.77734375" style="346" customWidth="1"/>
    <col min="766" max="766" width="15.44140625" style="346" customWidth="1"/>
    <col min="767" max="767" width="1.77734375" style="346" customWidth="1"/>
    <col min="768" max="768" width="17" style="346" customWidth="1"/>
    <col min="769" max="769" width="1.44140625" style="346" customWidth="1"/>
    <col min="770" max="770" width="9.44140625" style="346" customWidth="1"/>
    <col min="771" max="771" width="2" style="346" customWidth="1"/>
    <col min="772" max="772" width="11.33203125" style="346" customWidth="1"/>
    <col min="773" max="773" width="10.109375" style="346" customWidth="1"/>
    <col min="774" max="774" width="11.77734375" style="346" customWidth="1"/>
    <col min="775" max="775" width="18.109375" style="346" customWidth="1"/>
    <col min="776" max="1019" width="9" style="346"/>
    <col min="1020" max="1020" width="22.33203125" style="346" customWidth="1"/>
    <col min="1021" max="1021" width="1.77734375" style="346" customWidth="1"/>
    <col min="1022" max="1022" width="15.44140625" style="346" customWidth="1"/>
    <col min="1023" max="1023" width="1.77734375" style="346" customWidth="1"/>
    <col min="1024" max="1024" width="17" style="346" customWidth="1"/>
    <col min="1025" max="1025" width="1.44140625" style="346" customWidth="1"/>
    <col min="1026" max="1026" width="9.44140625" style="346" customWidth="1"/>
    <col min="1027" max="1027" width="2" style="346" customWidth="1"/>
    <col min="1028" max="1028" width="11.33203125" style="346" customWidth="1"/>
    <col min="1029" max="1029" width="10.109375" style="346" customWidth="1"/>
    <col min="1030" max="1030" width="11.77734375" style="346" customWidth="1"/>
    <col min="1031" max="1031" width="18.109375" style="346" customWidth="1"/>
    <col min="1032" max="1275" width="9" style="346"/>
    <col min="1276" max="1276" width="22.33203125" style="346" customWidth="1"/>
    <col min="1277" max="1277" width="1.77734375" style="346" customWidth="1"/>
    <col min="1278" max="1278" width="15.44140625" style="346" customWidth="1"/>
    <col min="1279" max="1279" width="1.77734375" style="346" customWidth="1"/>
    <col min="1280" max="1280" width="17" style="346" customWidth="1"/>
    <col min="1281" max="1281" width="1.44140625" style="346" customWidth="1"/>
    <col min="1282" max="1282" width="9.44140625" style="346" customWidth="1"/>
    <col min="1283" max="1283" width="2" style="346" customWidth="1"/>
    <col min="1284" max="1284" width="11.33203125" style="346" customWidth="1"/>
    <col min="1285" max="1285" width="10.109375" style="346" customWidth="1"/>
    <col min="1286" max="1286" width="11.77734375" style="346" customWidth="1"/>
    <col min="1287" max="1287" width="18.109375" style="346" customWidth="1"/>
    <col min="1288" max="1531" width="9" style="346"/>
    <col min="1532" max="1532" width="22.33203125" style="346" customWidth="1"/>
    <col min="1533" max="1533" width="1.77734375" style="346" customWidth="1"/>
    <col min="1534" max="1534" width="15.44140625" style="346" customWidth="1"/>
    <col min="1535" max="1535" width="1.77734375" style="346" customWidth="1"/>
    <col min="1536" max="1536" width="17" style="346" customWidth="1"/>
    <col min="1537" max="1537" width="1.44140625" style="346" customWidth="1"/>
    <col min="1538" max="1538" width="9.44140625" style="346" customWidth="1"/>
    <col min="1539" max="1539" width="2" style="346" customWidth="1"/>
    <col min="1540" max="1540" width="11.33203125" style="346" customWidth="1"/>
    <col min="1541" max="1541" width="10.109375" style="346" customWidth="1"/>
    <col min="1542" max="1542" width="11.77734375" style="346" customWidth="1"/>
    <col min="1543" max="1543" width="18.109375" style="346" customWidth="1"/>
    <col min="1544" max="1787" width="9" style="346"/>
    <col min="1788" max="1788" width="22.33203125" style="346" customWidth="1"/>
    <col min="1789" max="1789" width="1.77734375" style="346" customWidth="1"/>
    <col min="1790" max="1790" width="15.44140625" style="346" customWidth="1"/>
    <col min="1791" max="1791" width="1.77734375" style="346" customWidth="1"/>
    <col min="1792" max="1792" width="17" style="346" customWidth="1"/>
    <col min="1793" max="1793" width="1.44140625" style="346" customWidth="1"/>
    <col min="1794" max="1794" width="9.44140625" style="346" customWidth="1"/>
    <col min="1795" max="1795" width="2" style="346" customWidth="1"/>
    <col min="1796" max="1796" width="11.33203125" style="346" customWidth="1"/>
    <col min="1797" max="1797" width="10.109375" style="346" customWidth="1"/>
    <col min="1798" max="1798" width="11.77734375" style="346" customWidth="1"/>
    <col min="1799" max="1799" width="18.109375" style="346" customWidth="1"/>
    <col min="1800" max="2043" width="9" style="346"/>
    <col min="2044" max="2044" width="22.33203125" style="346" customWidth="1"/>
    <col min="2045" max="2045" width="1.77734375" style="346" customWidth="1"/>
    <col min="2046" max="2046" width="15.44140625" style="346" customWidth="1"/>
    <col min="2047" max="2047" width="1.77734375" style="346" customWidth="1"/>
    <col min="2048" max="2048" width="17" style="346" customWidth="1"/>
    <col min="2049" max="2049" width="1.44140625" style="346" customWidth="1"/>
    <col min="2050" max="2050" width="9.44140625" style="346" customWidth="1"/>
    <col min="2051" max="2051" width="2" style="346" customWidth="1"/>
    <col min="2052" max="2052" width="11.33203125" style="346" customWidth="1"/>
    <col min="2053" max="2053" width="10.109375" style="346" customWidth="1"/>
    <col min="2054" max="2054" width="11.77734375" style="346" customWidth="1"/>
    <col min="2055" max="2055" width="18.109375" style="346" customWidth="1"/>
    <col min="2056" max="2299" width="9" style="346"/>
    <col min="2300" max="2300" width="22.33203125" style="346" customWidth="1"/>
    <col min="2301" max="2301" width="1.77734375" style="346" customWidth="1"/>
    <col min="2302" max="2302" width="15.44140625" style="346" customWidth="1"/>
    <col min="2303" max="2303" width="1.77734375" style="346" customWidth="1"/>
    <col min="2304" max="2304" width="17" style="346" customWidth="1"/>
    <col min="2305" max="2305" width="1.44140625" style="346" customWidth="1"/>
    <col min="2306" max="2306" width="9.44140625" style="346" customWidth="1"/>
    <col min="2307" max="2307" width="2" style="346" customWidth="1"/>
    <col min="2308" max="2308" width="11.33203125" style="346" customWidth="1"/>
    <col min="2309" max="2309" width="10.109375" style="346" customWidth="1"/>
    <col min="2310" max="2310" width="11.77734375" style="346" customWidth="1"/>
    <col min="2311" max="2311" width="18.109375" style="346" customWidth="1"/>
    <col min="2312" max="2555" width="9" style="346"/>
    <col min="2556" max="2556" width="22.33203125" style="346" customWidth="1"/>
    <col min="2557" max="2557" width="1.77734375" style="346" customWidth="1"/>
    <col min="2558" max="2558" width="15.44140625" style="346" customWidth="1"/>
    <col min="2559" max="2559" width="1.77734375" style="346" customWidth="1"/>
    <col min="2560" max="2560" width="17" style="346" customWidth="1"/>
    <col min="2561" max="2561" width="1.44140625" style="346" customWidth="1"/>
    <col min="2562" max="2562" width="9.44140625" style="346" customWidth="1"/>
    <col min="2563" max="2563" width="2" style="346" customWidth="1"/>
    <col min="2564" max="2564" width="11.33203125" style="346" customWidth="1"/>
    <col min="2565" max="2565" width="10.109375" style="346" customWidth="1"/>
    <col min="2566" max="2566" width="11.77734375" style="346" customWidth="1"/>
    <col min="2567" max="2567" width="18.109375" style="346" customWidth="1"/>
    <col min="2568" max="2811" width="9" style="346"/>
    <col min="2812" max="2812" width="22.33203125" style="346" customWidth="1"/>
    <col min="2813" max="2813" width="1.77734375" style="346" customWidth="1"/>
    <col min="2814" max="2814" width="15.44140625" style="346" customWidth="1"/>
    <col min="2815" max="2815" width="1.77734375" style="346" customWidth="1"/>
    <col min="2816" max="2816" width="17" style="346" customWidth="1"/>
    <col min="2817" max="2817" width="1.44140625" style="346" customWidth="1"/>
    <col min="2818" max="2818" width="9.44140625" style="346" customWidth="1"/>
    <col min="2819" max="2819" width="2" style="346" customWidth="1"/>
    <col min="2820" max="2820" width="11.33203125" style="346" customWidth="1"/>
    <col min="2821" max="2821" width="10.109375" style="346" customWidth="1"/>
    <col min="2822" max="2822" width="11.77734375" style="346" customWidth="1"/>
    <col min="2823" max="2823" width="18.109375" style="346" customWidth="1"/>
    <col min="2824" max="3067" width="9" style="346"/>
    <col min="3068" max="3068" width="22.33203125" style="346" customWidth="1"/>
    <col min="3069" max="3069" width="1.77734375" style="346" customWidth="1"/>
    <col min="3070" max="3070" width="15.44140625" style="346" customWidth="1"/>
    <col min="3071" max="3071" width="1.77734375" style="346" customWidth="1"/>
    <col min="3072" max="3072" width="17" style="346" customWidth="1"/>
    <col min="3073" max="3073" width="1.44140625" style="346" customWidth="1"/>
    <col min="3074" max="3074" width="9.44140625" style="346" customWidth="1"/>
    <col min="3075" max="3075" width="2" style="346" customWidth="1"/>
    <col min="3076" max="3076" width="11.33203125" style="346" customWidth="1"/>
    <col min="3077" max="3077" width="10.109375" style="346" customWidth="1"/>
    <col min="3078" max="3078" width="11.77734375" style="346" customWidth="1"/>
    <col min="3079" max="3079" width="18.109375" style="346" customWidth="1"/>
    <col min="3080" max="3323" width="9" style="346"/>
    <col min="3324" max="3324" width="22.33203125" style="346" customWidth="1"/>
    <col min="3325" max="3325" width="1.77734375" style="346" customWidth="1"/>
    <col min="3326" max="3326" width="15.44140625" style="346" customWidth="1"/>
    <col min="3327" max="3327" width="1.77734375" style="346" customWidth="1"/>
    <col min="3328" max="3328" width="17" style="346" customWidth="1"/>
    <col min="3329" max="3329" width="1.44140625" style="346" customWidth="1"/>
    <col min="3330" max="3330" width="9.44140625" style="346" customWidth="1"/>
    <col min="3331" max="3331" width="2" style="346" customWidth="1"/>
    <col min="3332" max="3332" width="11.33203125" style="346" customWidth="1"/>
    <col min="3333" max="3333" width="10.109375" style="346" customWidth="1"/>
    <col min="3334" max="3334" width="11.77734375" style="346" customWidth="1"/>
    <col min="3335" max="3335" width="18.109375" style="346" customWidth="1"/>
    <col min="3336" max="3579" width="9" style="346"/>
    <col min="3580" max="3580" width="22.33203125" style="346" customWidth="1"/>
    <col min="3581" max="3581" width="1.77734375" style="346" customWidth="1"/>
    <col min="3582" max="3582" width="15.44140625" style="346" customWidth="1"/>
    <col min="3583" max="3583" width="1.77734375" style="346" customWidth="1"/>
    <col min="3584" max="3584" width="17" style="346" customWidth="1"/>
    <col min="3585" max="3585" width="1.44140625" style="346" customWidth="1"/>
    <col min="3586" max="3586" width="9.44140625" style="346" customWidth="1"/>
    <col min="3587" max="3587" width="2" style="346" customWidth="1"/>
    <col min="3588" max="3588" width="11.33203125" style="346" customWidth="1"/>
    <col min="3589" max="3589" width="10.109375" style="346" customWidth="1"/>
    <col min="3590" max="3590" width="11.77734375" style="346" customWidth="1"/>
    <col min="3591" max="3591" width="18.109375" style="346" customWidth="1"/>
    <col min="3592" max="3835" width="9" style="346"/>
    <col min="3836" max="3836" width="22.33203125" style="346" customWidth="1"/>
    <col min="3837" max="3837" width="1.77734375" style="346" customWidth="1"/>
    <col min="3838" max="3838" width="15.44140625" style="346" customWidth="1"/>
    <col min="3839" max="3839" width="1.77734375" style="346" customWidth="1"/>
    <col min="3840" max="3840" width="17" style="346" customWidth="1"/>
    <col min="3841" max="3841" width="1.44140625" style="346" customWidth="1"/>
    <col min="3842" max="3842" width="9.44140625" style="346" customWidth="1"/>
    <col min="3843" max="3843" width="2" style="346" customWidth="1"/>
    <col min="3844" max="3844" width="11.33203125" style="346" customWidth="1"/>
    <col min="3845" max="3845" width="10.109375" style="346" customWidth="1"/>
    <col min="3846" max="3846" width="11.77734375" style="346" customWidth="1"/>
    <col min="3847" max="3847" width="18.109375" style="346" customWidth="1"/>
    <col min="3848" max="4091" width="9" style="346"/>
    <col min="4092" max="4092" width="22.33203125" style="346" customWidth="1"/>
    <col min="4093" max="4093" width="1.77734375" style="346" customWidth="1"/>
    <col min="4094" max="4094" width="15.44140625" style="346" customWidth="1"/>
    <col min="4095" max="4095" width="1.77734375" style="346" customWidth="1"/>
    <col min="4096" max="4096" width="17" style="346" customWidth="1"/>
    <col min="4097" max="4097" width="1.44140625" style="346" customWidth="1"/>
    <col min="4098" max="4098" width="9.44140625" style="346" customWidth="1"/>
    <col min="4099" max="4099" width="2" style="346" customWidth="1"/>
    <col min="4100" max="4100" width="11.33203125" style="346" customWidth="1"/>
    <col min="4101" max="4101" width="10.109375" style="346" customWidth="1"/>
    <col min="4102" max="4102" width="11.77734375" style="346" customWidth="1"/>
    <col min="4103" max="4103" width="18.109375" style="346" customWidth="1"/>
    <col min="4104" max="4347" width="9" style="346"/>
    <col min="4348" max="4348" width="22.33203125" style="346" customWidth="1"/>
    <col min="4349" max="4349" width="1.77734375" style="346" customWidth="1"/>
    <col min="4350" max="4350" width="15.44140625" style="346" customWidth="1"/>
    <col min="4351" max="4351" width="1.77734375" style="346" customWidth="1"/>
    <col min="4352" max="4352" width="17" style="346" customWidth="1"/>
    <col min="4353" max="4353" width="1.44140625" style="346" customWidth="1"/>
    <col min="4354" max="4354" width="9.44140625" style="346" customWidth="1"/>
    <col min="4355" max="4355" width="2" style="346" customWidth="1"/>
    <col min="4356" max="4356" width="11.33203125" style="346" customWidth="1"/>
    <col min="4357" max="4357" width="10.109375" style="346" customWidth="1"/>
    <col min="4358" max="4358" width="11.77734375" style="346" customWidth="1"/>
    <col min="4359" max="4359" width="18.109375" style="346" customWidth="1"/>
    <col min="4360" max="4603" width="9" style="346"/>
    <col min="4604" max="4604" width="22.33203125" style="346" customWidth="1"/>
    <col min="4605" max="4605" width="1.77734375" style="346" customWidth="1"/>
    <col min="4606" max="4606" width="15.44140625" style="346" customWidth="1"/>
    <col min="4607" max="4607" width="1.77734375" style="346" customWidth="1"/>
    <col min="4608" max="4608" width="17" style="346" customWidth="1"/>
    <col min="4609" max="4609" width="1.44140625" style="346" customWidth="1"/>
    <col min="4610" max="4610" width="9.44140625" style="346" customWidth="1"/>
    <col min="4611" max="4611" width="2" style="346" customWidth="1"/>
    <col min="4612" max="4612" width="11.33203125" style="346" customWidth="1"/>
    <col min="4613" max="4613" width="10.109375" style="346" customWidth="1"/>
    <col min="4614" max="4614" width="11.77734375" style="346" customWidth="1"/>
    <col min="4615" max="4615" width="18.109375" style="346" customWidth="1"/>
    <col min="4616" max="4859" width="9" style="346"/>
    <col min="4860" max="4860" width="22.33203125" style="346" customWidth="1"/>
    <col min="4861" max="4861" width="1.77734375" style="346" customWidth="1"/>
    <col min="4862" max="4862" width="15.44140625" style="346" customWidth="1"/>
    <col min="4863" max="4863" width="1.77734375" style="346" customWidth="1"/>
    <col min="4864" max="4864" width="17" style="346" customWidth="1"/>
    <col min="4865" max="4865" width="1.44140625" style="346" customWidth="1"/>
    <col min="4866" max="4866" width="9.44140625" style="346" customWidth="1"/>
    <col min="4867" max="4867" width="2" style="346" customWidth="1"/>
    <col min="4868" max="4868" width="11.33203125" style="346" customWidth="1"/>
    <col min="4869" max="4869" width="10.109375" style="346" customWidth="1"/>
    <col min="4870" max="4870" width="11.77734375" style="346" customWidth="1"/>
    <col min="4871" max="4871" width="18.109375" style="346" customWidth="1"/>
    <col min="4872" max="5115" width="9" style="346"/>
    <col min="5116" max="5116" width="22.33203125" style="346" customWidth="1"/>
    <col min="5117" max="5117" width="1.77734375" style="346" customWidth="1"/>
    <col min="5118" max="5118" width="15.44140625" style="346" customWidth="1"/>
    <col min="5119" max="5119" width="1.77734375" style="346" customWidth="1"/>
    <col min="5120" max="5120" width="17" style="346" customWidth="1"/>
    <col min="5121" max="5121" width="1.44140625" style="346" customWidth="1"/>
    <col min="5122" max="5122" width="9.44140625" style="346" customWidth="1"/>
    <col min="5123" max="5123" width="2" style="346" customWidth="1"/>
    <col min="5124" max="5124" width="11.33203125" style="346" customWidth="1"/>
    <col min="5125" max="5125" width="10.109375" style="346" customWidth="1"/>
    <col min="5126" max="5126" width="11.77734375" style="346" customWidth="1"/>
    <col min="5127" max="5127" width="18.109375" style="346" customWidth="1"/>
    <col min="5128" max="5371" width="9" style="346"/>
    <col min="5372" max="5372" width="22.33203125" style="346" customWidth="1"/>
    <col min="5373" max="5373" width="1.77734375" style="346" customWidth="1"/>
    <col min="5374" max="5374" width="15.44140625" style="346" customWidth="1"/>
    <col min="5375" max="5375" width="1.77734375" style="346" customWidth="1"/>
    <col min="5376" max="5376" width="17" style="346" customWidth="1"/>
    <col min="5377" max="5377" width="1.44140625" style="346" customWidth="1"/>
    <col min="5378" max="5378" width="9.44140625" style="346" customWidth="1"/>
    <col min="5379" max="5379" width="2" style="346" customWidth="1"/>
    <col min="5380" max="5380" width="11.33203125" style="346" customWidth="1"/>
    <col min="5381" max="5381" width="10.109375" style="346" customWidth="1"/>
    <col min="5382" max="5382" width="11.77734375" style="346" customWidth="1"/>
    <col min="5383" max="5383" width="18.109375" style="346" customWidth="1"/>
    <col min="5384" max="5627" width="9" style="346"/>
    <col min="5628" max="5628" width="22.33203125" style="346" customWidth="1"/>
    <col min="5629" max="5629" width="1.77734375" style="346" customWidth="1"/>
    <col min="5630" max="5630" width="15.44140625" style="346" customWidth="1"/>
    <col min="5631" max="5631" width="1.77734375" style="346" customWidth="1"/>
    <col min="5632" max="5632" width="17" style="346" customWidth="1"/>
    <col min="5633" max="5633" width="1.44140625" style="346" customWidth="1"/>
    <col min="5634" max="5634" width="9.44140625" style="346" customWidth="1"/>
    <col min="5635" max="5635" width="2" style="346" customWidth="1"/>
    <col min="5636" max="5636" width="11.33203125" style="346" customWidth="1"/>
    <col min="5637" max="5637" width="10.109375" style="346" customWidth="1"/>
    <col min="5638" max="5638" width="11.77734375" style="346" customWidth="1"/>
    <col min="5639" max="5639" width="18.109375" style="346" customWidth="1"/>
    <col min="5640" max="5883" width="9" style="346"/>
    <col min="5884" max="5884" width="22.33203125" style="346" customWidth="1"/>
    <col min="5885" max="5885" width="1.77734375" style="346" customWidth="1"/>
    <col min="5886" max="5886" width="15.44140625" style="346" customWidth="1"/>
    <col min="5887" max="5887" width="1.77734375" style="346" customWidth="1"/>
    <col min="5888" max="5888" width="17" style="346" customWidth="1"/>
    <col min="5889" max="5889" width="1.44140625" style="346" customWidth="1"/>
    <col min="5890" max="5890" width="9.44140625" style="346" customWidth="1"/>
    <col min="5891" max="5891" width="2" style="346" customWidth="1"/>
    <col min="5892" max="5892" width="11.33203125" style="346" customWidth="1"/>
    <col min="5893" max="5893" width="10.109375" style="346" customWidth="1"/>
    <col min="5894" max="5894" width="11.77734375" style="346" customWidth="1"/>
    <col min="5895" max="5895" width="18.109375" style="346" customWidth="1"/>
    <col min="5896" max="6139" width="9" style="346"/>
    <col min="6140" max="6140" width="22.33203125" style="346" customWidth="1"/>
    <col min="6141" max="6141" width="1.77734375" style="346" customWidth="1"/>
    <col min="6142" max="6142" width="15.44140625" style="346" customWidth="1"/>
    <col min="6143" max="6143" width="1.77734375" style="346" customWidth="1"/>
    <col min="6144" max="6144" width="17" style="346" customWidth="1"/>
    <col min="6145" max="6145" width="1.44140625" style="346" customWidth="1"/>
    <col min="6146" max="6146" width="9.44140625" style="346" customWidth="1"/>
    <col min="6147" max="6147" width="2" style="346" customWidth="1"/>
    <col min="6148" max="6148" width="11.33203125" style="346" customWidth="1"/>
    <col min="6149" max="6149" width="10.109375" style="346" customWidth="1"/>
    <col min="6150" max="6150" width="11.77734375" style="346" customWidth="1"/>
    <col min="6151" max="6151" width="18.109375" style="346" customWidth="1"/>
    <col min="6152" max="6395" width="9" style="346"/>
    <col min="6396" max="6396" width="22.33203125" style="346" customWidth="1"/>
    <col min="6397" max="6397" width="1.77734375" style="346" customWidth="1"/>
    <col min="6398" max="6398" width="15.44140625" style="346" customWidth="1"/>
    <col min="6399" max="6399" width="1.77734375" style="346" customWidth="1"/>
    <col min="6400" max="6400" width="17" style="346" customWidth="1"/>
    <col min="6401" max="6401" width="1.44140625" style="346" customWidth="1"/>
    <col min="6402" max="6402" width="9.44140625" style="346" customWidth="1"/>
    <col min="6403" max="6403" width="2" style="346" customWidth="1"/>
    <col min="6404" max="6404" width="11.33203125" style="346" customWidth="1"/>
    <col min="6405" max="6405" width="10.109375" style="346" customWidth="1"/>
    <col min="6406" max="6406" width="11.77734375" style="346" customWidth="1"/>
    <col min="6407" max="6407" width="18.109375" style="346" customWidth="1"/>
    <col min="6408" max="6651" width="9" style="346"/>
    <col min="6652" max="6652" width="22.33203125" style="346" customWidth="1"/>
    <col min="6653" max="6653" width="1.77734375" style="346" customWidth="1"/>
    <col min="6654" max="6654" width="15.44140625" style="346" customWidth="1"/>
    <col min="6655" max="6655" width="1.77734375" style="346" customWidth="1"/>
    <col min="6656" max="6656" width="17" style="346" customWidth="1"/>
    <col min="6657" max="6657" width="1.44140625" style="346" customWidth="1"/>
    <col min="6658" max="6658" width="9.44140625" style="346" customWidth="1"/>
    <col min="6659" max="6659" width="2" style="346" customWidth="1"/>
    <col min="6660" max="6660" width="11.33203125" style="346" customWidth="1"/>
    <col min="6661" max="6661" width="10.109375" style="346" customWidth="1"/>
    <col min="6662" max="6662" width="11.77734375" style="346" customWidth="1"/>
    <col min="6663" max="6663" width="18.109375" style="346" customWidth="1"/>
    <col min="6664" max="6907" width="9" style="346"/>
    <col min="6908" max="6908" width="22.33203125" style="346" customWidth="1"/>
    <col min="6909" max="6909" width="1.77734375" style="346" customWidth="1"/>
    <col min="6910" max="6910" width="15.44140625" style="346" customWidth="1"/>
    <col min="6911" max="6911" width="1.77734375" style="346" customWidth="1"/>
    <col min="6912" max="6912" width="17" style="346" customWidth="1"/>
    <col min="6913" max="6913" width="1.44140625" style="346" customWidth="1"/>
    <col min="6914" max="6914" width="9.44140625" style="346" customWidth="1"/>
    <col min="6915" max="6915" width="2" style="346" customWidth="1"/>
    <col min="6916" max="6916" width="11.33203125" style="346" customWidth="1"/>
    <col min="6917" max="6917" width="10.109375" style="346" customWidth="1"/>
    <col min="6918" max="6918" width="11.77734375" style="346" customWidth="1"/>
    <col min="6919" max="6919" width="18.109375" style="346" customWidth="1"/>
    <col min="6920" max="7163" width="9" style="346"/>
    <col min="7164" max="7164" width="22.33203125" style="346" customWidth="1"/>
    <col min="7165" max="7165" width="1.77734375" style="346" customWidth="1"/>
    <col min="7166" max="7166" width="15.44140625" style="346" customWidth="1"/>
    <col min="7167" max="7167" width="1.77734375" style="346" customWidth="1"/>
    <col min="7168" max="7168" width="17" style="346" customWidth="1"/>
    <col min="7169" max="7169" width="1.44140625" style="346" customWidth="1"/>
    <col min="7170" max="7170" width="9.44140625" style="346" customWidth="1"/>
    <col min="7171" max="7171" width="2" style="346" customWidth="1"/>
    <col min="7172" max="7172" width="11.33203125" style="346" customWidth="1"/>
    <col min="7173" max="7173" width="10.109375" style="346" customWidth="1"/>
    <col min="7174" max="7174" width="11.77734375" style="346" customWidth="1"/>
    <col min="7175" max="7175" width="18.109375" style="346" customWidth="1"/>
    <col min="7176" max="7419" width="9" style="346"/>
    <col min="7420" max="7420" width="22.33203125" style="346" customWidth="1"/>
    <col min="7421" max="7421" width="1.77734375" style="346" customWidth="1"/>
    <col min="7422" max="7422" width="15.44140625" style="346" customWidth="1"/>
    <col min="7423" max="7423" width="1.77734375" style="346" customWidth="1"/>
    <col min="7424" max="7424" width="17" style="346" customWidth="1"/>
    <col min="7425" max="7425" width="1.44140625" style="346" customWidth="1"/>
    <col min="7426" max="7426" width="9.44140625" style="346" customWidth="1"/>
    <col min="7427" max="7427" width="2" style="346" customWidth="1"/>
    <col min="7428" max="7428" width="11.33203125" style="346" customWidth="1"/>
    <col min="7429" max="7429" width="10.109375" style="346" customWidth="1"/>
    <col min="7430" max="7430" width="11.77734375" style="346" customWidth="1"/>
    <col min="7431" max="7431" width="18.109375" style="346" customWidth="1"/>
    <col min="7432" max="7675" width="9" style="346"/>
    <col min="7676" max="7676" width="22.33203125" style="346" customWidth="1"/>
    <col min="7677" max="7677" width="1.77734375" style="346" customWidth="1"/>
    <col min="7678" max="7678" width="15.44140625" style="346" customWidth="1"/>
    <col min="7679" max="7679" width="1.77734375" style="346" customWidth="1"/>
    <col min="7680" max="7680" width="17" style="346" customWidth="1"/>
    <col min="7681" max="7681" width="1.44140625" style="346" customWidth="1"/>
    <col min="7682" max="7682" width="9.44140625" style="346" customWidth="1"/>
    <col min="7683" max="7683" width="2" style="346" customWidth="1"/>
    <col min="7684" max="7684" width="11.33203125" style="346" customWidth="1"/>
    <col min="7685" max="7685" width="10.109375" style="346" customWidth="1"/>
    <col min="7686" max="7686" width="11.77734375" style="346" customWidth="1"/>
    <col min="7687" max="7687" width="18.109375" style="346" customWidth="1"/>
    <col min="7688" max="7931" width="9" style="346"/>
    <col min="7932" max="7932" width="22.33203125" style="346" customWidth="1"/>
    <col min="7933" max="7933" width="1.77734375" style="346" customWidth="1"/>
    <col min="7934" max="7934" width="15.44140625" style="346" customWidth="1"/>
    <col min="7935" max="7935" width="1.77734375" style="346" customWidth="1"/>
    <col min="7936" max="7936" width="17" style="346" customWidth="1"/>
    <col min="7937" max="7937" width="1.44140625" style="346" customWidth="1"/>
    <col min="7938" max="7938" width="9.44140625" style="346" customWidth="1"/>
    <col min="7939" max="7939" width="2" style="346" customWidth="1"/>
    <col min="7940" max="7940" width="11.33203125" style="346" customWidth="1"/>
    <col min="7941" max="7941" width="10.109375" style="346" customWidth="1"/>
    <col min="7942" max="7942" width="11.77734375" style="346" customWidth="1"/>
    <col min="7943" max="7943" width="18.109375" style="346" customWidth="1"/>
    <col min="7944" max="8187" width="9" style="346"/>
    <col min="8188" max="8188" width="22.33203125" style="346" customWidth="1"/>
    <col min="8189" max="8189" width="1.77734375" style="346" customWidth="1"/>
    <col min="8190" max="8190" width="15.44140625" style="346" customWidth="1"/>
    <col min="8191" max="8191" width="1.77734375" style="346" customWidth="1"/>
    <col min="8192" max="8192" width="17" style="346" customWidth="1"/>
    <col min="8193" max="8193" width="1.44140625" style="346" customWidth="1"/>
    <col min="8194" max="8194" width="9.44140625" style="346" customWidth="1"/>
    <col min="8195" max="8195" width="2" style="346" customWidth="1"/>
    <col min="8196" max="8196" width="11.33203125" style="346" customWidth="1"/>
    <col min="8197" max="8197" width="10.109375" style="346" customWidth="1"/>
    <col min="8198" max="8198" width="11.77734375" style="346" customWidth="1"/>
    <col min="8199" max="8199" width="18.109375" style="346" customWidth="1"/>
    <col min="8200" max="8443" width="9" style="346"/>
    <col min="8444" max="8444" width="22.33203125" style="346" customWidth="1"/>
    <col min="8445" max="8445" width="1.77734375" style="346" customWidth="1"/>
    <col min="8446" max="8446" width="15.44140625" style="346" customWidth="1"/>
    <col min="8447" max="8447" width="1.77734375" style="346" customWidth="1"/>
    <col min="8448" max="8448" width="17" style="346" customWidth="1"/>
    <col min="8449" max="8449" width="1.44140625" style="346" customWidth="1"/>
    <col min="8450" max="8450" width="9.44140625" style="346" customWidth="1"/>
    <col min="8451" max="8451" width="2" style="346" customWidth="1"/>
    <col min="8452" max="8452" width="11.33203125" style="346" customWidth="1"/>
    <col min="8453" max="8453" width="10.109375" style="346" customWidth="1"/>
    <col min="8454" max="8454" width="11.77734375" style="346" customWidth="1"/>
    <col min="8455" max="8455" width="18.109375" style="346" customWidth="1"/>
    <col min="8456" max="8699" width="9" style="346"/>
    <col min="8700" max="8700" width="22.33203125" style="346" customWidth="1"/>
    <col min="8701" max="8701" width="1.77734375" style="346" customWidth="1"/>
    <col min="8702" max="8702" width="15.44140625" style="346" customWidth="1"/>
    <col min="8703" max="8703" width="1.77734375" style="346" customWidth="1"/>
    <col min="8704" max="8704" width="17" style="346" customWidth="1"/>
    <col min="8705" max="8705" width="1.44140625" style="346" customWidth="1"/>
    <col min="8706" max="8706" width="9.44140625" style="346" customWidth="1"/>
    <col min="8707" max="8707" width="2" style="346" customWidth="1"/>
    <col min="8708" max="8708" width="11.33203125" style="346" customWidth="1"/>
    <col min="8709" max="8709" width="10.109375" style="346" customWidth="1"/>
    <col min="8710" max="8710" width="11.77734375" style="346" customWidth="1"/>
    <col min="8711" max="8711" width="18.109375" style="346" customWidth="1"/>
    <col min="8712" max="8955" width="9" style="346"/>
    <col min="8956" max="8956" width="22.33203125" style="346" customWidth="1"/>
    <col min="8957" max="8957" width="1.77734375" style="346" customWidth="1"/>
    <col min="8958" max="8958" width="15.44140625" style="346" customWidth="1"/>
    <col min="8959" max="8959" width="1.77734375" style="346" customWidth="1"/>
    <col min="8960" max="8960" width="17" style="346" customWidth="1"/>
    <col min="8961" max="8961" width="1.44140625" style="346" customWidth="1"/>
    <col min="8962" max="8962" width="9.44140625" style="346" customWidth="1"/>
    <col min="8963" max="8963" width="2" style="346" customWidth="1"/>
    <col min="8964" max="8964" width="11.33203125" style="346" customWidth="1"/>
    <col min="8965" max="8965" width="10.109375" style="346" customWidth="1"/>
    <col min="8966" max="8966" width="11.77734375" style="346" customWidth="1"/>
    <col min="8967" max="8967" width="18.109375" style="346" customWidth="1"/>
    <col min="8968" max="9211" width="9" style="346"/>
    <col min="9212" max="9212" width="22.33203125" style="346" customWidth="1"/>
    <col min="9213" max="9213" width="1.77734375" style="346" customWidth="1"/>
    <col min="9214" max="9214" width="15.44140625" style="346" customWidth="1"/>
    <col min="9215" max="9215" width="1.77734375" style="346" customWidth="1"/>
    <col min="9216" max="9216" width="17" style="346" customWidth="1"/>
    <col min="9217" max="9217" width="1.44140625" style="346" customWidth="1"/>
    <col min="9218" max="9218" width="9.44140625" style="346" customWidth="1"/>
    <col min="9219" max="9219" width="2" style="346" customWidth="1"/>
    <col min="9220" max="9220" width="11.33203125" style="346" customWidth="1"/>
    <col min="9221" max="9221" width="10.109375" style="346" customWidth="1"/>
    <col min="9222" max="9222" width="11.77734375" style="346" customWidth="1"/>
    <col min="9223" max="9223" width="18.109375" style="346" customWidth="1"/>
    <col min="9224" max="9467" width="9" style="346"/>
    <col min="9468" max="9468" width="22.33203125" style="346" customWidth="1"/>
    <col min="9469" max="9469" width="1.77734375" style="346" customWidth="1"/>
    <col min="9470" max="9470" width="15.44140625" style="346" customWidth="1"/>
    <col min="9471" max="9471" width="1.77734375" style="346" customWidth="1"/>
    <col min="9472" max="9472" width="17" style="346" customWidth="1"/>
    <col min="9473" max="9473" width="1.44140625" style="346" customWidth="1"/>
    <col min="9474" max="9474" width="9.44140625" style="346" customWidth="1"/>
    <col min="9475" max="9475" width="2" style="346" customWidth="1"/>
    <col min="9476" max="9476" width="11.33203125" style="346" customWidth="1"/>
    <col min="9477" max="9477" width="10.109375" style="346" customWidth="1"/>
    <col min="9478" max="9478" width="11.77734375" style="346" customWidth="1"/>
    <col min="9479" max="9479" width="18.109375" style="346" customWidth="1"/>
    <col min="9480" max="9723" width="9" style="346"/>
    <col min="9724" max="9724" width="22.33203125" style="346" customWidth="1"/>
    <col min="9725" max="9725" width="1.77734375" style="346" customWidth="1"/>
    <col min="9726" max="9726" width="15.44140625" style="346" customWidth="1"/>
    <col min="9727" max="9727" width="1.77734375" style="346" customWidth="1"/>
    <col min="9728" max="9728" width="17" style="346" customWidth="1"/>
    <col min="9729" max="9729" width="1.44140625" style="346" customWidth="1"/>
    <col min="9730" max="9730" width="9.44140625" style="346" customWidth="1"/>
    <col min="9731" max="9731" width="2" style="346" customWidth="1"/>
    <col min="9732" max="9732" width="11.33203125" style="346" customWidth="1"/>
    <col min="9733" max="9733" width="10.109375" style="346" customWidth="1"/>
    <col min="9734" max="9734" width="11.77734375" style="346" customWidth="1"/>
    <col min="9735" max="9735" width="18.109375" style="346" customWidth="1"/>
    <col min="9736" max="9979" width="9" style="346"/>
    <col min="9980" max="9980" width="22.33203125" style="346" customWidth="1"/>
    <col min="9981" max="9981" width="1.77734375" style="346" customWidth="1"/>
    <col min="9982" max="9982" width="15.44140625" style="346" customWidth="1"/>
    <col min="9983" max="9983" width="1.77734375" style="346" customWidth="1"/>
    <col min="9984" max="9984" width="17" style="346" customWidth="1"/>
    <col min="9985" max="9985" width="1.44140625" style="346" customWidth="1"/>
    <col min="9986" max="9986" width="9.44140625" style="346" customWidth="1"/>
    <col min="9987" max="9987" width="2" style="346" customWidth="1"/>
    <col min="9988" max="9988" width="11.33203125" style="346" customWidth="1"/>
    <col min="9989" max="9989" width="10.109375" style="346" customWidth="1"/>
    <col min="9990" max="9990" width="11.77734375" style="346" customWidth="1"/>
    <col min="9991" max="9991" width="18.109375" style="346" customWidth="1"/>
    <col min="9992" max="10235" width="9" style="346"/>
    <col min="10236" max="10236" width="22.33203125" style="346" customWidth="1"/>
    <col min="10237" max="10237" width="1.77734375" style="346" customWidth="1"/>
    <col min="10238" max="10238" width="15.44140625" style="346" customWidth="1"/>
    <col min="10239" max="10239" width="1.77734375" style="346" customWidth="1"/>
    <col min="10240" max="10240" width="17" style="346" customWidth="1"/>
    <col min="10241" max="10241" width="1.44140625" style="346" customWidth="1"/>
    <col min="10242" max="10242" width="9.44140625" style="346" customWidth="1"/>
    <col min="10243" max="10243" width="2" style="346" customWidth="1"/>
    <col min="10244" max="10244" width="11.33203125" style="346" customWidth="1"/>
    <col min="10245" max="10245" width="10.109375" style="346" customWidth="1"/>
    <col min="10246" max="10246" width="11.77734375" style="346" customWidth="1"/>
    <col min="10247" max="10247" width="18.109375" style="346" customWidth="1"/>
    <col min="10248" max="10491" width="9" style="346"/>
    <col min="10492" max="10492" width="22.33203125" style="346" customWidth="1"/>
    <col min="10493" max="10493" width="1.77734375" style="346" customWidth="1"/>
    <col min="10494" max="10494" width="15.44140625" style="346" customWidth="1"/>
    <col min="10495" max="10495" width="1.77734375" style="346" customWidth="1"/>
    <col min="10496" max="10496" width="17" style="346" customWidth="1"/>
    <col min="10497" max="10497" width="1.44140625" style="346" customWidth="1"/>
    <col min="10498" max="10498" width="9.44140625" style="346" customWidth="1"/>
    <col min="10499" max="10499" width="2" style="346" customWidth="1"/>
    <col min="10500" max="10500" width="11.33203125" style="346" customWidth="1"/>
    <col min="10501" max="10501" width="10.109375" style="346" customWidth="1"/>
    <col min="10502" max="10502" width="11.77734375" style="346" customWidth="1"/>
    <col min="10503" max="10503" width="18.109375" style="346" customWidth="1"/>
    <col min="10504" max="10747" width="9" style="346"/>
    <col min="10748" max="10748" width="22.33203125" style="346" customWidth="1"/>
    <col min="10749" max="10749" width="1.77734375" style="346" customWidth="1"/>
    <col min="10750" max="10750" width="15.44140625" style="346" customWidth="1"/>
    <col min="10751" max="10751" width="1.77734375" style="346" customWidth="1"/>
    <col min="10752" max="10752" width="17" style="346" customWidth="1"/>
    <col min="10753" max="10753" width="1.44140625" style="346" customWidth="1"/>
    <col min="10754" max="10754" width="9.44140625" style="346" customWidth="1"/>
    <col min="10755" max="10755" width="2" style="346" customWidth="1"/>
    <col min="10756" max="10756" width="11.33203125" style="346" customWidth="1"/>
    <col min="10757" max="10757" width="10.109375" style="346" customWidth="1"/>
    <col min="10758" max="10758" width="11.77734375" style="346" customWidth="1"/>
    <col min="10759" max="10759" width="18.109375" style="346" customWidth="1"/>
    <col min="10760" max="11003" width="9" style="346"/>
    <col min="11004" max="11004" width="22.33203125" style="346" customWidth="1"/>
    <col min="11005" max="11005" width="1.77734375" style="346" customWidth="1"/>
    <col min="11006" max="11006" width="15.44140625" style="346" customWidth="1"/>
    <col min="11007" max="11007" width="1.77734375" style="346" customWidth="1"/>
    <col min="11008" max="11008" width="17" style="346" customWidth="1"/>
    <col min="11009" max="11009" width="1.44140625" style="346" customWidth="1"/>
    <col min="11010" max="11010" width="9.44140625" style="346" customWidth="1"/>
    <col min="11011" max="11011" width="2" style="346" customWidth="1"/>
    <col min="11012" max="11012" width="11.33203125" style="346" customWidth="1"/>
    <col min="11013" max="11013" width="10.109375" style="346" customWidth="1"/>
    <col min="11014" max="11014" width="11.77734375" style="346" customWidth="1"/>
    <col min="11015" max="11015" width="18.109375" style="346" customWidth="1"/>
    <col min="11016" max="11259" width="9" style="346"/>
    <col min="11260" max="11260" width="22.33203125" style="346" customWidth="1"/>
    <col min="11261" max="11261" width="1.77734375" style="346" customWidth="1"/>
    <col min="11262" max="11262" width="15.44140625" style="346" customWidth="1"/>
    <col min="11263" max="11263" width="1.77734375" style="346" customWidth="1"/>
    <col min="11264" max="11264" width="17" style="346" customWidth="1"/>
    <col min="11265" max="11265" width="1.44140625" style="346" customWidth="1"/>
    <col min="11266" max="11266" width="9.44140625" style="346" customWidth="1"/>
    <col min="11267" max="11267" width="2" style="346" customWidth="1"/>
    <col min="11268" max="11268" width="11.33203125" style="346" customWidth="1"/>
    <col min="11269" max="11269" width="10.109375" style="346" customWidth="1"/>
    <col min="11270" max="11270" width="11.77734375" style="346" customWidth="1"/>
    <col min="11271" max="11271" width="18.109375" style="346" customWidth="1"/>
    <col min="11272" max="11515" width="9" style="346"/>
    <col min="11516" max="11516" width="22.33203125" style="346" customWidth="1"/>
    <col min="11517" max="11517" width="1.77734375" style="346" customWidth="1"/>
    <col min="11518" max="11518" width="15.44140625" style="346" customWidth="1"/>
    <col min="11519" max="11519" width="1.77734375" style="346" customWidth="1"/>
    <col min="11520" max="11520" width="17" style="346" customWidth="1"/>
    <col min="11521" max="11521" width="1.44140625" style="346" customWidth="1"/>
    <col min="11522" max="11522" width="9.44140625" style="346" customWidth="1"/>
    <col min="11523" max="11523" width="2" style="346" customWidth="1"/>
    <col min="11524" max="11524" width="11.33203125" style="346" customWidth="1"/>
    <col min="11525" max="11525" width="10.109375" style="346" customWidth="1"/>
    <col min="11526" max="11526" width="11.77734375" style="346" customWidth="1"/>
    <col min="11527" max="11527" width="18.109375" style="346" customWidth="1"/>
    <col min="11528" max="11771" width="9" style="346"/>
    <col min="11772" max="11772" width="22.33203125" style="346" customWidth="1"/>
    <col min="11773" max="11773" width="1.77734375" style="346" customWidth="1"/>
    <col min="11774" max="11774" width="15.44140625" style="346" customWidth="1"/>
    <col min="11775" max="11775" width="1.77734375" style="346" customWidth="1"/>
    <col min="11776" max="11776" width="17" style="346" customWidth="1"/>
    <col min="11777" max="11777" width="1.44140625" style="346" customWidth="1"/>
    <col min="11778" max="11778" width="9.44140625" style="346" customWidth="1"/>
    <col min="11779" max="11779" width="2" style="346" customWidth="1"/>
    <col min="11780" max="11780" width="11.33203125" style="346" customWidth="1"/>
    <col min="11781" max="11781" width="10.109375" style="346" customWidth="1"/>
    <col min="11782" max="11782" width="11.77734375" style="346" customWidth="1"/>
    <col min="11783" max="11783" width="18.109375" style="346" customWidth="1"/>
    <col min="11784" max="12027" width="9" style="346"/>
    <col min="12028" max="12028" width="22.33203125" style="346" customWidth="1"/>
    <col min="12029" max="12029" width="1.77734375" style="346" customWidth="1"/>
    <col min="12030" max="12030" width="15.44140625" style="346" customWidth="1"/>
    <col min="12031" max="12031" width="1.77734375" style="346" customWidth="1"/>
    <col min="12032" max="12032" width="17" style="346" customWidth="1"/>
    <col min="12033" max="12033" width="1.44140625" style="346" customWidth="1"/>
    <col min="12034" max="12034" width="9.44140625" style="346" customWidth="1"/>
    <col min="12035" max="12035" width="2" style="346" customWidth="1"/>
    <col min="12036" max="12036" width="11.33203125" style="346" customWidth="1"/>
    <col min="12037" max="12037" width="10.109375" style="346" customWidth="1"/>
    <col min="12038" max="12038" width="11.77734375" style="346" customWidth="1"/>
    <col min="12039" max="12039" width="18.109375" style="346" customWidth="1"/>
    <col min="12040" max="12283" width="9" style="346"/>
    <col min="12284" max="12284" width="22.33203125" style="346" customWidth="1"/>
    <col min="12285" max="12285" width="1.77734375" style="346" customWidth="1"/>
    <col min="12286" max="12286" width="15.44140625" style="346" customWidth="1"/>
    <col min="12287" max="12287" width="1.77734375" style="346" customWidth="1"/>
    <col min="12288" max="12288" width="17" style="346" customWidth="1"/>
    <col min="12289" max="12289" width="1.44140625" style="346" customWidth="1"/>
    <col min="12290" max="12290" width="9.44140625" style="346" customWidth="1"/>
    <col min="12291" max="12291" width="2" style="346" customWidth="1"/>
    <col min="12292" max="12292" width="11.33203125" style="346" customWidth="1"/>
    <col min="12293" max="12293" width="10.109375" style="346" customWidth="1"/>
    <col min="12294" max="12294" width="11.77734375" style="346" customWidth="1"/>
    <col min="12295" max="12295" width="18.109375" style="346" customWidth="1"/>
    <col min="12296" max="12539" width="9" style="346"/>
    <col min="12540" max="12540" width="22.33203125" style="346" customWidth="1"/>
    <col min="12541" max="12541" width="1.77734375" style="346" customWidth="1"/>
    <col min="12542" max="12542" width="15.44140625" style="346" customWidth="1"/>
    <col min="12543" max="12543" width="1.77734375" style="346" customWidth="1"/>
    <col min="12544" max="12544" width="17" style="346" customWidth="1"/>
    <col min="12545" max="12545" width="1.44140625" style="346" customWidth="1"/>
    <col min="12546" max="12546" width="9.44140625" style="346" customWidth="1"/>
    <col min="12547" max="12547" width="2" style="346" customWidth="1"/>
    <col min="12548" max="12548" width="11.33203125" style="346" customWidth="1"/>
    <col min="12549" max="12549" width="10.109375" style="346" customWidth="1"/>
    <col min="12550" max="12550" width="11.77734375" style="346" customWidth="1"/>
    <col min="12551" max="12551" width="18.109375" style="346" customWidth="1"/>
    <col min="12552" max="12795" width="9" style="346"/>
    <col min="12796" max="12796" width="22.33203125" style="346" customWidth="1"/>
    <col min="12797" max="12797" width="1.77734375" style="346" customWidth="1"/>
    <col min="12798" max="12798" width="15.44140625" style="346" customWidth="1"/>
    <col min="12799" max="12799" width="1.77734375" style="346" customWidth="1"/>
    <col min="12800" max="12800" width="17" style="346" customWidth="1"/>
    <col min="12801" max="12801" width="1.44140625" style="346" customWidth="1"/>
    <col min="12802" max="12802" width="9.44140625" style="346" customWidth="1"/>
    <col min="12803" max="12803" width="2" style="346" customWidth="1"/>
    <col min="12804" max="12804" width="11.33203125" style="346" customWidth="1"/>
    <col min="12805" max="12805" width="10.109375" style="346" customWidth="1"/>
    <col min="12806" max="12806" width="11.77734375" style="346" customWidth="1"/>
    <col min="12807" max="12807" width="18.109375" style="346" customWidth="1"/>
    <col min="12808" max="13051" width="9" style="346"/>
    <col min="13052" max="13052" width="22.33203125" style="346" customWidth="1"/>
    <col min="13053" max="13053" width="1.77734375" style="346" customWidth="1"/>
    <col min="13054" max="13054" width="15.44140625" style="346" customWidth="1"/>
    <col min="13055" max="13055" width="1.77734375" style="346" customWidth="1"/>
    <col min="13056" max="13056" width="17" style="346" customWidth="1"/>
    <col min="13057" max="13057" width="1.44140625" style="346" customWidth="1"/>
    <col min="13058" max="13058" width="9.44140625" style="346" customWidth="1"/>
    <col min="13059" max="13059" width="2" style="346" customWidth="1"/>
    <col min="13060" max="13060" width="11.33203125" style="346" customWidth="1"/>
    <col min="13061" max="13061" width="10.109375" style="346" customWidth="1"/>
    <col min="13062" max="13062" width="11.77734375" style="346" customWidth="1"/>
    <col min="13063" max="13063" width="18.109375" style="346" customWidth="1"/>
    <col min="13064" max="13307" width="9" style="346"/>
    <col min="13308" max="13308" width="22.33203125" style="346" customWidth="1"/>
    <col min="13309" max="13309" width="1.77734375" style="346" customWidth="1"/>
    <col min="13310" max="13310" width="15.44140625" style="346" customWidth="1"/>
    <col min="13311" max="13311" width="1.77734375" style="346" customWidth="1"/>
    <col min="13312" max="13312" width="17" style="346" customWidth="1"/>
    <col min="13313" max="13313" width="1.44140625" style="346" customWidth="1"/>
    <col min="13314" max="13314" width="9.44140625" style="346" customWidth="1"/>
    <col min="13315" max="13315" width="2" style="346" customWidth="1"/>
    <col min="13316" max="13316" width="11.33203125" style="346" customWidth="1"/>
    <col min="13317" max="13317" width="10.109375" style="346" customWidth="1"/>
    <col min="13318" max="13318" width="11.77734375" style="346" customWidth="1"/>
    <col min="13319" max="13319" width="18.109375" style="346" customWidth="1"/>
    <col min="13320" max="13563" width="9" style="346"/>
    <col min="13564" max="13564" width="22.33203125" style="346" customWidth="1"/>
    <col min="13565" max="13565" width="1.77734375" style="346" customWidth="1"/>
    <col min="13566" max="13566" width="15.44140625" style="346" customWidth="1"/>
    <col min="13567" max="13567" width="1.77734375" style="346" customWidth="1"/>
    <col min="13568" max="13568" width="17" style="346" customWidth="1"/>
    <col min="13569" max="13569" width="1.44140625" style="346" customWidth="1"/>
    <col min="13570" max="13570" width="9.44140625" style="346" customWidth="1"/>
    <col min="13571" max="13571" width="2" style="346" customWidth="1"/>
    <col min="13572" max="13572" width="11.33203125" style="346" customWidth="1"/>
    <col min="13573" max="13573" width="10.109375" style="346" customWidth="1"/>
    <col min="13574" max="13574" width="11.77734375" style="346" customWidth="1"/>
    <col min="13575" max="13575" width="18.109375" style="346" customWidth="1"/>
    <col min="13576" max="13819" width="9" style="346"/>
    <col min="13820" max="13820" width="22.33203125" style="346" customWidth="1"/>
    <col min="13821" max="13821" width="1.77734375" style="346" customWidth="1"/>
    <col min="13822" max="13822" width="15.44140625" style="346" customWidth="1"/>
    <col min="13823" max="13823" width="1.77734375" style="346" customWidth="1"/>
    <col min="13824" max="13824" width="17" style="346" customWidth="1"/>
    <col min="13825" max="13825" width="1.44140625" style="346" customWidth="1"/>
    <col min="13826" max="13826" width="9.44140625" style="346" customWidth="1"/>
    <col min="13827" max="13827" width="2" style="346" customWidth="1"/>
    <col min="13828" max="13828" width="11.33203125" style="346" customWidth="1"/>
    <col min="13829" max="13829" width="10.109375" style="346" customWidth="1"/>
    <col min="13830" max="13830" width="11.77734375" style="346" customWidth="1"/>
    <col min="13831" max="13831" width="18.109375" style="346" customWidth="1"/>
    <col min="13832" max="14075" width="9" style="346"/>
    <col min="14076" max="14076" width="22.33203125" style="346" customWidth="1"/>
    <col min="14077" max="14077" width="1.77734375" style="346" customWidth="1"/>
    <col min="14078" max="14078" width="15.44140625" style="346" customWidth="1"/>
    <col min="14079" max="14079" width="1.77734375" style="346" customWidth="1"/>
    <col min="14080" max="14080" width="17" style="346" customWidth="1"/>
    <col min="14081" max="14081" width="1.44140625" style="346" customWidth="1"/>
    <col min="14082" max="14082" width="9.44140625" style="346" customWidth="1"/>
    <col min="14083" max="14083" width="2" style="346" customWidth="1"/>
    <col min="14084" max="14084" width="11.33203125" style="346" customWidth="1"/>
    <col min="14085" max="14085" width="10.109375" style="346" customWidth="1"/>
    <col min="14086" max="14086" width="11.77734375" style="346" customWidth="1"/>
    <col min="14087" max="14087" width="18.109375" style="346" customWidth="1"/>
    <col min="14088" max="14331" width="9" style="346"/>
    <col min="14332" max="14332" width="22.33203125" style="346" customWidth="1"/>
    <col min="14333" max="14333" width="1.77734375" style="346" customWidth="1"/>
    <col min="14334" max="14334" width="15.44140625" style="346" customWidth="1"/>
    <col min="14335" max="14335" width="1.77734375" style="346" customWidth="1"/>
    <col min="14336" max="14336" width="17" style="346" customWidth="1"/>
    <col min="14337" max="14337" width="1.44140625" style="346" customWidth="1"/>
    <col min="14338" max="14338" width="9.44140625" style="346" customWidth="1"/>
    <col min="14339" max="14339" width="2" style="346" customWidth="1"/>
    <col min="14340" max="14340" width="11.33203125" style="346" customWidth="1"/>
    <col min="14341" max="14341" width="10.109375" style="346" customWidth="1"/>
    <col min="14342" max="14342" width="11.77734375" style="346" customWidth="1"/>
    <col min="14343" max="14343" width="18.109375" style="346" customWidth="1"/>
    <col min="14344" max="14587" width="9" style="346"/>
    <col min="14588" max="14588" width="22.33203125" style="346" customWidth="1"/>
    <col min="14589" max="14589" width="1.77734375" style="346" customWidth="1"/>
    <col min="14590" max="14590" width="15.44140625" style="346" customWidth="1"/>
    <col min="14591" max="14591" width="1.77734375" style="346" customWidth="1"/>
    <col min="14592" max="14592" width="17" style="346" customWidth="1"/>
    <col min="14593" max="14593" width="1.44140625" style="346" customWidth="1"/>
    <col min="14594" max="14594" width="9.44140625" style="346" customWidth="1"/>
    <col min="14595" max="14595" width="2" style="346" customWidth="1"/>
    <col min="14596" max="14596" width="11.33203125" style="346" customWidth="1"/>
    <col min="14597" max="14597" width="10.109375" style="346" customWidth="1"/>
    <col min="14598" max="14598" width="11.77734375" style="346" customWidth="1"/>
    <col min="14599" max="14599" width="18.109375" style="346" customWidth="1"/>
    <col min="14600" max="14843" width="9" style="346"/>
    <col min="14844" max="14844" width="22.33203125" style="346" customWidth="1"/>
    <col min="14845" max="14845" width="1.77734375" style="346" customWidth="1"/>
    <col min="14846" max="14846" width="15.44140625" style="346" customWidth="1"/>
    <col min="14847" max="14847" width="1.77734375" style="346" customWidth="1"/>
    <col min="14848" max="14848" width="17" style="346" customWidth="1"/>
    <col min="14849" max="14849" width="1.44140625" style="346" customWidth="1"/>
    <col min="14850" max="14850" width="9.44140625" style="346" customWidth="1"/>
    <col min="14851" max="14851" width="2" style="346" customWidth="1"/>
    <col min="14852" max="14852" width="11.33203125" style="346" customWidth="1"/>
    <col min="14853" max="14853" width="10.109375" style="346" customWidth="1"/>
    <col min="14854" max="14854" width="11.77734375" style="346" customWidth="1"/>
    <col min="14855" max="14855" width="18.109375" style="346" customWidth="1"/>
    <col min="14856" max="15099" width="9" style="346"/>
    <col min="15100" max="15100" width="22.33203125" style="346" customWidth="1"/>
    <col min="15101" max="15101" width="1.77734375" style="346" customWidth="1"/>
    <col min="15102" max="15102" width="15.44140625" style="346" customWidth="1"/>
    <col min="15103" max="15103" width="1.77734375" style="346" customWidth="1"/>
    <col min="15104" max="15104" width="17" style="346" customWidth="1"/>
    <col min="15105" max="15105" width="1.44140625" style="346" customWidth="1"/>
    <col min="15106" max="15106" width="9.44140625" style="346" customWidth="1"/>
    <col min="15107" max="15107" width="2" style="346" customWidth="1"/>
    <col min="15108" max="15108" width="11.33203125" style="346" customWidth="1"/>
    <col min="15109" max="15109" width="10.109375" style="346" customWidth="1"/>
    <col min="15110" max="15110" width="11.77734375" style="346" customWidth="1"/>
    <col min="15111" max="15111" width="18.109375" style="346" customWidth="1"/>
    <col min="15112" max="15355" width="9" style="346"/>
    <col min="15356" max="15356" width="22.33203125" style="346" customWidth="1"/>
    <col min="15357" max="15357" width="1.77734375" style="346" customWidth="1"/>
    <col min="15358" max="15358" width="15.44140625" style="346" customWidth="1"/>
    <col min="15359" max="15359" width="1.77734375" style="346" customWidth="1"/>
    <col min="15360" max="15360" width="17" style="346" customWidth="1"/>
    <col min="15361" max="15361" width="1.44140625" style="346" customWidth="1"/>
    <col min="15362" max="15362" width="9.44140625" style="346" customWidth="1"/>
    <col min="15363" max="15363" width="2" style="346" customWidth="1"/>
    <col min="15364" max="15364" width="11.33203125" style="346" customWidth="1"/>
    <col min="15365" max="15365" width="10.109375" style="346" customWidth="1"/>
    <col min="15366" max="15366" width="11.77734375" style="346" customWidth="1"/>
    <col min="15367" max="15367" width="18.109375" style="346" customWidth="1"/>
    <col min="15368" max="15611" width="9" style="346"/>
    <col min="15612" max="15612" width="22.33203125" style="346" customWidth="1"/>
    <col min="15613" max="15613" width="1.77734375" style="346" customWidth="1"/>
    <col min="15614" max="15614" width="15.44140625" style="346" customWidth="1"/>
    <col min="15615" max="15615" width="1.77734375" style="346" customWidth="1"/>
    <col min="15616" max="15616" width="17" style="346" customWidth="1"/>
    <col min="15617" max="15617" width="1.44140625" style="346" customWidth="1"/>
    <col min="15618" max="15618" width="9.44140625" style="346" customWidth="1"/>
    <col min="15619" max="15619" width="2" style="346" customWidth="1"/>
    <col min="15620" max="15620" width="11.33203125" style="346" customWidth="1"/>
    <col min="15621" max="15621" width="10.109375" style="346" customWidth="1"/>
    <col min="15622" max="15622" width="11.77734375" style="346" customWidth="1"/>
    <col min="15623" max="15623" width="18.109375" style="346" customWidth="1"/>
    <col min="15624" max="15867" width="9" style="346"/>
    <col min="15868" max="15868" width="22.33203125" style="346" customWidth="1"/>
    <col min="15869" max="15869" width="1.77734375" style="346" customWidth="1"/>
    <col min="15870" max="15870" width="15.44140625" style="346" customWidth="1"/>
    <col min="15871" max="15871" width="1.77734375" style="346" customWidth="1"/>
    <col min="15872" max="15872" width="17" style="346" customWidth="1"/>
    <col min="15873" max="15873" width="1.44140625" style="346" customWidth="1"/>
    <col min="15874" max="15874" width="9.44140625" style="346" customWidth="1"/>
    <col min="15875" max="15875" width="2" style="346" customWidth="1"/>
    <col min="15876" max="15876" width="11.33203125" style="346" customWidth="1"/>
    <col min="15877" max="15877" width="10.109375" style="346" customWidth="1"/>
    <col min="15878" max="15878" width="11.77734375" style="346" customWidth="1"/>
    <col min="15879" max="15879" width="18.109375" style="346" customWidth="1"/>
    <col min="15880" max="16123" width="9" style="346"/>
    <col min="16124" max="16124" width="22.33203125" style="346" customWidth="1"/>
    <col min="16125" max="16125" width="1.77734375" style="346" customWidth="1"/>
    <col min="16126" max="16126" width="15.44140625" style="346" customWidth="1"/>
    <col min="16127" max="16127" width="1.77734375" style="346" customWidth="1"/>
    <col min="16128" max="16128" width="17" style="346" customWidth="1"/>
    <col min="16129" max="16129" width="1.44140625" style="346" customWidth="1"/>
    <col min="16130" max="16130" width="9.44140625" style="346" customWidth="1"/>
    <col min="16131" max="16131" width="2" style="346" customWidth="1"/>
    <col min="16132" max="16132" width="11.33203125" style="346" customWidth="1"/>
    <col min="16133" max="16133" width="10.109375" style="346" customWidth="1"/>
    <col min="16134" max="16134" width="11.77734375" style="346" customWidth="1"/>
    <col min="16135" max="16135" width="18.109375" style="346" customWidth="1"/>
    <col min="16136" max="16384" width="9" style="346"/>
  </cols>
  <sheetData>
    <row r="1" spans="1:23" s="56" customFormat="1" ht="15.6">
      <c r="A1" s="56" t="s">
        <v>980</v>
      </c>
      <c r="E1" s="600"/>
      <c r="F1" s="600"/>
      <c r="G1" s="600"/>
      <c r="H1" s="600"/>
      <c r="I1" s="600"/>
      <c r="J1" s="600"/>
      <c r="K1" s="600"/>
      <c r="L1" s="600"/>
      <c r="M1" s="600"/>
      <c r="N1" s="600"/>
      <c r="O1" s="600"/>
      <c r="P1" s="687"/>
    </row>
    <row r="2" spans="1:23" s="25" customFormat="1" ht="17.399999999999999">
      <c r="B2" s="363"/>
      <c r="D2" s="38"/>
      <c r="E2" s="688"/>
      <c r="F2" s="688"/>
      <c r="G2" s="688"/>
      <c r="H2" s="688"/>
      <c r="I2" s="688"/>
      <c r="J2" s="688"/>
      <c r="K2" s="688"/>
      <c r="L2" s="688"/>
      <c r="M2" s="688"/>
      <c r="N2" s="688"/>
      <c r="O2" s="152"/>
      <c r="P2" s="688"/>
      <c r="Q2" s="38"/>
      <c r="R2" s="38"/>
      <c r="S2" s="38"/>
      <c r="T2" s="38"/>
      <c r="U2" s="38"/>
      <c r="V2" s="38"/>
      <c r="W2" s="38"/>
    </row>
    <row r="3" spans="1:23" s="25" customFormat="1" ht="17.399999999999999">
      <c r="A3" s="2058" t="s">
        <v>200</v>
      </c>
      <c r="B3" s="2058"/>
      <c r="C3" s="2058"/>
      <c r="D3" s="2058"/>
      <c r="E3" s="2058"/>
      <c r="F3" s="2058"/>
      <c r="G3" s="2058"/>
      <c r="H3" s="2058"/>
      <c r="I3" s="2058"/>
      <c r="J3" s="2058"/>
      <c r="K3" s="2058"/>
      <c r="L3" s="2058"/>
      <c r="M3" s="2058"/>
      <c r="N3" s="2058"/>
      <c r="O3" s="2058"/>
      <c r="P3" s="2058"/>
      <c r="Q3" s="38"/>
      <c r="R3" s="38"/>
      <c r="S3" s="38"/>
      <c r="T3" s="38"/>
      <c r="U3" s="38"/>
      <c r="V3" s="38"/>
      <c r="W3" s="38"/>
    </row>
    <row r="4" spans="1:23" s="25" customFormat="1" ht="17.399999999999999">
      <c r="A4" s="2058" t="s">
        <v>103</v>
      </c>
      <c r="B4" s="2058"/>
      <c r="C4" s="2058"/>
      <c r="D4" s="2058"/>
      <c r="E4" s="2058"/>
      <c r="F4" s="2058"/>
      <c r="G4" s="2058"/>
      <c r="H4" s="2058"/>
      <c r="I4" s="2058"/>
      <c r="J4" s="2058"/>
      <c r="K4" s="2058"/>
      <c r="L4" s="2058"/>
      <c r="M4" s="2058"/>
      <c r="N4" s="2058"/>
      <c r="O4" s="2058"/>
      <c r="P4" s="2058"/>
      <c r="Q4" s="38"/>
      <c r="R4" s="38"/>
      <c r="S4" s="38"/>
      <c r="T4" s="38"/>
      <c r="U4" s="38"/>
      <c r="V4" s="38"/>
      <c r="W4" s="38"/>
    </row>
    <row r="5" spans="1:23" s="25" customFormat="1" ht="17.399999999999999">
      <c r="A5" s="2059" t="str">
        <f>SUMMARY!A7</f>
        <v>YEAR ENDING DECEMBER 31, 2021</v>
      </c>
      <c r="B5" s="2059"/>
      <c r="C5" s="2059"/>
      <c r="D5" s="2059"/>
      <c r="E5" s="2059"/>
      <c r="F5" s="2059"/>
      <c r="G5" s="2059"/>
      <c r="H5" s="2059"/>
      <c r="I5" s="2059"/>
      <c r="J5" s="2059"/>
      <c r="K5" s="2059"/>
      <c r="L5" s="2059"/>
      <c r="M5" s="2059"/>
      <c r="N5" s="2059"/>
      <c r="O5" s="2059"/>
      <c r="P5" s="2059"/>
    </row>
    <row r="6" spans="1:23" s="25" customFormat="1" ht="17.399999999999999">
      <c r="E6" s="152"/>
      <c r="F6" s="152"/>
      <c r="G6" s="152"/>
      <c r="H6" s="152"/>
      <c r="I6" s="152"/>
      <c r="J6" s="152"/>
      <c r="K6" s="152"/>
      <c r="L6" s="152"/>
      <c r="M6" s="152"/>
      <c r="N6" s="152"/>
      <c r="O6" s="152"/>
      <c r="P6" s="152"/>
      <c r="Q6" s="63"/>
      <c r="R6" s="63"/>
      <c r="S6" s="63"/>
      <c r="T6" s="63"/>
      <c r="U6" s="63"/>
      <c r="V6" s="63"/>
      <c r="W6" s="63"/>
    </row>
    <row r="7" spans="1:23" s="56" customFormat="1" ht="17.399999999999999">
      <c r="A7" s="2060" t="s">
        <v>981</v>
      </c>
      <c r="B7" s="2060"/>
      <c r="C7" s="2060"/>
      <c r="D7" s="2060"/>
      <c r="E7" s="2060"/>
      <c r="F7" s="2060"/>
      <c r="G7" s="2060"/>
      <c r="H7" s="2060"/>
      <c r="I7" s="2060"/>
      <c r="J7" s="2060"/>
      <c r="K7" s="2060"/>
      <c r="L7" s="2060"/>
      <c r="M7" s="2060"/>
      <c r="N7" s="2060"/>
      <c r="O7" s="2060"/>
      <c r="P7" s="2060"/>
    </row>
    <row r="8" spans="1:23" s="56" customFormat="1" ht="17.399999999999999">
      <c r="A8" s="2058" t="s">
        <v>288</v>
      </c>
      <c r="B8" s="2058"/>
      <c r="C8" s="2058"/>
      <c r="D8" s="2058"/>
      <c r="E8" s="2058"/>
      <c r="F8" s="2058"/>
      <c r="G8" s="2058"/>
      <c r="H8" s="2058"/>
      <c r="I8" s="2058"/>
      <c r="J8" s="2058"/>
      <c r="K8" s="2058"/>
      <c r="L8" s="2058"/>
      <c r="M8" s="2058"/>
      <c r="N8" s="2058"/>
      <c r="O8" s="2058"/>
      <c r="P8" s="2058"/>
    </row>
    <row r="10" spans="1:23">
      <c r="C10" s="633" t="s">
        <v>192</v>
      </c>
      <c r="E10" s="689" t="s">
        <v>193</v>
      </c>
      <c r="G10" s="689" t="s">
        <v>194</v>
      </c>
      <c r="I10" s="689" t="s">
        <v>195</v>
      </c>
      <c r="K10" s="689" t="s">
        <v>196</v>
      </c>
      <c r="M10" s="689" t="s">
        <v>371</v>
      </c>
      <c r="O10" s="689" t="s">
        <v>372</v>
      </c>
    </row>
    <row r="11" spans="1:23" ht="15.6">
      <c r="C11" s="56"/>
      <c r="D11" s="56"/>
      <c r="E11" s="690"/>
      <c r="F11" s="690"/>
      <c r="G11" s="690" t="s">
        <v>433</v>
      </c>
      <c r="H11" s="690"/>
      <c r="I11" s="690" t="s">
        <v>1152</v>
      </c>
      <c r="J11" s="690"/>
      <c r="K11" s="690" t="s">
        <v>1151</v>
      </c>
      <c r="L11" s="690"/>
      <c r="M11" s="690" t="s">
        <v>169</v>
      </c>
      <c r="N11" s="690"/>
      <c r="O11" s="690" t="s">
        <v>170</v>
      </c>
    </row>
    <row r="12" spans="1:23" ht="15.6">
      <c r="C12" s="348" t="s">
        <v>171</v>
      </c>
      <c r="D12" s="349"/>
      <c r="E12" s="691" t="s">
        <v>338</v>
      </c>
      <c r="F12" s="690"/>
      <c r="G12" s="691" t="s">
        <v>365</v>
      </c>
      <c r="H12" s="690"/>
      <c r="I12" s="691" t="s">
        <v>1126</v>
      </c>
      <c r="J12" s="690"/>
      <c r="K12" s="691" t="s">
        <v>365</v>
      </c>
      <c r="L12" s="690"/>
      <c r="M12" s="691" t="s">
        <v>366</v>
      </c>
      <c r="N12" s="690"/>
      <c r="O12" s="691" t="s">
        <v>169</v>
      </c>
    </row>
    <row r="14" spans="1:23">
      <c r="B14" s="347">
        <v>1</v>
      </c>
      <c r="C14" s="346" t="s">
        <v>173</v>
      </c>
      <c r="E14" s="239">
        <f>AVERAGE('WP-DB'!E31,'WP-DB'!F31)</f>
        <v>1605477500</v>
      </c>
      <c r="F14" s="602" t="s">
        <v>820</v>
      </c>
      <c r="G14" s="738">
        <f>IF($E$20&gt;0,E14/$E$20,0)</f>
        <v>0.25146576207684967</v>
      </c>
      <c r="I14" s="725">
        <v>0.5</v>
      </c>
      <c r="K14" s="725">
        <f>1-K18</f>
        <v>0.5</v>
      </c>
      <c r="M14" s="738">
        <f>E32</f>
        <v>4.0559341100642764E-2</v>
      </c>
      <c r="N14" s="602" t="s">
        <v>361</v>
      </c>
      <c r="O14" s="738">
        <f>K14*M14</f>
        <v>2.0279670550321382E-2</v>
      </c>
      <c r="R14" s="738"/>
    </row>
    <row r="15" spans="1:23">
      <c r="R15" s="1787"/>
    </row>
    <row r="16" spans="1:23">
      <c r="B16" s="347">
        <v>2</v>
      </c>
      <c r="C16" s="346" t="s">
        <v>174</v>
      </c>
      <c r="E16" s="602">
        <v>0</v>
      </c>
      <c r="G16" s="602">
        <f>IF($E$20&gt;0,E16/$E$20,0)</f>
        <v>0</v>
      </c>
      <c r="I16" s="602">
        <v>0</v>
      </c>
      <c r="K16" s="602">
        <f>I16</f>
        <v>0</v>
      </c>
      <c r="M16" s="602">
        <f>E37</f>
        <v>0</v>
      </c>
      <c r="N16" s="602" t="s">
        <v>362</v>
      </c>
      <c r="O16" s="602">
        <f>K16*M16</f>
        <v>0</v>
      </c>
    </row>
    <row r="17" spans="2:15" ht="15.6" thickBot="1"/>
    <row r="18" spans="2:15" ht="15.6" thickBot="1">
      <c r="B18" s="347">
        <v>3</v>
      </c>
      <c r="C18" s="346" t="s">
        <v>175</v>
      </c>
      <c r="E18" s="755">
        <f>+E24</f>
        <v>4779000000</v>
      </c>
      <c r="F18" s="602" t="s">
        <v>360</v>
      </c>
      <c r="G18" s="726">
        <f>IF($E$20&gt;0,E18/$E$20,0)</f>
        <v>0.74853423792315033</v>
      </c>
      <c r="I18" s="726">
        <v>0.5</v>
      </c>
      <c r="K18" s="726">
        <f>MIN(G18,I18)</f>
        <v>0.5</v>
      </c>
      <c r="L18" s="602" t="s">
        <v>363</v>
      </c>
      <c r="M18" s="693">
        <f>8.95%+0.5%</f>
        <v>9.4500000000000001E-2</v>
      </c>
      <c r="N18" s="602" t="s">
        <v>819</v>
      </c>
      <c r="O18" s="726">
        <f>K18*M18</f>
        <v>4.725E-2</v>
      </c>
    </row>
    <row r="19" spans="2:15">
      <c r="E19" s="239"/>
    </row>
    <row r="20" spans="2:15">
      <c r="B20" s="347">
        <v>4</v>
      </c>
      <c r="C20" s="346" t="s">
        <v>176</v>
      </c>
      <c r="E20" s="239">
        <f>SUM(E14:E18)</f>
        <v>6384477500</v>
      </c>
      <c r="G20" s="602">
        <f>SUM(G14:G18)</f>
        <v>1</v>
      </c>
      <c r="I20" s="727">
        <f>SUM(I14:I18)</f>
        <v>1</v>
      </c>
      <c r="K20" s="727">
        <f>SUM(K14:K18)</f>
        <v>1</v>
      </c>
      <c r="O20" s="738">
        <f>SUM(O14:O18)</f>
        <v>6.7529670550321386E-2</v>
      </c>
    </row>
    <row r="22" spans="2:15">
      <c r="B22" s="347" t="s">
        <v>341</v>
      </c>
    </row>
    <row r="23" spans="2:15">
      <c r="C23" s="346" t="s">
        <v>367</v>
      </c>
    </row>
    <row r="24" spans="2:15">
      <c r="B24" s="347">
        <v>5</v>
      </c>
      <c r="C24" s="346" t="s">
        <v>177</v>
      </c>
      <c r="E24" s="239">
        <f>+('WP-DB'!F41+'WP-DB'!E41)/2</f>
        <v>4779000000</v>
      </c>
      <c r="G24" s="602" t="s">
        <v>1794</v>
      </c>
    </row>
    <row r="25" spans="2:15">
      <c r="B25" s="347">
        <v>6</v>
      </c>
      <c r="C25" s="346" t="s">
        <v>178</v>
      </c>
    </row>
    <row r="26" spans="2:15" ht="15.6" thickBot="1">
      <c r="B26" s="347">
        <v>7</v>
      </c>
      <c r="C26" s="346" t="s">
        <v>179</v>
      </c>
      <c r="E26" s="692"/>
    </row>
    <row r="27" spans="2:15">
      <c r="B27" s="347">
        <v>8</v>
      </c>
      <c r="C27" s="347" t="s">
        <v>175</v>
      </c>
      <c r="E27" s="239">
        <f>SUM(E24:E26)</f>
        <v>4779000000</v>
      </c>
    </row>
    <row r="29" spans="2:15">
      <c r="C29" s="346" t="s">
        <v>368</v>
      </c>
    </row>
    <row r="30" spans="2:15">
      <c r="B30" s="347">
        <v>9</v>
      </c>
      <c r="C30" s="346" t="s">
        <v>1753</v>
      </c>
      <c r="E30" s="239">
        <f>'WP-DB'!E23</f>
        <v>66729440.480000004</v>
      </c>
      <c r="G30" s="602" t="s">
        <v>1795</v>
      </c>
    </row>
    <row r="31" spans="2:15" ht="15.6" thickBot="1">
      <c r="B31" s="347">
        <v>10</v>
      </c>
      <c r="C31" s="346" t="s">
        <v>1718</v>
      </c>
      <c r="E31" s="755">
        <f>+('WP-DB'!F39+'WP-DB'!E39)/2</f>
        <v>1645229894.5</v>
      </c>
      <c r="G31" s="602" t="s">
        <v>1796</v>
      </c>
    </row>
    <row r="32" spans="2:15">
      <c r="B32" s="347">
        <v>11</v>
      </c>
      <c r="C32" s="347" t="s">
        <v>823</v>
      </c>
      <c r="E32" s="725">
        <f>E30/E31</f>
        <v>4.0559341100642764E-2</v>
      </c>
      <c r="F32" s="602" t="s">
        <v>1700</v>
      </c>
    </row>
    <row r="34" spans="2:7">
      <c r="C34" s="346" t="s">
        <v>369</v>
      </c>
    </row>
    <row r="35" spans="2:7">
      <c r="B35" s="347">
        <v>12</v>
      </c>
      <c r="C35" s="346" t="s">
        <v>822</v>
      </c>
      <c r="E35" s="602">
        <v>0</v>
      </c>
    </row>
    <row r="36" spans="2:7" ht="15.6" thickBot="1">
      <c r="B36" s="347">
        <v>13</v>
      </c>
      <c r="C36" s="346" t="s">
        <v>174</v>
      </c>
      <c r="E36" s="692">
        <f>E16</f>
        <v>0</v>
      </c>
    </row>
    <row r="37" spans="2:7">
      <c r="B37" s="347">
        <v>14</v>
      </c>
      <c r="C37" s="347" t="s">
        <v>181</v>
      </c>
      <c r="E37" s="602">
        <v>0</v>
      </c>
    </row>
    <row r="38" spans="2:7">
      <c r="C38" s="347"/>
    </row>
    <row r="39" spans="2:7">
      <c r="B39" s="347">
        <v>15</v>
      </c>
      <c r="C39" s="378" t="s">
        <v>1791</v>
      </c>
    </row>
    <row r="40" spans="2:7">
      <c r="C40" s="378" t="s">
        <v>1789</v>
      </c>
    </row>
    <row r="41" spans="2:7">
      <c r="C41" s="378" t="s">
        <v>1790</v>
      </c>
    </row>
    <row r="42" spans="2:7">
      <c r="C42" s="378"/>
    </row>
    <row r="43" spans="2:7">
      <c r="B43" s="347">
        <v>16</v>
      </c>
      <c r="C43" s="592" t="s">
        <v>1788</v>
      </c>
    </row>
    <row r="44" spans="2:7">
      <c r="C44" s="592" t="s">
        <v>1779</v>
      </c>
    </row>
    <row r="45" spans="2:7">
      <c r="E45" s="152"/>
      <c r="G45" s="152"/>
    </row>
    <row r="46" spans="2:7">
      <c r="B46" s="347">
        <v>17</v>
      </c>
      <c r="C46" s="346" t="s">
        <v>1792</v>
      </c>
    </row>
    <row r="47" spans="2:7">
      <c r="C47" s="346" t="s">
        <v>1769</v>
      </c>
    </row>
    <row r="49" spans="2:3">
      <c r="B49" s="347">
        <v>18</v>
      </c>
      <c r="C49" s="346" t="s">
        <v>1801</v>
      </c>
    </row>
    <row r="50" spans="2:3">
      <c r="C50" s="346" t="s">
        <v>1802</v>
      </c>
    </row>
  </sheetData>
  <customSheetViews>
    <customSheetView guid="{B321D76C-CDE5-48BB-9CDE-80FF97D58FCF}" showPageBreaks="1" fitToPage="1" printArea="1" view="pageBreakPreview">
      <selection activeCell="D33" sqref="D33"/>
      <pageMargins left="0.25" right="0.25" top="0.5" bottom="0.5" header="0.5" footer="0.5"/>
      <printOptions horizontalCentered="1"/>
      <pageSetup scale="55" fitToHeight="3" orientation="portrait" r:id="rId1"/>
      <headerFooter alignWithMargins="0"/>
    </customSheetView>
  </customSheetViews>
  <mergeCells count="5">
    <mergeCell ref="A7:P7"/>
    <mergeCell ref="A3:P3"/>
    <mergeCell ref="A4:P4"/>
    <mergeCell ref="A8:P8"/>
    <mergeCell ref="A5:P5"/>
  </mergeCells>
  <printOptions horizontalCentered="1"/>
  <pageMargins left="0.25" right="0.25" top="0.5" bottom="0.5" header="0.5" footer="0.5"/>
  <pageSetup scale="54" fitToHeight="3" orientation="portrait" r:id="rId2"/>
  <headerFooter alignWithMargins="0"/>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2">
    <tabColor rgb="FF7030A0"/>
    <pageSetUpPr fitToPage="1"/>
  </sheetPr>
  <dimension ref="A1:N49"/>
  <sheetViews>
    <sheetView zoomScale="80" zoomScaleNormal="80" zoomScaleSheetLayoutView="100" workbookViewId="0">
      <selection activeCell="K54" sqref="K54"/>
    </sheetView>
  </sheetViews>
  <sheetFormatPr defaultColWidth="9" defaultRowHeight="15.6"/>
  <cols>
    <col min="1" max="1" width="7.21875" style="345" customWidth="1"/>
    <col min="2" max="2" width="5.44140625" style="345" customWidth="1"/>
    <col min="3" max="3" width="54" style="345" bestFit="1" customWidth="1"/>
    <col min="4" max="4" width="8.77734375" style="345" customWidth="1"/>
    <col min="5" max="6" width="18.44140625" style="345" customWidth="1"/>
    <col min="7" max="7" width="3.44140625" style="345" customWidth="1"/>
    <col min="8" max="8" width="19" style="345" customWidth="1"/>
    <col min="9" max="9" width="14.77734375" style="1781" bestFit="1" customWidth="1"/>
    <col min="10" max="10" width="14.109375" style="345" customWidth="1"/>
    <col min="11" max="11" width="29.109375" style="345" customWidth="1"/>
    <col min="12" max="12" width="15.21875" style="345" bestFit="1" customWidth="1"/>
    <col min="13" max="13" width="16.33203125" style="345" bestFit="1" customWidth="1"/>
    <col min="14" max="14" width="14.77734375" style="345" bestFit="1" customWidth="1"/>
    <col min="15" max="16384" width="9" style="345"/>
  </cols>
  <sheetData>
    <row r="1" spans="1:11" s="82" customFormat="1">
      <c r="A1" s="13" t="s">
        <v>982</v>
      </c>
      <c r="C1" s="210"/>
      <c r="I1" s="1777"/>
      <c r="K1" s="62"/>
    </row>
    <row r="2" spans="1:11" s="25" customFormat="1">
      <c r="I2" s="1777"/>
    </row>
    <row r="3" spans="1:11" s="25" customFormat="1" ht="17.399999999999999">
      <c r="B3" s="10"/>
      <c r="D3" s="10"/>
      <c r="E3" s="10"/>
      <c r="F3" s="10"/>
      <c r="G3" s="10"/>
      <c r="H3" s="10"/>
      <c r="I3" s="1778"/>
      <c r="J3" s="10"/>
    </row>
    <row r="4" spans="1:11" s="25" customFormat="1" ht="17.399999999999999">
      <c r="A4" s="1984" t="s">
        <v>200</v>
      </c>
      <c r="B4" s="1984"/>
      <c r="C4" s="1984"/>
      <c r="D4" s="1984"/>
      <c r="E4" s="1984"/>
      <c r="F4" s="1984"/>
      <c r="G4" s="1984"/>
      <c r="H4" s="1984"/>
      <c r="I4" s="1779"/>
      <c r="J4" s="66"/>
      <c r="K4" s="66"/>
    </row>
    <row r="5" spans="1:11" s="25" customFormat="1" ht="17.399999999999999">
      <c r="A5" s="1984" t="s">
        <v>103</v>
      </c>
      <c r="B5" s="1984"/>
      <c r="C5" s="1984"/>
      <c r="D5" s="1984"/>
      <c r="E5" s="1984"/>
      <c r="F5" s="1984"/>
      <c r="G5" s="1984"/>
      <c r="H5" s="1984"/>
      <c r="I5" s="1779"/>
      <c r="J5" s="66"/>
      <c r="K5" s="66"/>
    </row>
    <row r="6" spans="1:11" s="25" customFormat="1" ht="17.399999999999999">
      <c r="A6" s="1985" t="str">
        <f>SUMMARY!A7</f>
        <v>YEAR ENDING DECEMBER 31, 2021</v>
      </c>
      <c r="B6" s="1985"/>
      <c r="C6" s="1985"/>
      <c r="D6" s="1985"/>
      <c r="E6" s="1985"/>
      <c r="F6" s="1985"/>
      <c r="G6" s="1985"/>
      <c r="H6" s="1985"/>
      <c r="I6" s="1779"/>
      <c r="J6" s="66"/>
      <c r="K6" s="66"/>
    </row>
    <row r="7" spans="1:11" s="25" customFormat="1" ht="17.399999999999999">
      <c r="A7" s="204"/>
      <c r="B7" s="204"/>
      <c r="C7" s="204"/>
      <c r="D7" s="204"/>
      <c r="E7" s="1526"/>
      <c r="F7" s="204"/>
      <c r="G7" s="673"/>
      <c r="H7" s="204"/>
      <c r="I7" s="1780"/>
      <c r="J7" s="204"/>
      <c r="K7" s="204"/>
    </row>
    <row r="8" spans="1:11" s="25" customFormat="1" ht="17.399999999999999">
      <c r="A8" s="1986" t="s">
        <v>983</v>
      </c>
      <c r="B8" s="1986"/>
      <c r="C8" s="1986"/>
      <c r="D8" s="1986"/>
      <c r="E8" s="1986"/>
      <c r="F8" s="1986"/>
      <c r="G8" s="1986"/>
      <c r="H8" s="1986"/>
      <c r="I8" s="1779"/>
      <c r="J8" s="27"/>
      <c r="K8" s="27"/>
    </row>
    <row r="9" spans="1:11" s="25" customFormat="1" ht="17.399999999999999">
      <c r="A9" s="1984" t="s">
        <v>168</v>
      </c>
      <c r="B9" s="1984"/>
      <c r="C9" s="1984"/>
      <c r="D9" s="1984"/>
      <c r="E9" s="1984"/>
      <c r="F9" s="1984"/>
      <c r="G9" s="1984"/>
      <c r="H9" s="1984"/>
      <c r="I9" s="1779"/>
      <c r="J9" s="66"/>
      <c r="K9" s="66"/>
    </row>
    <row r="10" spans="1:11" s="25" customFormat="1" ht="17.399999999999999">
      <c r="A10" s="1984" t="s">
        <v>287</v>
      </c>
      <c r="B10" s="1984"/>
      <c r="C10" s="1984"/>
      <c r="D10" s="1984"/>
      <c r="E10" s="1984"/>
      <c r="F10" s="1984"/>
      <c r="G10" s="1984"/>
      <c r="H10" s="1984"/>
      <c r="I10" s="1779"/>
      <c r="J10" s="66"/>
      <c r="K10" s="66"/>
    </row>
    <row r="11" spans="1:11" s="25" customFormat="1" ht="17.399999999999999">
      <c r="A11" s="205"/>
      <c r="B11" s="205"/>
      <c r="C11" s="205"/>
      <c r="D11" s="205"/>
      <c r="E11" s="1527"/>
      <c r="F11" s="205"/>
      <c r="G11" s="674"/>
      <c r="H11" s="205"/>
      <c r="I11" s="1780"/>
      <c r="J11" s="205"/>
      <c r="K11" s="205"/>
    </row>
    <row r="12" spans="1:11" s="25" customFormat="1">
      <c r="B12" s="633" t="s">
        <v>192</v>
      </c>
      <c r="C12" s="633"/>
      <c r="D12" s="346"/>
      <c r="E12" s="633" t="s">
        <v>193</v>
      </c>
      <c r="F12" s="633" t="s">
        <v>194</v>
      </c>
      <c r="G12" s="633"/>
      <c r="H12" s="633" t="s">
        <v>195</v>
      </c>
      <c r="I12" s="1777"/>
    </row>
    <row r="13" spans="1:11" s="335" customFormat="1">
      <c r="A13" s="637"/>
      <c r="B13" s="637"/>
      <c r="C13" s="637"/>
      <c r="E13" s="336"/>
      <c r="F13" s="336"/>
      <c r="G13" s="336"/>
      <c r="I13" s="1781"/>
    </row>
    <row r="14" spans="1:11" s="335" customFormat="1" ht="31.2">
      <c r="E14" s="337" t="s">
        <v>2051</v>
      </c>
      <c r="F14" s="337" t="s">
        <v>2016</v>
      </c>
      <c r="G14" s="676"/>
      <c r="H14" s="675" t="s">
        <v>1763</v>
      </c>
      <c r="I14" s="1974"/>
    </row>
    <row r="15" spans="1:11" s="335" customFormat="1">
      <c r="E15" s="338"/>
      <c r="F15" s="338"/>
      <c r="G15" s="338"/>
      <c r="I15" s="1782"/>
    </row>
    <row r="16" spans="1:11" s="335" customFormat="1">
      <c r="A16" s="634">
        <v>1</v>
      </c>
      <c r="B16" s="339" t="s">
        <v>1727</v>
      </c>
      <c r="G16" s="377"/>
      <c r="I16" s="1782"/>
    </row>
    <row r="17" spans="1:14" s="335" customFormat="1">
      <c r="A17" s="634" t="s">
        <v>471</v>
      </c>
      <c r="C17" s="637" t="s">
        <v>1728</v>
      </c>
      <c r="D17" s="677"/>
      <c r="E17" s="1351">
        <v>68016680.480000004</v>
      </c>
      <c r="F17" s="1351">
        <v>60448173.18</v>
      </c>
      <c r="G17" s="377"/>
      <c r="H17" s="335" t="s">
        <v>1742</v>
      </c>
      <c r="I17" s="1785"/>
      <c r="J17" s="1786"/>
      <c r="K17" s="699"/>
      <c r="L17" s="1524"/>
      <c r="M17" s="699"/>
      <c r="N17" s="1524"/>
    </row>
    <row r="18" spans="1:14" s="335" customFormat="1">
      <c r="A18" s="634" t="s">
        <v>473</v>
      </c>
      <c r="C18" s="637" t="s">
        <v>1726</v>
      </c>
      <c r="D18" s="677"/>
      <c r="E18" s="1351">
        <v>1441567</v>
      </c>
      <c r="F18" s="1351">
        <v>1369518.52</v>
      </c>
      <c r="G18" s="377"/>
      <c r="H18" s="335" t="s">
        <v>1743</v>
      </c>
      <c r="I18" s="1783"/>
      <c r="J18" s="340"/>
      <c r="K18" s="699"/>
      <c r="L18" s="1524"/>
      <c r="M18" s="699"/>
      <c r="N18" s="1524"/>
    </row>
    <row r="19" spans="1:14" s="335" customFormat="1">
      <c r="A19" s="634" t="s">
        <v>494</v>
      </c>
      <c r="C19" s="637" t="s">
        <v>1725</v>
      </c>
      <c r="E19" s="1351">
        <v>0</v>
      </c>
      <c r="F19" s="1351">
        <v>0</v>
      </c>
      <c r="G19" s="377"/>
      <c r="H19" s="335" t="s">
        <v>1744</v>
      </c>
      <c r="I19" s="1783"/>
      <c r="J19" s="340"/>
      <c r="K19" s="699"/>
      <c r="L19" s="1524"/>
      <c r="M19" s="699"/>
      <c r="N19" s="1524"/>
    </row>
    <row r="20" spans="1:14" s="335" customFormat="1">
      <c r="A20" s="634" t="s">
        <v>495</v>
      </c>
      <c r="C20" s="637" t="s">
        <v>1749</v>
      </c>
      <c r="D20" s="677"/>
      <c r="E20" s="1351">
        <v>-2728807</v>
      </c>
      <c r="F20" s="1351">
        <v>-2532456.65</v>
      </c>
      <c r="G20" s="377"/>
      <c r="H20" s="335" t="s">
        <v>1745</v>
      </c>
      <c r="I20" s="1783"/>
      <c r="J20" s="340"/>
      <c r="K20" s="699"/>
      <c r="L20" s="1524"/>
      <c r="M20" s="699"/>
      <c r="N20" s="1524"/>
    </row>
    <row r="21" spans="1:14" s="335" customFormat="1">
      <c r="A21" s="634" t="s">
        <v>496</v>
      </c>
      <c r="C21" s="637" t="s">
        <v>1750</v>
      </c>
      <c r="D21" s="677"/>
      <c r="E21" s="1351"/>
      <c r="F21" s="1351"/>
      <c r="G21" s="377"/>
      <c r="H21" s="335" t="s">
        <v>1746</v>
      </c>
      <c r="I21" s="1782"/>
      <c r="K21" s="699"/>
      <c r="L21" s="1524"/>
      <c r="M21" s="699"/>
      <c r="N21" s="1524"/>
    </row>
    <row r="22" spans="1:14" s="335" customFormat="1">
      <c r="A22" s="634"/>
      <c r="C22" s="637"/>
      <c r="E22" s="376"/>
      <c r="F22" s="376"/>
      <c r="G22" s="377"/>
      <c r="I22" s="1975"/>
    </row>
    <row r="23" spans="1:14" s="335" customFormat="1" ht="16.2" thickBot="1">
      <c r="A23" s="634">
        <v>2</v>
      </c>
      <c r="B23" s="339" t="s">
        <v>1752</v>
      </c>
      <c r="C23" s="678"/>
      <c r="E23" s="341">
        <f>SUM(E17:E21)</f>
        <v>66729440.480000004</v>
      </c>
      <c r="F23" s="341">
        <f>SUM(F17:F21)</f>
        <v>59285235.050000004</v>
      </c>
      <c r="G23" s="377"/>
      <c r="I23" s="1976"/>
      <c r="J23" s="340"/>
    </row>
    <row r="24" spans="1:14" s="335" customFormat="1" ht="16.2" thickTop="1">
      <c r="A24" s="634"/>
      <c r="C24" s="637"/>
      <c r="E24" s="376"/>
      <c r="F24" s="376"/>
      <c r="G24" s="376"/>
      <c r="I24" s="1975"/>
      <c r="J24" s="1776"/>
    </row>
    <row r="25" spans="1:14" s="335" customFormat="1">
      <c r="A25" s="634">
        <v>3</v>
      </c>
      <c r="B25" s="339" t="s">
        <v>180</v>
      </c>
      <c r="C25" s="637"/>
      <c r="E25" s="376"/>
      <c r="F25" s="376"/>
      <c r="G25" s="376"/>
      <c r="I25" s="1975"/>
    </row>
    <row r="26" spans="1:14" s="335" customFormat="1">
      <c r="A26" s="634"/>
      <c r="B26" s="339"/>
      <c r="C26" s="637"/>
      <c r="E26" s="376"/>
      <c r="F26" s="376"/>
      <c r="G26" s="376"/>
      <c r="I26" s="1975"/>
    </row>
    <row r="27" spans="1:14" s="335" customFormat="1">
      <c r="A27" s="634" t="s">
        <v>1276</v>
      </c>
      <c r="C27" s="637" t="s">
        <v>1722</v>
      </c>
      <c r="E27" s="1351">
        <v>1562240000</v>
      </c>
      <c r="F27" s="1351">
        <v>1562240000</v>
      </c>
      <c r="H27" s="335" t="s">
        <v>1734</v>
      </c>
      <c r="I27" s="1782"/>
      <c r="K27" s="1524"/>
      <c r="L27" s="340"/>
      <c r="M27" s="1525"/>
      <c r="N27" s="340"/>
    </row>
    <row r="28" spans="1:14" s="335" customFormat="1">
      <c r="A28" s="634" t="s">
        <v>1277</v>
      </c>
      <c r="C28" s="637" t="s">
        <v>1729</v>
      </c>
      <c r="E28" s="1351">
        <v>0</v>
      </c>
      <c r="F28" s="1351">
        <v>0</v>
      </c>
      <c r="H28" s="335" t="s">
        <v>1735</v>
      </c>
      <c r="I28" s="1782"/>
      <c r="K28" s="1524"/>
      <c r="L28" s="340"/>
      <c r="M28" s="1525"/>
      <c r="N28" s="340"/>
    </row>
    <row r="29" spans="1:14" s="335" customFormat="1">
      <c r="A29" s="634" t="s">
        <v>1279</v>
      </c>
      <c r="C29" s="637" t="s">
        <v>1723</v>
      </c>
      <c r="E29" s="1351">
        <v>40015000</v>
      </c>
      <c r="F29" s="1351">
        <v>46460000</v>
      </c>
      <c r="H29" s="335" t="s">
        <v>1736</v>
      </c>
      <c r="I29" s="1782"/>
      <c r="K29" s="699"/>
      <c r="L29" s="340"/>
      <c r="M29" s="1525"/>
      <c r="N29" s="340"/>
    </row>
    <row r="30" spans="1:14" s="335" customFormat="1">
      <c r="A30" s="634"/>
      <c r="C30" s="637"/>
      <c r="E30" s="340"/>
      <c r="F30" s="340"/>
      <c r="G30" s="340"/>
      <c r="I30" s="1782"/>
      <c r="K30" s="699"/>
    </row>
    <row r="31" spans="1:14" s="335" customFormat="1">
      <c r="A31" s="634" t="s">
        <v>1280</v>
      </c>
      <c r="B31" s="335" t="s">
        <v>1721</v>
      </c>
      <c r="C31" s="637"/>
      <c r="E31" s="680">
        <f>SUM(E27:E29)</f>
        <v>1602255000</v>
      </c>
      <c r="F31" s="680">
        <f>SUM(F27:F29)</f>
        <v>1608700000</v>
      </c>
      <c r="G31" s="679"/>
      <c r="I31" s="1783"/>
      <c r="K31" s="699"/>
    </row>
    <row r="32" spans="1:14" s="335" customFormat="1">
      <c r="A32" s="634"/>
      <c r="C32" s="637"/>
      <c r="E32" s="342"/>
      <c r="F32" s="342"/>
      <c r="G32" s="342"/>
      <c r="I32" s="1782"/>
      <c r="K32" s="699"/>
    </row>
    <row r="33" spans="1:14" s="335" customFormat="1">
      <c r="A33" s="634" t="s">
        <v>1312</v>
      </c>
      <c r="C33" s="637" t="s">
        <v>1751</v>
      </c>
      <c r="E33" s="1351">
        <v>-5686318</v>
      </c>
      <c r="F33" s="1351">
        <v>-5885264</v>
      </c>
      <c r="G33" s="342"/>
      <c r="H33" s="335" t="s">
        <v>1737</v>
      </c>
      <c r="I33" s="1783"/>
      <c r="K33" s="699"/>
      <c r="L33" s="340"/>
      <c r="M33" s="699"/>
      <c r="N33" s="340"/>
    </row>
    <row r="34" spans="1:14" s="335" customFormat="1">
      <c r="A34" s="634" t="s">
        <v>1313</v>
      </c>
      <c r="C34" s="637" t="s">
        <v>1731</v>
      </c>
      <c r="E34" s="1351">
        <v>-24789495</v>
      </c>
      <c r="F34" s="1351">
        <v>-26278677</v>
      </c>
      <c r="G34" s="342"/>
      <c r="H34" s="335" t="s">
        <v>1738</v>
      </c>
      <c r="I34" s="1783"/>
      <c r="K34" s="699"/>
      <c r="L34" s="340"/>
      <c r="M34" s="699"/>
      <c r="N34" s="340"/>
    </row>
    <row r="35" spans="1:14" s="335" customFormat="1">
      <c r="A35" s="634" t="s">
        <v>1314</v>
      </c>
      <c r="C35" s="637" t="s">
        <v>1732</v>
      </c>
      <c r="E35" s="1351">
        <v>0</v>
      </c>
      <c r="F35" s="1351">
        <v>0</v>
      </c>
      <c r="G35" s="342"/>
      <c r="H35" s="335" t="s">
        <v>1739</v>
      </c>
      <c r="I35" s="1783"/>
      <c r="K35" s="699"/>
      <c r="L35" s="340"/>
      <c r="M35" s="699"/>
      <c r="N35" s="340"/>
    </row>
    <row r="36" spans="1:14" s="335" customFormat="1">
      <c r="A36" s="634" t="s">
        <v>1315</v>
      </c>
      <c r="C36" s="637" t="s">
        <v>1730</v>
      </c>
      <c r="E36" s="1351">
        <v>69707868</v>
      </c>
      <c r="F36" s="1351">
        <v>72436675</v>
      </c>
      <c r="G36" s="342"/>
      <c r="H36" s="335" t="s">
        <v>1740</v>
      </c>
      <c r="I36" s="1783"/>
      <c r="K36" s="1524"/>
      <c r="L36" s="340"/>
      <c r="M36" s="1524"/>
      <c r="N36" s="340"/>
    </row>
    <row r="37" spans="1:14" s="335" customFormat="1">
      <c r="A37" s="634" t="s">
        <v>1599</v>
      </c>
      <c r="C37" s="637" t="s">
        <v>1724</v>
      </c>
      <c r="E37" s="1351">
        <v>0</v>
      </c>
      <c r="F37" s="1351">
        <v>0</v>
      </c>
      <c r="G37" s="342"/>
      <c r="H37" s="335" t="s">
        <v>1741</v>
      </c>
      <c r="I37" s="1782"/>
    </row>
    <row r="38" spans="1:14" s="335" customFormat="1">
      <c r="A38" s="634"/>
      <c r="C38" s="637"/>
      <c r="E38" s="342"/>
      <c r="F38" s="342"/>
      <c r="G38" s="342"/>
      <c r="I38" s="1975"/>
    </row>
    <row r="39" spans="1:14" s="339" customFormat="1" ht="16.2" thickBot="1">
      <c r="A39" s="336">
        <v>4</v>
      </c>
      <c r="B39" s="339" t="s">
        <v>1719</v>
      </c>
      <c r="C39" s="678"/>
      <c r="E39" s="341">
        <f>SUM(E31:E37)</f>
        <v>1641487055</v>
      </c>
      <c r="F39" s="341">
        <f>SUM(F31:F37)</f>
        <v>1648972734</v>
      </c>
      <c r="G39" s="342"/>
      <c r="I39" s="1976"/>
    </row>
    <row r="40" spans="1:14" s="335" customFormat="1" ht="16.2" thickTop="1">
      <c r="A40" s="634"/>
      <c r="E40" s="342"/>
      <c r="F40" s="342"/>
      <c r="G40" s="342"/>
      <c r="I40" s="1977"/>
    </row>
    <row r="41" spans="1:14" s="335" customFormat="1">
      <c r="A41" s="634">
        <v>5</v>
      </c>
      <c r="B41" s="339" t="s">
        <v>1733</v>
      </c>
      <c r="C41" s="339"/>
      <c r="E41" s="343">
        <f>'WP-AR-IS'!G63*1000000</f>
        <v>4815000000</v>
      </c>
      <c r="F41" s="343">
        <f>'WP-AR-IS'!H63*1000000</f>
        <v>4743000000</v>
      </c>
      <c r="G41" s="343"/>
      <c r="I41" s="1977"/>
    </row>
    <row r="42" spans="1:14" s="335" customFormat="1">
      <c r="I42" s="1784"/>
    </row>
    <row r="43" spans="1:14" s="335" customFormat="1">
      <c r="B43" s="339"/>
      <c r="C43" s="339"/>
      <c r="I43" s="1781"/>
    </row>
    <row r="44" spans="1:14" s="335" customFormat="1">
      <c r="B44" s="344"/>
      <c r="I44" s="1781"/>
    </row>
    <row r="45" spans="1:14" s="335" customFormat="1">
      <c r="I45" s="1781"/>
    </row>
    <row r="49" spans="2:3" ht="17.399999999999999">
      <c r="B49" s="60"/>
      <c r="C49" s="60"/>
    </row>
  </sheetData>
  <customSheetViews>
    <customSheetView guid="{B321D76C-CDE5-48BB-9CDE-80FF97D58FCF}" showPageBreaks="1" fitToPage="1" printArea="1" view="pageBreakPreview" topLeftCell="A17">
      <selection activeCell="D33" sqref="D33"/>
      <pageMargins left="0.2" right="0.2" top="0.5" bottom="0.25" header="0.3" footer="0.3"/>
      <printOptions horizontalCentered="1"/>
      <pageSetup scale="78" orientation="portrait" r:id="rId1"/>
    </customSheetView>
  </customSheetViews>
  <mergeCells count="6">
    <mergeCell ref="A10:H10"/>
    <mergeCell ref="A4:H4"/>
    <mergeCell ref="A5:H5"/>
    <mergeCell ref="A6:H6"/>
    <mergeCell ref="A8:H8"/>
    <mergeCell ref="A9:H9"/>
  </mergeCells>
  <printOptions horizontalCentered="1"/>
  <pageMargins left="0.2" right="0.2" top="0.5" bottom="0.25" header="0.3" footer="0.3"/>
  <pageSetup scale="78" orientation="portrait"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1">
    <tabColor rgb="FFFFFF00"/>
    <pageSetUpPr fitToPage="1"/>
  </sheetPr>
  <dimension ref="A1:OS43"/>
  <sheetViews>
    <sheetView view="pageBreakPreview" zoomScale="80" zoomScaleNormal="100" zoomScaleSheetLayoutView="80" workbookViewId="0">
      <selection activeCell="F14" sqref="F14"/>
    </sheetView>
  </sheetViews>
  <sheetFormatPr defaultColWidth="9" defaultRowHeight="13.2"/>
  <cols>
    <col min="1" max="1" width="6.44140625" style="1367" customWidth="1"/>
    <col min="2" max="2" width="10.77734375" style="1367" bestFit="1" customWidth="1"/>
    <col min="3" max="3" width="4" style="1367" customWidth="1"/>
    <col min="4" max="4" width="38.109375" style="1368" bestFit="1" customWidth="1"/>
    <col min="5" max="5" width="3.77734375" style="1368" customWidth="1"/>
    <col min="6" max="6" width="15" style="1368" bestFit="1" customWidth="1"/>
    <col min="7" max="7" width="3.77734375" style="1368" customWidth="1"/>
    <col min="8" max="8" width="10" style="1368" bestFit="1" customWidth="1"/>
    <col min="9" max="9" width="11.77734375" style="1368" bestFit="1" customWidth="1"/>
    <col min="10" max="10" width="9.77734375" style="1368" bestFit="1" customWidth="1"/>
    <col min="11" max="11" width="29.109375" style="1367" customWidth="1"/>
    <col min="12" max="239" width="9" style="1367"/>
    <col min="240" max="240" width="18.77734375" style="1367" bestFit="1" customWidth="1"/>
    <col min="241" max="241" width="13" style="1367" bestFit="1" customWidth="1"/>
    <col min="242" max="242" width="14.33203125" style="1367" customWidth="1"/>
    <col min="243" max="243" width="12" style="1367" customWidth="1"/>
    <col min="244" max="244" width="12.109375" style="1367" customWidth="1"/>
    <col min="245" max="245" width="8.44140625" style="1367" customWidth="1"/>
    <col min="246" max="246" width="8" style="1367" customWidth="1"/>
    <col min="247" max="247" width="12.109375" style="1367" customWidth="1"/>
    <col min="248" max="249" width="11.109375" style="1367" customWidth="1"/>
    <col min="250" max="250" width="9.77734375" style="1367" customWidth="1"/>
    <col min="251" max="251" width="10.77734375" style="1367" bestFit="1" customWidth="1"/>
    <col min="252" max="252" width="12.109375" style="1367" bestFit="1" customWidth="1"/>
    <col min="253" max="253" width="10.109375" style="1367" customWidth="1"/>
    <col min="254" max="254" width="10.44140625" style="1367" bestFit="1" customWidth="1"/>
    <col min="255" max="495" width="9" style="1367"/>
    <col min="496" max="496" width="18.77734375" style="1367" bestFit="1" customWidth="1"/>
    <col min="497" max="497" width="13" style="1367" bestFit="1" customWidth="1"/>
    <col min="498" max="498" width="14.33203125" style="1367" customWidth="1"/>
    <col min="499" max="499" width="12" style="1367" customWidth="1"/>
    <col min="500" max="500" width="12.109375" style="1367" customWidth="1"/>
    <col min="501" max="501" width="8.44140625" style="1367" customWidth="1"/>
    <col min="502" max="502" width="8" style="1367" customWidth="1"/>
    <col min="503" max="503" width="12.109375" style="1367" customWidth="1"/>
    <col min="504" max="505" width="11.109375" style="1367" customWidth="1"/>
    <col min="506" max="506" width="9.77734375" style="1367" customWidth="1"/>
    <col min="507" max="507" width="10.77734375" style="1367" bestFit="1" customWidth="1"/>
    <col min="508" max="508" width="12.109375" style="1367" bestFit="1" customWidth="1"/>
    <col min="509" max="509" width="10.109375" style="1367" customWidth="1"/>
    <col min="510" max="510" width="10.44140625" style="1367" bestFit="1" customWidth="1"/>
    <col min="511" max="751" width="9" style="1367"/>
    <col min="752" max="752" width="18.77734375" style="1367" bestFit="1" customWidth="1"/>
    <col min="753" max="753" width="13" style="1367" bestFit="1" customWidth="1"/>
    <col min="754" max="754" width="14.33203125" style="1367" customWidth="1"/>
    <col min="755" max="755" width="12" style="1367" customWidth="1"/>
    <col min="756" max="756" width="12.109375" style="1367" customWidth="1"/>
    <col min="757" max="757" width="8.44140625" style="1367" customWidth="1"/>
    <col min="758" max="758" width="8" style="1367" customWidth="1"/>
    <col min="759" max="759" width="12.109375" style="1367" customWidth="1"/>
    <col min="760" max="761" width="11.109375" style="1367" customWidth="1"/>
    <col min="762" max="762" width="9.77734375" style="1367" customWidth="1"/>
    <col min="763" max="763" width="10.77734375" style="1367" bestFit="1" customWidth="1"/>
    <col min="764" max="764" width="12.109375" style="1367" bestFit="1" customWidth="1"/>
    <col min="765" max="765" width="10.109375" style="1367" customWidth="1"/>
    <col min="766" max="766" width="10.44140625" style="1367" bestFit="1" customWidth="1"/>
    <col min="767" max="1007" width="9" style="1367"/>
    <col min="1008" max="1008" width="18.77734375" style="1367" bestFit="1" customWidth="1"/>
    <col min="1009" max="1009" width="13" style="1367" bestFit="1" customWidth="1"/>
    <col min="1010" max="1010" width="14.33203125" style="1367" customWidth="1"/>
    <col min="1011" max="1011" width="12" style="1367" customWidth="1"/>
    <col min="1012" max="1012" width="12.109375" style="1367" customWidth="1"/>
    <col min="1013" max="1013" width="8.44140625" style="1367" customWidth="1"/>
    <col min="1014" max="1014" width="8" style="1367" customWidth="1"/>
    <col min="1015" max="1015" width="12.109375" style="1367" customWidth="1"/>
    <col min="1016" max="1017" width="11.109375" style="1367" customWidth="1"/>
    <col min="1018" max="1018" width="9.77734375" style="1367" customWidth="1"/>
    <col min="1019" max="1019" width="10.77734375" style="1367" bestFit="1" customWidth="1"/>
    <col min="1020" max="1020" width="12.109375" style="1367" bestFit="1" customWidth="1"/>
    <col min="1021" max="1021" width="10.109375" style="1367" customWidth="1"/>
    <col min="1022" max="1022" width="10.44140625" style="1367" bestFit="1" customWidth="1"/>
    <col min="1023" max="1263" width="9" style="1367"/>
    <col min="1264" max="1264" width="18.77734375" style="1367" bestFit="1" customWidth="1"/>
    <col min="1265" max="1265" width="13" style="1367" bestFit="1" customWidth="1"/>
    <col min="1266" max="1266" width="14.33203125" style="1367" customWidth="1"/>
    <col min="1267" max="1267" width="12" style="1367" customWidth="1"/>
    <col min="1268" max="1268" width="12.109375" style="1367" customWidth="1"/>
    <col min="1269" max="1269" width="8.44140625" style="1367" customWidth="1"/>
    <col min="1270" max="1270" width="8" style="1367" customWidth="1"/>
    <col min="1271" max="1271" width="12.109375" style="1367" customWidth="1"/>
    <col min="1272" max="1273" width="11.109375" style="1367" customWidth="1"/>
    <col min="1274" max="1274" width="9.77734375" style="1367" customWidth="1"/>
    <col min="1275" max="1275" width="10.77734375" style="1367" bestFit="1" customWidth="1"/>
    <col min="1276" max="1276" width="12.109375" style="1367" bestFit="1" customWidth="1"/>
    <col min="1277" max="1277" width="10.109375" style="1367" customWidth="1"/>
    <col min="1278" max="1278" width="10.44140625" style="1367" bestFit="1" customWidth="1"/>
    <col min="1279" max="1519" width="9" style="1367"/>
    <col min="1520" max="1520" width="18.77734375" style="1367" bestFit="1" customWidth="1"/>
    <col min="1521" max="1521" width="13" style="1367" bestFit="1" customWidth="1"/>
    <col min="1522" max="1522" width="14.33203125" style="1367" customWidth="1"/>
    <col min="1523" max="1523" width="12" style="1367" customWidth="1"/>
    <col min="1524" max="1524" width="12.109375" style="1367" customWidth="1"/>
    <col min="1525" max="1525" width="8.44140625" style="1367" customWidth="1"/>
    <col min="1526" max="1526" width="8" style="1367" customWidth="1"/>
    <col min="1527" max="1527" width="12.109375" style="1367" customWidth="1"/>
    <col min="1528" max="1529" width="11.109375" style="1367" customWidth="1"/>
    <col min="1530" max="1530" width="9.77734375" style="1367" customWidth="1"/>
    <col min="1531" max="1531" width="10.77734375" style="1367" bestFit="1" customWidth="1"/>
    <col min="1532" max="1532" width="12.109375" style="1367" bestFit="1" customWidth="1"/>
    <col min="1533" max="1533" width="10.109375" style="1367" customWidth="1"/>
    <col min="1534" max="1534" width="10.44140625" style="1367" bestFit="1" customWidth="1"/>
    <col min="1535" max="1775" width="9" style="1367"/>
    <col min="1776" max="1776" width="18.77734375" style="1367" bestFit="1" customWidth="1"/>
    <col min="1777" max="1777" width="13" style="1367" bestFit="1" customWidth="1"/>
    <col min="1778" max="1778" width="14.33203125" style="1367" customWidth="1"/>
    <col min="1779" max="1779" width="12" style="1367" customWidth="1"/>
    <col min="1780" max="1780" width="12.109375" style="1367" customWidth="1"/>
    <col min="1781" max="1781" width="8.44140625" style="1367" customWidth="1"/>
    <col min="1782" max="1782" width="8" style="1367" customWidth="1"/>
    <col min="1783" max="1783" width="12.109375" style="1367" customWidth="1"/>
    <col min="1784" max="1785" width="11.109375" style="1367" customWidth="1"/>
    <col min="1786" max="1786" width="9.77734375" style="1367" customWidth="1"/>
    <col min="1787" max="1787" width="10.77734375" style="1367" bestFit="1" customWidth="1"/>
    <col min="1788" max="1788" width="12.109375" style="1367" bestFit="1" customWidth="1"/>
    <col min="1789" max="1789" width="10.109375" style="1367" customWidth="1"/>
    <col min="1790" max="1790" width="10.44140625" style="1367" bestFit="1" customWidth="1"/>
    <col min="1791" max="2031" width="9" style="1367"/>
    <col min="2032" max="2032" width="18.77734375" style="1367" bestFit="1" customWidth="1"/>
    <col min="2033" max="2033" width="13" style="1367" bestFit="1" customWidth="1"/>
    <col min="2034" max="2034" width="14.33203125" style="1367" customWidth="1"/>
    <col min="2035" max="2035" width="12" style="1367" customWidth="1"/>
    <col min="2036" max="2036" width="12.109375" style="1367" customWidth="1"/>
    <col min="2037" max="2037" width="8.44140625" style="1367" customWidth="1"/>
    <col min="2038" max="2038" width="8" style="1367" customWidth="1"/>
    <col min="2039" max="2039" width="12.109375" style="1367" customWidth="1"/>
    <col min="2040" max="2041" width="11.109375" style="1367" customWidth="1"/>
    <col min="2042" max="2042" width="9.77734375" style="1367" customWidth="1"/>
    <col min="2043" max="2043" width="10.77734375" style="1367" bestFit="1" customWidth="1"/>
    <col min="2044" max="2044" width="12.109375" style="1367" bestFit="1" customWidth="1"/>
    <col min="2045" max="2045" width="10.109375" style="1367" customWidth="1"/>
    <col min="2046" max="2046" width="10.44140625" style="1367" bestFit="1" customWidth="1"/>
    <col min="2047" max="2287" width="9" style="1367"/>
    <col min="2288" max="2288" width="18.77734375" style="1367" bestFit="1" customWidth="1"/>
    <col min="2289" max="2289" width="13" style="1367" bestFit="1" customWidth="1"/>
    <col min="2290" max="2290" width="14.33203125" style="1367" customWidth="1"/>
    <col min="2291" max="2291" width="12" style="1367" customWidth="1"/>
    <col min="2292" max="2292" width="12.109375" style="1367" customWidth="1"/>
    <col min="2293" max="2293" width="8.44140625" style="1367" customWidth="1"/>
    <col min="2294" max="2294" width="8" style="1367" customWidth="1"/>
    <col min="2295" max="2295" width="12.109375" style="1367" customWidth="1"/>
    <col min="2296" max="2297" width="11.109375" style="1367" customWidth="1"/>
    <col min="2298" max="2298" width="9.77734375" style="1367" customWidth="1"/>
    <col min="2299" max="2299" width="10.77734375" style="1367" bestFit="1" customWidth="1"/>
    <col min="2300" max="2300" width="12.109375" style="1367" bestFit="1" customWidth="1"/>
    <col min="2301" max="2301" width="10.109375" style="1367" customWidth="1"/>
    <col min="2302" max="2302" width="10.44140625" style="1367" bestFit="1" customWidth="1"/>
    <col min="2303" max="2543" width="9" style="1367"/>
    <col min="2544" max="2544" width="18.77734375" style="1367" bestFit="1" customWidth="1"/>
    <col min="2545" max="2545" width="13" style="1367" bestFit="1" customWidth="1"/>
    <col min="2546" max="2546" width="14.33203125" style="1367" customWidth="1"/>
    <col min="2547" max="2547" width="12" style="1367" customWidth="1"/>
    <col min="2548" max="2548" width="12.109375" style="1367" customWidth="1"/>
    <col min="2549" max="2549" width="8.44140625" style="1367" customWidth="1"/>
    <col min="2550" max="2550" width="8" style="1367" customWidth="1"/>
    <col min="2551" max="2551" width="12.109375" style="1367" customWidth="1"/>
    <col min="2552" max="2553" width="11.109375" style="1367" customWidth="1"/>
    <col min="2554" max="2554" width="9.77734375" style="1367" customWidth="1"/>
    <col min="2555" max="2555" width="10.77734375" style="1367" bestFit="1" customWidth="1"/>
    <col min="2556" max="2556" width="12.109375" style="1367" bestFit="1" customWidth="1"/>
    <col min="2557" max="2557" width="10.109375" style="1367" customWidth="1"/>
    <col min="2558" max="2558" width="10.44140625" style="1367" bestFit="1" customWidth="1"/>
    <col min="2559" max="2799" width="9" style="1367"/>
    <col min="2800" max="2800" width="18.77734375" style="1367" bestFit="1" customWidth="1"/>
    <col min="2801" max="2801" width="13" style="1367" bestFit="1" customWidth="1"/>
    <col min="2802" max="2802" width="14.33203125" style="1367" customWidth="1"/>
    <col min="2803" max="2803" width="12" style="1367" customWidth="1"/>
    <col min="2804" max="2804" width="12.109375" style="1367" customWidth="1"/>
    <col min="2805" max="2805" width="8.44140625" style="1367" customWidth="1"/>
    <col min="2806" max="2806" width="8" style="1367" customWidth="1"/>
    <col min="2807" max="2807" width="12.109375" style="1367" customWidth="1"/>
    <col min="2808" max="2809" width="11.109375" style="1367" customWidth="1"/>
    <col min="2810" max="2810" width="9.77734375" style="1367" customWidth="1"/>
    <col min="2811" max="2811" width="10.77734375" style="1367" bestFit="1" customWidth="1"/>
    <col min="2812" max="2812" width="12.109375" style="1367" bestFit="1" customWidth="1"/>
    <col min="2813" max="2813" width="10.109375" style="1367" customWidth="1"/>
    <col min="2814" max="2814" width="10.44140625" style="1367" bestFit="1" customWidth="1"/>
    <col min="2815" max="3055" width="9" style="1367"/>
    <col min="3056" max="3056" width="18.77734375" style="1367" bestFit="1" customWidth="1"/>
    <col min="3057" max="3057" width="13" style="1367" bestFit="1" customWidth="1"/>
    <col min="3058" max="3058" width="14.33203125" style="1367" customWidth="1"/>
    <col min="3059" max="3059" width="12" style="1367" customWidth="1"/>
    <col min="3060" max="3060" width="12.109375" style="1367" customWidth="1"/>
    <col min="3061" max="3061" width="8.44140625" style="1367" customWidth="1"/>
    <col min="3062" max="3062" width="8" style="1367" customWidth="1"/>
    <col min="3063" max="3063" width="12.109375" style="1367" customWidth="1"/>
    <col min="3064" max="3065" width="11.109375" style="1367" customWidth="1"/>
    <col min="3066" max="3066" width="9.77734375" style="1367" customWidth="1"/>
    <col min="3067" max="3067" width="10.77734375" style="1367" bestFit="1" customWidth="1"/>
    <col min="3068" max="3068" width="12.109375" style="1367" bestFit="1" customWidth="1"/>
    <col min="3069" max="3069" width="10.109375" style="1367" customWidth="1"/>
    <col min="3070" max="3070" width="10.44140625" style="1367" bestFit="1" customWidth="1"/>
    <col min="3071" max="3311" width="9" style="1367"/>
    <col min="3312" max="3312" width="18.77734375" style="1367" bestFit="1" customWidth="1"/>
    <col min="3313" max="3313" width="13" style="1367" bestFit="1" customWidth="1"/>
    <col min="3314" max="3314" width="14.33203125" style="1367" customWidth="1"/>
    <col min="3315" max="3315" width="12" style="1367" customWidth="1"/>
    <col min="3316" max="3316" width="12.109375" style="1367" customWidth="1"/>
    <col min="3317" max="3317" width="8.44140625" style="1367" customWidth="1"/>
    <col min="3318" max="3318" width="8" style="1367" customWidth="1"/>
    <col min="3319" max="3319" width="12.109375" style="1367" customWidth="1"/>
    <col min="3320" max="3321" width="11.109375" style="1367" customWidth="1"/>
    <col min="3322" max="3322" width="9.77734375" style="1367" customWidth="1"/>
    <col min="3323" max="3323" width="10.77734375" style="1367" bestFit="1" customWidth="1"/>
    <col min="3324" max="3324" width="12.109375" style="1367" bestFit="1" customWidth="1"/>
    <col min="3325" max="3325" width="10.109375" style="1367" customWidth="1"/>
    <col min="3326" max="3326" width="10.44140625" style="1367" bestFit="1" customWidth="1"/>
    <col min="3327" max="3567" width="9" style="1367"/>
    <col min="3568" max="3568" width="18.77734375" style="1367" bestFit="1" customWidth="1"/>
    <col min="3569" max="3569" width="13" style="1367" bestFit="1" customWidth="1"/>
    <col min="3570" max="3570" width="14.33203125" style="1367" customWidth="1"/>
    <col min="3571" max="3571" width="12" style="1367" customWidth="1"/>
    <col min="3572" max="3572" width="12.109375" style="1367" customWidth="1"/>
    <col min="3573" max="3573" width="8.44140625" style="1367" customWidth="1"/>
    <col min="3574" max="3574" width="8" style="1367" customWidth="1"/>
    <col min="3575" max="3575" width="12.109375" style="1367" customWidth="1"/>
    <col min="3576" max="3577" width="11.109375" style="1367" customWidth="1"/>
    <col min="3578" max="3578" width="9.77734375" style="1367" customWidth="1"/>
    <col min="3579" max="3579" width="10.77734375" style="1367" bestFit="1" customWidth="1"/>
    <col min="3580" max="3580" width="12.109375" style="1367" bestFit="1" customWidth="1"/>
    <col min="3581" max="3581" width="10.109375" style="1367" customWidth="1"/>
    <col min="3582" max="3582" width="10.44140625" style="1367" bestFit="1" customWidth="1"/>
    <col min="3583" max="3823" width="9" style="1367"/>
    <col min="3824" max="3824" width="18.77734375" style="1367" bestFit="1" customWidth="1"/>
    <col min="3825" max="3825" width="13" style="1367" bestFit="1" customWidth="1"/>
    <col min="3826" max="3826" width="14.33203125" style="1367" customWidth="1"/>
    <col min="3827" max="3827" width="12" style="1367" customWidth="1"/>
    <col min="3828" max="3828" width="12.109375" style="1367" customWidth="1"/>
    <col min="3829" max="3829" width="8.44140625" style="1367" customWidth="1"/>
    <col min="3830" max="3830" width="8" style="1367" customWidth="1"/>
    <col min="3831" max="3831" width="12.109375" style="1367" customWidth="1"/>
    <col min="3832" max="3833" width="11.109375" style="1367" customWidth="1"/>
    <col min="3834" max="3834" width="9.77734375" style="1367" customWidth="1"/>
    <col min="3835" max="3835" width="10.77734375" style="1367" bestFit="1" customWidth="1"/>
    <col min="3836" max="3836" width="12.109375" style="1367" bestFit="1" customWidth="1"/>
    <col min="3837" max="3837" width="10.109375" style="1367" customWidth="1"/>
    <col min="3838" max="3838" width="10.44140625" style="1367" bestFit="1" customWidth="1"/>
    <col min="3839" max="4079" width="9" style="1367"/>
    <col min="4080" max="4080" width="18.77734375" style="1367" bestFit="1" customWidth="1"/>
    <col min="4081" max="4081" width="13" style="1367" bestFit="1" customWidth="1"/>
    <col min="4082" max="4082" width="14.33203125" style="1367" customWidth="1"/>
    <col min="4083" max="4083" width="12" style="1367" customWidth="1"/>
    <col min="4084" max="4084" width="12.109375" style="1367" customWidth="1"/>
    <col min="4085" max="4085" width="8.44140625" style="1367" customWidth="1"/>
    <col min="4086" max="4086" width="8" style="1367" customWidth="1"/>
    <col min="4087" max="4087" width="12.109375" style="1367" customWidth="1"/>
    <col min="4088" max="4089" width="11.109375" style="1367" customWidth="1"/>
    <col min="4090" max="4090" width="9.77734375" style="1367" customWidth="1"/>
    <col min="4091" max="4091" width="10.77734375" style="1367" bestFit="1" customWidth="1"/>
    <col min="4092" max="4092" width="12.109375" style="1367" bestFit="1" customWidth="1"/>
    <col min="4093" max="4093" width="10.109375" style="1367" customWidth="1"/>
    <col min="4094" max="4094" width="10.44140625" style="1367" bestFit="1" customWidth="1"/>
    <col min="4095" max="4335" width="9" style="1367"/>
    <col min="4336" max="4336" width="18.77734375" style="1367" bestFit="1" customWidth="1"/>
    <col min="4337" max="4337" width="13" style="1367" bestFit="1" customWidth="1"/>
    <col min="4338" max="4338" width="14.33203125" style="1367" customWidth="1"/>
    <col min="4339" max="4339" width="12" style="1367" customWidth="1"/>
    <col min="4340" max="4340" width="12.109375" style="1367" customWidth="1"/>
    <col min="4341" max="4341" width="8.44140625" style="1367" customWidth="1"/>
    <col min="4342" max="4342" width="8" style="1367" customWidth="1"/>
    <col min="4343" max="4343" width="12.109375" style="1367" customWidth="1"/>
    <col min="4344" max="4345" width="11.109375" style="1367" customWidth="1"/>
    <col min="4346" max="4346" width="9.77734375" style="1367" customWidth="1"/>
    <col min="4347" max="4347" width="10.77734375" style="1367" bestFit="1" customWidth="1"/>
    <col min="4348" max="4348" width="12.109375" style="1367" bestFit="1" customWidth="1"/>
    <col min="4349" max="4349" width="10.109375" style="1367" customWidth="1"/>
    <col min="4350" max="4350" width="10.44140625" style="1367" bestFit="1" customWidth="1"/>
    <col min="4351" max="4591" width="9" style="1367"/>
    <col min="4592" max="4592" width="18.77734375" style="1367" bestFit="1" customWidth="1"/>
    <col min="4593" max="4593" width="13" style="1367" bestFit="1" customWidth="1"/>
    <col min="4594" max="4594" width="14.33203125" style="1367" customWidth="1"/>
    <col min="4595" max="4595" width="12" style="1367" customWidth="1"/>
    <col min="4596" max="4596" width="12.109375" style="1367" customWidth="1"/>
    <col min="4597" max="4597" width="8.44140625" style="1367" customWidth="1"/>
    <col min="4598" max="4598" width="8" style="1367" customWidth="1"/>
    <col min="4599" max="4599" width="12.109375" style="1367" customWidth="1"/>
    <col min="4600" max="4601" width="11.109375" style="1367" customWidth="1"/>
    <col min="4602" max="4602" width="9.77734375" style="1367" customWidth="1"/>
    <col min="4603" max="4603" width="10.77734375" style="1367" bestFit="1" customWidth="1"/>
    <col min="4604" max="4604" width="12.109375" style="1367" bestFit="1" customWidth="1"/>
    <col min="4605" max="4605" width="10.109375" style="1367" customWidth="1"/>
    <col min="4606" max="4606" width="10.44140625" style="1367" bestFit="1" customWidth="1"/>
    <col min="4607" max="4847" width="9" style="1367"/>
    <col min="4848" max="4848" width="18.77734375" style="1367" bestFit="1" customWidth="1"/>
    <col min="4849" max="4849" width="13" style="1367" bestFit="1" customWidth="1"/>
    <col min="4850" max="4850" width="14.33203125" style="1367" customWidth="1"/>
    <col min="4851" max="4851" width="12" style="1367" customWidth="1"/>
    <col min="4852" max="4852" width="12.109375" style="1367" customWidth="1"/>
    <col min="4853" max="4853" width="8.44140625" style="1367" customWidth="1"/>
    <col min="4854" max="4854" width="8" style="1367" customWidth="1"/>
    <col min="4855" max="4855" width="12.109375" style="1367" customWidth="1"/>
    <col min="4856" max="4857" width="11.109375" style="1367" customWidth="1"/>
    <col min="4858" max="4858" width="9.77734375" style="1367" customWidth="1"/>
    <col min="4859" max="4859" width="10.77734375" style="1367" bestFit="1" customWidth="1"/>
    <col min="4860" max="4860" width="12.109375" style="1367" bestFit="1" customWidth="1"/>
    <col min="4861" max="4861" width="10.109375" style="1367" customWidth="1"/>
    <col min="4862" max="4862" width="10.44140625" style="1367" bestFit="1" customWidth="1"/>
    <col min="4863" max="5103" width="9" style="1367"/>
    <col min="5104" max="5104" width="18.77734375" style="1367" bestFit="1" customWidth="1"/>
    <col min="5105" max="5105" width="13" style="1367" bestFit="1" customWidth="1"/>
    <col min="5106" max="5106" width="14.33203125" style="1367" customWidth="1"/>
    <col min="5107" max="5107" width="12" style="1367" customWidth="1"/>
    <col min="5108" max="5108" width="12.109375" style="1367" customWidth="1"/>
    <col min="5109" max="5109" width="8.44140625" style="1367" customWidth="1"/>
    <col min="5110" max="5110" width="8" style="1367" customWidth="1"/>
    <col min="5111" max="5111" width="12.109375" style="1367" customWidth="1"/>
    <col min="5112" max="5113" width="11.109375" style="1367" customWidth="1"/>
    <col min="5114" max="5114" width="9.77734375" style="1367" customWidth="1"/>
    <col min="5115" max="5115" width="10.77734375" style="1367" bestFit="1" customWidth="1"/>
    <col min="5116" max="5116" width="12.109375" style="1367" bestFit="1" customWidth="1"/>
    <col min="5117" max="5117" width="10.109375" style="1367" customWidth="1"/>
    <col min="5118" max="5118" width="10.44140625" style="1367" bestFit="1" customWidth="1"/>
    <col min="5119" max="5359" width="9" style="1367"/>
    <col min="5360" max="5360" width="18.77734375" style="1367" bestFit="1" customWidth="1"/>
    <col min="5361" max="5361" width="13" style="1367" bestFit="1" customWidth="1"/>
    <col min="5362" max="5362" width="14.33203125" style="1367" customWidth="1"/>
    <col min="5363" max="5363" width="12" style="1367" customWidth="1"/>
    <col min="5364" max="5364" width="12.109375" style="1367" customWidth="1"/>
    <col min="5365" max="5365" width="8.44140625" style="1367" customWidth="1"/>
    <col min="5366" max="5366" width="8" style="1367" customWidth="1"/>
    <col min="5367" max="5367" width="12.109375" style="1367" customWidth="1"/>
    <col min="5368" max="5369" width="11.109375" style="1367" customWidth="1"/>
    <col min="5370" max="5370" width="9.77734375" style="1367" customWidth="1"/>
    <col min="5371" max="5371" width="10.77734375" style="1367" bestFit="1" customWidth="1"/>
    <col min="5372" max="5372" width="12.109375" style="1367" bestFit="1" customWidth="1"/>
    <col min="5373" max="5373" width="10.109375" style="1367" customWidth="1"/>
    <col min="5374" max="5374" width="10.44140625" style="1367" bestFit="1" customWidth="1"/>
    <col min="5375" max="5615" width="9" style="1367"/>
    <col min="5616" max="5616" width="18.77734375" style="1367" bestFit="1" customWidth="1"/>
    <col min="5617" max="5617" width="13" style="1367" bestFit="1" customWidth="1"/>
    <col min="5618" max="5618" width="14.33203125" style="1367" customWidth="1"/>
    <col min="5619" max="5619" width="12" style="1367" customWidth="1"/>
    <col min="5620" max="5620" width="12.109375" style="1367" customWidth="1"/>
    <col min="5621" max="5621" width="8.44140625" style="1367" customWidth="1"/>
    <col min="5622" max="5622" width="8" style="1367" customWidth="1"/>
    <col min="5623" max="5623" width="12.109375" style="1367" customWidth="1"/>
    <col min="5624" max="5625" width="11.109375" style="1367" customWidth="1"/>
    <col min="5626" max="5626" width="9.77734375" style="1367" customWidth="1"/>
    <col min="5627" max="5627" width="10.77734375" style="1367" bestFit="1" customWidth="1"/>
    <col min="5628" max="5628" width="12.109375" style="1367" bestFit="1" customWidth="1"/>
    <col min="5629" max="5629" width="10.109375" style="1367" customWidth="1"/>
    <col min="5630" max="5630" width="10.44140625" style="1367" bestFit="1" customWidth="1"/>
    <col min="5631" max="5871" width="9" style="1367"/>
    <col min="5872" max="5872" width="18.77734375" style="1367" bestFit="1" customWidth="1"/>
    <col min="5873" max="5873" width="13" style="1367" bestFit="1" customWidth="1"/>
    <col min="5874" max="5874" width="14.33203125" style="1367" customWidth="1"/>
    <col min="5875" max="5875" width="12" style="1367" customWidth="1"/>
    <col min="5876" max="5876" width="12.109375" style="1367" customWidth="1"/>
    <col min="5877" max="5877" width="8.44140625" style="1367" customWidth="1"/>
    <col min="5878" max="5878" width="8" style="1367" customWidth="1"/>
    <col min="5879" max="5879" width="12.109375" style="1367" customWidth="1"/>
    <col min="5880" max="5881" width="11.109375" style="1367" customWidth="1"/>
    <col min="5882" max="5882" width="9.77734375" style="1367" customWidth="1"/>
    <col min="5883" max="5883" width="10.77734375" style="1367" bestFit="1" customWidth="1"/>
    <col min="5884" max="5884" width="12.109375" style="1367" bestFit="1" customWidth="1"/>
    <col min="5885" max="5885" width="10.109375" style="1367" customWidth="1"/>
    <col min="5886" max="5886" width="10.44140625" style="1367" bestFit="1" customWidth="1"/>
    <col min="5887" max="6127" width="9" style="1367"/>
    <col min="6128" max="6128" width="18.77734375" style="1367" bestFit="1" customWidth="1"/>
    <col min="6129" max="6129" width="13" style="1367" bestFit="1" customWidth="1"/>
    <col min="6130" max="6130" width="14.33203125" style="1367" customWidth="1"/>
    <col min="6131" max="6131" width="12" style="1367" customWidth="1"/>
    <col min="6132" max="6132" width="12.109375" style="1367" customWidth="1"/>
    <col min="6133" max="6133" width="8.44140625" style="1367" customWidth="1"/>
    <col min="6134" max="6134" width="8" style="1367" customWidth="1"/>
    <col min="6135" max="6135" width="12.109375" style="1367" customWidth="1"/>
    <col min="6136" max="6137" width="11.109375" style="1367" customWidth="1"/>
    <col min="6138" max="6138" width="9.77734375" style="1367" customWidth="1"/>
    <col min="6139" max="6139" width="10.77734375" style="1367" bestFit="1" customWidth="1"/>
    <col min="6140" max="6140" width="12.109375" style="1367" bestFit="1" customWidth="1"/>
    <col min="6141" max="6141" width="10.109375" style="1367" customWidth="1"/>
    <col min="6142" max="6142" width="10.44140625" style="1367" bestFit="1" customWidth="1"/>
    <col min="6143" max="6383" width="9" style="1367"/>
    <col min="6384" max="6384" width="18.77734375" style="1367" bestFit="1" customWidth="1"/>
    <col min="6385" max="6385" width="13" style="1367" bestFit="1" customWidth="1"/>
    <col min="6386" max="6386" width="14.33203125" style="1367" customWidth="1"/>
    <col min="6387" max="6387" width="12" style="1367" customWidth="1"/>
    <col min="6388" max="6388" width="12.109375" style="1367" customWidth="1"/>
    <col min="6389" max="6389" width="8.44140625" style="1367" customWidth="1"/>
    <col min="6390" max="6390" width="8" style="1367" customWidth="1"/>
    <col min="6391" max="6391" width="12.109375" style="1367" customWidth="1"/>
    <col min="6392" max="6393" width="11.109375" style="1367" customWidth="1"/>
    <col min="6394" max="6394" width="9.77734375" style="1367" customWidth="1"/>
    <col min="6395" max="6395" width="10.77734375" style="1367" bestFit="1" customWidth="1"/>
    <col min="6396" max="6396" width="12.109375" style="1367" bestFit="1" customWidth="1"/>
    <col min="6397" max="6397" width="10.109375" style="1367" customWidth="1"/>
    <col min="6398" max="6398" width="10.44140625" style="1367" bestFit="1" customWidth="1"/>
    <col min="6399" max="6639" width="9" style="1367"/>
    <col min="6640" max="6640" width="18.77734375" style="1367" bestFit="1" customWidth="1"/>
    <col min="6641" max="6641" width="13" style="1367" bestFit="1" customWidth="1"/>
    <col min="6642" max="6642" width="14.33203125" style="1367" customWidth="1"/>
    <col min="6643" max="6643" width="12" style="1367" customWidth="1"/>
    <col min="6644" max="6644" width="12.109375" style="1367" customWidth="1"/>
    <col min="6645" max="6645" width="8.44140625" style="1367" customWidth="1"/>
    <col min="6646" max="6646" width="8" style="1367" customWidth="1"/>
    <col min="6647" max="6647" width="12.109375" style="1367" customWidth="1"/>
    <col min="6648" max="6649" width="11.109375" style="1367" customWidth="1"/>
    <col min="6650" max="6650" width="9.77734375" style="1367" customWidth="1"/>
    <col min="6651" max="6651" width="10.77734375" style="1367" bestFit="1" customWidth="1"/>
    <col min="6652" max="6652" width="12.109375" style="1367" bestFit="1" customWidth="1"/>
    <col min="6653" max="6653" width="10.109375" style="1367" customWidth="1"/>
    <col min="6654" max="6654" width="10.44140625" style="1367" bestFit="1" customWidth="1"/>
    <col min="6655" max="6895" width="9" style="1367"/>
    <col min="6896" max="6896" width="18.77734375" style="1367" bestFit="1" customWidth="1"/>
    <col min="6897" max="6897" width="13" style="1367" bestFit="1" customWidth="1"/>
    <col min="6898" max="6898" width="14.33203125" style="1367" customWidth="1"/>
    <col min="6899" max="6899" width="12" style="1367" customWidth="1"/>
    <col min="6900" max="6900" width="12.109375" style="1367" customWidth="1"/>
    <col min="6901" max="6901" width="8.44140625" style="1367" customWidth="1"/>
    <col min="6902" max="6902" width="8" style="1367" customWidth="1"/>
    <col min="6903" max="6903" width="12.109375" style="1367" customWidth="1"/>
    <col min="6904" max="6905" width="11.109375" style="1367" customWidth="1"/>
    <col min="6906" max="6906" width="9.77734375" style="1367" customWidth="1"/>
    <col min="6907" max="6907" width="10.77734375" style="1367" bestFit="1" customWidth="1"/>
    <col min="6908" max="6908" width="12.109375" style="1367" bestFit="1" customWidth="1"/>
    <col min="6909" max="6909" width="10.109375" style="1367" customWidth="1"/>
    <col min="6910" max="6910" width="10.44140625" style="1367" bestFit="1" customWidth="1"/>
    <col min="6911" max="7151" width="9" style="1367"/>
    <col min="7152" max="7152" width="18.77734375" style="1367" bestFit="1" customWidth="1"/>
    <col min="7153" max="7153" width="13" style="1367" bestFit="1" customWidth="1"/>
    <col min="7154" max="7154" width="14.33203125" style="1367" customWidth="1"/>
    <col min="7155" max="7155" width="12" style="1367" customWidth="1"/>
    <col min="7156" max="7156" width="12.109375" style="1367" customWidth="1"/>
    <col min="7157" max="7157" width="8.44140625" style="1367" customWidth="1"/>
    <col min="7158" max="7158" width="8" style="1367" customWidth="1"/>
    <col min="7159" max="7159" width="12.109375" style="1367" customWidth="1"/>
    <col min="7160" max="7161" width="11.109375" style="1367" customWidth="1"/>
    <col min="7162" max="7162" width="9.77734375" style="1367" customWidth="1"/>
    <col min="7163" max="7163" width="10.77734375" style="1367" bestFit="1" customWidth="1"/>
    <col min="7164" max="7164" width="12.109375" style="1367" bestFit="1" customWidth="1"/>
    <col min="7165" max="7165" width="10.109375" style="1367" customWidth="1"/>
    <col min="7166" max="7166" width="10.44140625" style="1367" bestFit="1" customWidth="1"/>
    <col min="7167" max="7407" width="9" style="1367"/>
    <col min="7408" max="7408" width="18.77734375" style="1367" bestFit="1" customWidth="1"/>
    <col min="7409" max="7409" width="13" style="1367" bestFit="1" customWidth="1"/>
    <col min="7410" max="7410" width="14.33203125" style="1367" customWidth="1"/>
    <col min="7411" max="7411" width="12" style="1367" customWidth="1"/>
    <col min="7412" max="7412" width="12.109375" style="1367" customWidth="1"/>
    <col min="7413" max="7413" width="8.44140625" style="1367" customWidth="1"/>
    <col min="7414" max="7414" width="8" style="1367" customWidth="1"/>
    <col min="7415" max="7415" width="12.109375" style="1367" customWidth="1"/>
    <col min="7416" max="7417" width="11.109375" style="1367" customWidth="1"/>
    <col min="7418" max="7418" width="9.77734375" style="1367" customWidth="1"/>
    <col min="7419" max="7419" width="10.77734375" style="1367" bestFit="1" customWidth="1"/>
    <col min="7420" max="7420" width="12.109375" style="1367" bestFit="1" customWidth="1"/>
    <col min="7421" max="7421" width="10.109375" style="1367" customWidth="1"/>
    <col min="7422" max="7422" width="10.44140625" style="1367" bestFit="1" customWidth="1"/>
    <col min="7423" max="7663" width="9" style="1367"/>
    <col min="7664" max="7664" width="18.77734375" style="1367" bestFit="1" customWidth="1"/>
    <col min="7665" max="7665" width="13" style="1367" bestFit="1" customWidth="1"/>
    <col min="7666" max="7666" width="14.33203125" style="1367" customWidth="1"/>
    <col min="7667" max="7667" width="12" style="1367" customWidth="1"/>
    <col min="7668" max="7668" width="12.109375" style="1367" customWidth="1"/>
    <col min="7669" max="7669" width="8.44140625" style="1367" customWidth="1"/>
    <col min="7670" max="7670" width="8" style="1367" customWidth="1"/>
    <col min="7671" max="7671" width="12.109375" style="1367" customWidth="1"/>
    <col min="7672" max="7673" width="11.109375" style="1367" customWidth="1"/>
    <col min="7674" max="7674" width="9.77734375" style="1367" customWidth="1"/>
    <col min="7675" max="7675" width="10.77734375" style="1367" bestFit="1" customWidth="1"/>
    <col min="7676" max="7676" width="12.109375" style="1367" bestFit="1" customWidth="1"/>
    <col min="7677" max="7677" width="10.109375" style="1367" customWidth="1"/>
    <col min="7678" max="7678" width="10.44140625" style="1367" bestFit="1" customWidth="1"/>
    <col min="7679" max="7919" width="9" style="1367"/>
    <col min="7920" max="7920" width="18.77734375" style="1367" bestFit="1" customWidth="1"/>
    <col min="7921" max="7921" width="13" style="1367" bestFit="1" customWidth="1"/>
    <col min="7922" max="7922" width="14.33203125" style="1367" customWidth="1"/>
    <col min="7923" max="7923" width="12" style="1367" customWidth="1"/>
    <col min="7924" max="7924" width="12.109375" style="1367" customWidth="1"/>
    <col min="7925" max="7925" width="8.44140625" style="1367" customWidth="1"/>
    <col min="7926" max="7926" width="8" style="1367" customWidth="1"/>
    <col min="7927" max="7927" width="12.109375" style="1367" customWidth="1"/>
    <col min="7928" max="7929" width="11.109375" style="1367" customWidth="1"/>
    <col min="7930" max="7930" width="9.77734375" style="1367" customWidth="1"/>
    <col min="7931" max="7931" width="10.77734375" style="1367" bestFit="1" customWidth="1"/>
    <col min="7932" max="7932" width="12.109375" style="1367" bestFit="1" customWidth="1"/>
    <col min="7933" max="7933" width="10.109375" style="1367" customWidth="1"/>
    <col min="7934" max="7934" width="10.44140625" style="1367" bestFit="1" customWidth="1"/>
    <col min="7935" max="8175" width="9" style="1367"/>
    <col min="8176" max="8176" width="18.77734375" style="1367" bestFit="1" customWidth="1"/>
    <col min="8177" max="8177" width="13" style="1367" bestFit="1" customWidth="1"/>
    <col min="8178" max="8178" width="14.33203125" style="1367" customWidth="1"/>
    <col min="8179" max="8179" width="12" style="1367" customWidth="1"/>
    <col min="8180" max="8180" width="12.109375" style="1367" customWidth="1"/>
    <col min="8181" max="8181" width="8.44140625" style="1367" customWidth="1"/>
    <col min="8182" max="8182" width="8" style="1367" customWidth="1"/>
    <col min="8183" max="8183" width="12.109375" style="1367" customWidth="1"/>
    <col min="8184" max="8185" width="11.109375" style="1367" customWidth="1"/>
    <col min="8186" max="8186" width="9.77734375" style="1367" customWidth="1"/>
    <col min="8187" max="8187" width="10.77734375" style="1367" bestFit="1" customWidth="1"/>
    <col min="8188" max="8188" width="12.109375" style="1367" bestFit="1" customWidth="1"/>
    <col min="8189" max="8189" width="10.109375" style="1367" customWidth="1"/>
    <col min="8190" max="8190" width="10.44140625" style="1367" bestFit="1" customWidth="1"/>
    <col min="8191" max="8431" width="9" style="1367"/>
    <col min="8432" max="8432" width="18.77734375" style="1367" bestFit="1" customWidth="1"/>
    <col min="8433" max="8433" width="13" style="1367" bestFit="1" customWidth="1"/>
    <col min="8434" max="8434" width="14.33203125" style="1367" customWidth="1"/>
    <col min="8435" max="8435" width="12" style="1367" customWidth="1"/>
    <col min="8436" max="8436" width="12.109375" style="1367" customWidth="1"/>
    <col min="8437" max="8437" width="8.44140625" style="1367" customWidth="1"/>
    <col min="8438" max="8438" width="8" style="1367" customWidth="1"/>
    <col min="8439" max="8439" width="12.109375" style="1367" customWidth="1"/>
    <col min="8440" max="8441" width="11.109375" style="1367" customWidth="1"/>
    <col min="8442" max="8442" width="9.77734375" style="1367" customWidth="1"/>
    <col min="8443" max="8443" width="10.77734375" style="1367" bestFit="1" customWidth="1"/>
    <col min="8444" max="8444" width="12.109375" style="1367" bestFit="1" customWidth="1"/>
    <col min="8445" max="8445" width="10.109375" style="1367" customWidth="1"/>
    <col min="8446" max="8446" width="10.44140625" style="1367" bestFit="1" customWidth="1"/>
    <col min="8447" max="8687" width="9" style="1367"/>
    <col min="8688" max="8688" width="18.77734375" style="1367" bestFit="1" customWidth="1"/>
    <col min="8689" max="8689" width="13" style="1367" bestFit="1" customWidth="1"/>
    <col min="8690" max="8690" width="14.33203125" style="1367" customWidth="1"/>
    <col min="8691" max="8691" width="12" style="1367" customWidth="1"/>
    <col min="8692" max="8692" width="12.109375" style="1367" customWidth="1"/>
    <col min="8693" max="8693" width="8.44140625" style="1367" customWidth="1"/>
    <col min="8694" max="8694" width="8" style="1367" customWidth="1"/>
    <col min="8695" max="8695" width="12.109375" style="1367" customWidth="1"/>
    <col min="8696" max="8697" width="11.109375" style="1367" customWidth="1"/>
    <col min="8698" max="8698" width="9.77734375" style="1367" customWidth="1"/>
    <col min="8699" max="8699" width="10.77734375" style="1367" bestFit="1" customWidth="1"/>
    <col min="8700" max="8700" width="12.109375" style="1367" bestFit="1" customWidth="1"/>
    <col min="8701" max="8701" width="10.109375" style="1367" customWidth="1"/>
    <col min="8702" max="8702" width="10.44140625" style="1367" bestFit="1" customWidth="1"/>
    <col min="8703" max="8943" width="9" style="1367"/>
    <col min="8944" max="8944" width="18.77734375" style="1367" bestFit="1" customWidth="1"/>
    <col min="8945" max="8945" width="13" style="1367" bestFit="1" customWidth="1"/>
    <col min="8946" max="8946" width="14.33203125" style="1367" customWidth="1"/>
    <col min="8947" max="8947" width="12" style="1367" customWidth="1"/>
    <col min="8948" max="8948" width="12.109375" style="1367" customWidth="1"/>
    <col min="8949" max="8949" width="8.44140625" style="1367" customWidth="1"/>
    <col min="8950" max="8950" width="8" style="1367" customWidth="1"/>
    <col min="8951" max="8951" width="12.109375" style="1367" customWidth="1"/>
    <col min="8952" max="8953" width="11.109375" style="1367" customWidth="1"/>
    <col min="8954" max="8954" width="9.77734375" style="1367" customWidth="1"/>
    <col min="8955" max="8955" width="10.77734375" style="1367" bestFit="1" customWidth="1"/>
    <col min="8956" max="8956" width="12.109375" style="1367" bestFit="1" customWidth="1"/>
    <col min="8957" max="8957" width="10.109375" style="1367" customWidth="1"/>
    <col min="8958" max="8958" width="10.44140625" style="1367" bestFit="1" customWidth="1"/>
    <col min="8959" max="9199" width="9" style="1367"/>
    <col min="9200" max="9200" width="18.77734375" style="1367" bestFit="1" customWidth="1"/>
    <col min="9201" max="9201" width="13" style="1367" bestFit="1" customWidth="1"/>
    <col min="9202" max="9202" width="14.33203125" style="1367" customWidth="1"/>
    <col min="9203" max="9203" width="12" style="1367" customWidth="1"/>
    <col min="9204" max="9204" width="12.109375" style="1367" customWidth="1"/>
    <col min="9205" max="9205" width="8.44140625" style="1367" customWidth="1"/>
    <col min="9206" max="9206" width="8" style="1367" customWidth="1"/>
    <col min="9207" max="9207" width="12.109375" style="1367" customWidth="1"/>
    <col min="9208" max="9209" width="11.109375" style="1367" customWidth="1"/>
    <col min="9210" max="9210" width="9.77734375" style="1367" customWidth="1"/>
    <col min="9211" max="9211" width="10.77734375" style="1367" bestFit="1" customWidth="1"/>
    <col min="9212" max="9212" width="12.109375" style="1367" bestFit="1" customWidth="1"/>
    <col min="9213" max="9213" width="10.109375" style="1367" customWidth="1"/>
    <col min="9214" max="9214" width="10.44140625" style="1367" bestFit="1" customWidth="1"/>
    <col min="9215" max="9455" width="9" style="1367"/>
    <col min="9456" max="9456" width="18.77734375" style="1367" bestFit="1" customWidth="1"/>
    <col min="9457" max="9457" width="13" style="1367" bestFit="1" customWidth="1"/>
    <col min="9458" max="9458" width="14.33203125" style="1367" customWidth="1"/>
    <col min="9459" max="9459" width="12" style="1367" customWidth="1"/>
    <col min="9460" max="9460" width="12.109375" style="1367" customWidth="1"/>
    <col min="9461" max="9461" width="8.44140625" style="1367" customWidth="1"/>
    <col min="9462" max="9462" width="8" style="1367" customWidth="1"/>
    <col min="9463" max="9463" width="12.109375" style="1367" customWidth="1"/>
    <col min="9464" max="9465" width="11.109375" style="1367" customWidth="1"/>
    <col min="9466" max="9466" width="9.77734375" style="1367" customWidth="1"/>
    <col min="9467" max="9467" width="10.77734375" style="1367" bestFit="1" customWidth="1"/>
    <col min="9468" max="9468" width="12.109375" style="1367" bestFit="1" customWidth="1"/>
    <col min="9469" max="9469" width="10.109375" style="1367" customWidth="1"/>
    <col min="9470" max="9470" width="10.44140625" style="1367" bestFit="1" customWidth="1"/>
    <col min="9471" max="9711" width="9" style="1367"/>
    <col min="9712" max="9712" width="18.77734375" style="1367" bestFit="1" customWidth="1"/>
    <col min="9713" max="9713" width="13" style="1367" bestFit="1" customWidth="1"/>
    <col min="9714" max="9714" width="14.33203125" style="1367" customWidth="1"/>
    <col min="9715" max="9715" width="12" style="1367" customWidth="1"/>
    <col min="9716" max="9716" width="12.109375" style="1367" customWidth="1"/>
    <col min="9717" max="9717" width="8.44140625" style="1367" customWidth="1"/>
    <col min="9718" max="9718" width="8" style="1367" customWidth="1"/>
    <col min="9719" max="9719" width="12.109375" style="1367" customWidth="1"/>
    <col min="9720" max="9721" width="11.109375" style="1367" customWidth="1"/>
    <col min="9722" max="9722" width="9.77734375" style="1367" customWidth="1"/>
    <col min="9723" max="9723" width="10.77734375" style="1367" bestFit="1" customWidth="1"/>
    <col min="9724" max="9724" width="12.109375" style="1367" bestFit="1" customWidth="1"/>
    <col min="9725" max="9725" width="10.109375" style="1367" customWidth="1"/>
    <col min="9726" max="9726" width="10.44140625" style="1367" bestFit="1" customWidth="1"/>
    <col min="9727" max="9967" width="9" style="1367"/>
    <col min="9968" max="9968" width="18.77734375" style="1367" bestFit="1" customWidth="1"/>
    <col min="9969" max="9969" width="13" style="1367" bestFit="1" customWidth="1"/>
    <col min="9970" max="9970" width="14.33203125" style="1367" customWidth="1"/>
    <col min="9971" max="9971" width="12" style="1367" customWidth="1"/>
    <col min="9972" max="9972" width="12.109375" style="1367" customWidth="1"/>
    <col min="9973" max="9973" width="8.44140625" style="1367" customWidth="1"/>
    <col min="9974" max="9974" width="8" style="1367" customWidth="1"/>
    <col min="9975" max="9975" width="12.109375" style="1367" customWidth="1"/>
    <col min="9976" max="9977" width="11.109375" style="1367" customWidth="1"/>
    <col min="9978" max="9978" width="9.77734375" style="1367" customWidth="1"/>
    <col min="9979" max="9979" width="10.77734375" style="1367" bestFit="1" customWidth="1"/>
    <col min="9980" max="9980" width="12.109375" style="1367" bestFit="1" customWidth="1"/>
    <col min="9981" max="9981" width="10.109375" style="1367" customWidth="1"/>
    <col min="9982" max="9982" width="10.44140625" style="1367" bestFit="1" customWidth="1"/>
    <col min="9983" max="10223" width="9" style="1367"/>
    <col min="10224" max="10224" width="18.77734375" style="1367" bestFit="1" customWidth="1"/>
    <col min="10225" max="10225" width="13" style="1367" bestFit="1" customWidth="1"/>
    <col min="10226" max="10226" width="14.33203125" style="1367" customWidth="1"/>
    <col min="10227" max="10227" width="12" style="1367" customWidth="1"/>
    <col min="10228" max="10228" width="12.109375" style="1367" customWidth="1"/>
    <col min="10229" max="10229" width="8.44140625" style="1367" customWidth="1"/>
    <col min="10230" max="10230" width="8" style="1367" customWidth="1"/>
    <col min="10231" max="10231" width="12.109375" style="1367" customWidth="1"/>
    <col min="10232" max="10233" width="11.109375" style="1367" customWidth="1"/>
    <col min="10234" max="10234" width="9.77734375" style="1367" customWidth="1"/>
    <col min="10235" max="10235" width="10.77734375" style="1367" bestFit="1" customWidth="1"/>
    <col min="10236" max="10236" width="12.109375" style="1367" bestFit="1" customWidth="1"/>
    <col min="10237" max="10237" width="10.109375" style="1367" customWidth="1"/>
    <col min="10238" max="10238" width="10.44140625" style="1367" bestFit="1" customWidth="1"/>
    <col min="10239" max="10479" width="9" style="1367"/>
    <col min="10480" max="10480" width="18.77734375" style="1367" bestFit="1" customWidth="1"/>
    <col min="10481" max="10481" width="13" style="1367" bestFit="1" customWidth="1"/>
    <col min="10482" max="10482" width="14.33203125" style="1367" customWidth="1"/>
    <col min="10483" max="10483" width="12" style="1367" customWidth="1"/>
    <col min="10484" max="10484" width="12.109375" style="1367" customWidth="1"/>
    <col min="10485" max="10485" width="8.44140625" style="1367" customWidth="1"/>
    <col min="10486" max="10486" width="8" style="1367" customWidth="1"/>
    <col min="10487" max="10487" width="12.109375" style="1367" customWidth="1"/>
    <col min="10488" max="10489" width="11.109375" style="1367" customWidth="1"/>
    <col min="10490" max="10490" width="9.77734375" style="1367" customWidth="1"/>
    <col min="10491" max="10491" width="10.77734375" style="1367" bestFit="1" customWidth="1"/>
    <col min="10492" max="10492" width="12.109375" style="1367" bestFit="1" customWidth="1"/>
    <col min="10493" max="10493" width="10.109375" style="1367" customWidth="1"/>
    <col min="10494" max="10494" width="10.44140625" style="1367" bestFit="1" customWidth="1"/>
    <col min="10495" max="10735" width="9" style="1367"/>
    <col min="10736" max="10736" width="18.77734375" style="1367" bestFit="1" customWidth="1"/>
    <col min="10737" max="10737" width="13" style="1367" bestFit="1" customWidth="1"/>
    <col min="10738" max="10738" width="14.33203125" style="1367" customWidth="1"/>
    <col min="10739" max="10739" width="12" style="1367" customWidth="1"/>
    <col min="10740" max="10740" width="12.109375" style="1367" customWidth="1"/>
    <col min="10741" max="10741" width="8.44140625" style="1367" customWidth="1"/>
    <col min="10742" max="10742" width="8" style="1367" customWidth="1"/>
    <col min="10743" max="10743" width="12.109375" style="1367" customWidth="1"/>
    <col min="10744" max="10745" width="11.109375" style="1367" customWidth="1"/>
    <col min="10746" max="10746" width="9.77734375" style="1367" customWidth="1"/>
    <col min="10747" max="10747" width="10.77734375" style="1367" bestFit="1" customWidth="1"/>
    <col min="10748" max="10748" width="12.109375" style="1367" bestFit="1" customWidth="1"/>
    <col min="10749" max="10749" width="10.109375" style="1367" customWidth="1"/>
    <col min="10750" max="10750" width="10.44140625" style="1367" bestFit="1" customWidth="1"/>
    <col min="10751" max="10991" width="9" style="1367"/>
    <col min="10992" max="10992" width="18.77734375" style="1367" bestFit="1" customWidth="1"/>
    <col min="10993" max="10993" width="13" style="1367" bestFit="1" customWidth="1"/>
    <col min="10994" max="10994" width="14.33203125" style="1367" customWidth="1"/>
    <col min="10995" max="10995" width="12" style="1367" customWidth="1"/>
    <col min="10996" max="10996" width="12.109375" style="1367" customWidth="1"/>
    <col min="10997" max="10997" width="8.44140625" style="1367" customWidth="1"/>
    <col min="10998" max="10998" width="8" style="1367" customWidth="1"/>
    <col min="10999" max="10999" width="12.109375" style="1367" customWidth="1"/>
    <col min="11000" max="11001" width="11.109375" style="1367" customWidth="1"/>
    <col min="11002" max="11002" width="9.77734375" style="1367" customWidth="1"/>
    <col min="11003" max="11003" width="10.77734375" style="1367" bestFit="1" customWidth="1"/>
    <col min="11004" max="11004" width="12.109375" style="1367" bestFit="1" customWidth="1"/>
    <col min="11005" max="11005" width="10.109375" style="1367" customWidth="1"/>
    <col min="11006" max="11006" width="10.44140625" style="1367" bestFit="1" customWidth="1"/>
    <col min="11007" max="11247" width="9" style="1367"/>
    <col min="11248" max="11248" width="18.77734375" style="1367" bestFit="1" customWidth="1"/>
    <col min="11249" max="11249" width="13" style="1367" bestFit="1" customWidth="1"/>
    <col min="11250" max="11250" width="14.33203125" style="1367" customWidth="1"/>
    <col min="11251" max="11251" width="12" style="1367" customWidth="1"/>
    <col min="11252" max="11252" width="12.109375" style="1367" customWidth="1"/>
    <col min="11253" max="11253" width="8.44140625" style="1367" customWidth="1"/>
    <col min="11254" max="11254" width="8" style="1367" customWidth="1"/>
    <col min="11255" max="11255" width="12.109375" style="1367" customWidth="1"/>
    <col min="11256" max="11257" width="11.109375" style="1367" customWidth="1"/>
    <col min="11258" max="11258" width="9.77734375" style="1367" customWidth="1"/>
    <col min="11259" max="11259" width="10.77734375" style="1367" bestFit="1" customWidth="1"/>
    <col min="11260" max="11260" width="12.109375" style="1367" bestFit="1" customWidth="1"/>
    <col min="11261" max="11261" width="10.109375" style="1367" customWidth="1"/>
    <col min="11262" max="11262" width="10.44140625" style="1367" bestFit="1" customWidth="1"/>
    <col min="11263" max="11503" width="9" style="1367"/>
    <col min="11504" max="11504" width="18.77734375" style="1367" bestFit="1" customWidth="1"/>
    <col min="11505" max="11505" width="13" style="1367" bestFit="1" customWidth="1"/>
    <col min="11506" max="11506" width="14.33203125" style="1367" customWidth="1"/>
    <col min="11507" max="11507" width="12" style="1367" customWidth="1"/>
    <col min="11508" max="11508" width="12.109375" style="1367" customWidth="1"/>
    <col min="11509" max="11509" width="8.44140625" style="1367" customWidth="1"/>
    <col min="11510" max="11510" width="8" style="1367" customWidth="1"/>
    <col min="11511" max="11511" width="12.109375" style="1367" customWidth="1"/>
    <col min="11512" max="11513" width="11.109375" style="1367" customWidth="1"/>
    <col min="11514" max="11514" width="9.77734375" style="1367" customWidth="1"/>
    <col min="11515" max="11515" width="10.77734375" style="1367" bestFit="1" customWidth="1"/>
    <col min="11516" max="11516" width="12.109375" style="1367" bestFit="1" customWidth="1"/>
    <col min="11517" max="11517" width="10.109375" style="1367" customWidth="1"/>
    <col min="11518" max="11518" width="10.44140625" style="1367" bestFit="1" customWidth="1"/>
    <col min="11519" max="11759" width="9" style="1367"/>
    <col min="11760" max="11760" width="18.77734375" style="1367" bestFit="1" customWidth="1"/>
    <col min="11761" max="11761" width="13" style="1367" bestFit="1" customWidth="1"/>
    <col min="11762" max="11762" width="14.33203125" style="1367" customWidth="1"/>
    <col min="11763" max="11763" width="12" style="1367" customWidth="1"/>
    <col min="11764" max="11764" width="12.109375" style="1367" customWidth="1"/>
    <col min="11765" max="11765" width="8.44140625" style="1367" customWidth="1"/>
    <col min="11766" max="11766" width="8" style="1367" customWidth="1"/>
    <col min="11767" max="11767" width="12.109375" style="1367" customWidth="1"/>
    <col min="11768" max="11769" width="11.109375" style="1367" customWidth="1"/>
    <col min="11770" max="11770" width="9.77734375" style="1367" customWidth="1"/>
    <col min="11771" max="11771" width="10.77734375" style="1367" bestFit="1" customWidth="1"/>
    <col min="11772" max="11772" width="12.109375" style="1367" bestFit="1" customWidth="1"/>
    <col min="11773" max="11773" width="10.109375" style="1367" customWidth="1"/>
    <col min="11774" max="11774" width="10.44140625" style="1367" bestFit="1" customWidth="1"/>
    <col min="11775" max="12015" width="9" style="1367"/>
    <col min="12016" max="12016" width="18.77734375" style="1367" bestFit="1" customWidth="1"/>
    <col min="12017" max="12017" width="13" style="1367" bestFit="1" customWidth="1"/>
    <col min="12018" max="12018" width="14.33203125" style="1367" customWidth="1"/>
    <col min="12019" max="12019" width="12" style="1367" customWidth="1"/>
    <col min="12020" max="12020" width="12.109375" style="1367" customWidth="1"/>
    <col min="12021" max="12021" width="8.44140625" style="1367" customWidth="1"/>
    <col min="12022" max="12022" width="8" style="1367" customWidth="1"/>
    <col min="12023" max="12023" width="12.109375" style="1367" customWidth="1"/>
    <col min="12024" max="12025" width="11.109375" style="1367" customWidth="1"/>
    <col min="12026" max="12026" width="9.77734375" style="1367" customWidth="1"/>
    <col min="12027" max="12027" width="10.77734375" style="1367" bestFit="1" customWidth="1"/>
    <col min="12028" max="12028" width="12.109375" style="1367" bestFit="1" customWidth="1"/>
    <col min="12029" max="12029" width="10.109375" style="1367" customWidth="1"/>
    <col min="12030" max="12030" width="10.44140625" style="1367" bestFit="1" customWidth="1"/>
    <col min="12031" max="12271" width="9" style="1367"/>
    <col min="12272" max="12272" width="18.77734375" style="1367" bestFit="1" customWidth="1"/>
    <col min="12273" max="12273" width="13" style="1367" bestFit="1" customWidth="1"/>
    <col min="12274" max="12274" width="14.33203125" style="1367" customWidth="1"/>
    <col min="12275" max="12275" width="12" style="1367" customWidth="1"/>
    <col min="12276" max="12276" width="12.109375" style="1367" customWidth="1"/>
    <col min="12277" max="12277" width="8.44140625" style="1367" customWidth="1"/>
    <col min="12278" max="12278" width="8" style="1367" customWidth="1"/>
    <col min="12279" max="12279" width="12.109375" style="1367" customWidth="1"/>
    <col min="12280" max="12281" width="11.109375" style="1367" customWidth="1"/>
    <col min="12282" max="12282" width="9.77734375" style="1367" customWidth="1"/>
    <col min="12283" max="12283" width="10.77734375" style="1367" bestFit="1" customWidth="1"/>
    <col min="12284" max="12284" width="12.109375" style="1367" bestFit="1" customWidth="1"/>
    <col min="12285" max="12285" width="10.109375" style="1367" customWidth="1"/>
    <col min="12286" max="12286" width="10.44140625" style="1367" bestFit="1" customWidth="1"/>
    <col min="12287" max="12527" width="9" style="1367"/>
    <col min="12528" max="12528" width="18.77734375" style="1367" bestFit="1" customWidth="1"/>
    <col min="12529" max="12529" width="13" style="1367" bestFit="1" customWidth="1"/>
    <col min="12530" max="12530" width="14.33203125" style="1367" customWidth="1"/>
    <col min="12531" max="12531" width="12" style="1367" customWidth="1"/>
    <col min="12532" max="12532" width="12.109375" style="1367" customWidth="1"/>
    <col min="12533" max="12533" width="8.44140625" style="1367" customWidth="1"/>
    <col min="12534" max="12534" width="8" style="1367" customWidth="1"/>
    <col min="12535" max="12535" width="12.109375" style="1367" customWidth="1"/>
    <col min="12536" max="12537" width="11.109375" style="1367" customWidth="1"/>
    <col min="12538" max="12538" width="9.77734375" style="1367" customWidth="1"/>
    <col min="12539" max="12539" width="10.77734375" style="1367" bestFit="1" customWidth="1"/>
    <col min="12540" max="12540" width="12.109375" style="1367" bestFit="1" customWidth="1"/>
    <col min="12541" max="12541" width="10.109375" style="1367" customWidth="1"/>
    <col min="12542" max="12542" width="10.44140625" style="1367" bestFit="1" customWidth="1"/>
    <col min="12543" max="12783" width="9" style="1367"/>
    <col min="12784" max="12784" width="18.77734375" style="1367" bestFit="1" customWidth="1"/>
    <col min="12785" max="12785" width="13" style="1367" bestFit="1" customWidth="1"/>
    <col min="12786" max="12786" width="14.33203125" style="1367" customWidth="1"/>
    <col min="12787" max="12787" width="12" style="1367" customWidth="1"/>
    <col min="12788" max="12788" width="12.109375" style="1367" customWidth="1"/>
    <col min="12789" max="12789" width="8.44140625" style="1367" customWidth="1"/>
    <col min="12790" max="12790" width="8" style="1367" customWidth="1"/>
    <col min="12791" max="12791" width="12.109375" style="1367" customWidth="1"/>
    <col min="12792" max="12793" width="11.109375" style="1367" customWidth="1"/>
    <col min="12794" max="12794" width="9.77734375" style="1367" customWidth="1"/>
    <col min="12795" max="12795" width="10.77734375" style="1367" bestFit="1" customWidth="1"/>
    <col min="12796" max="12796" width="12.109375" style="1367" bestFit="1" customWidth="1"/>
    <col min="12797" max="12797" width="10.109375" style="1367" customWidth="1"/>
    <col min="12798" max="12798" width="10.44140625" style="1367" bestFit="1" customWidth="1"/>
    <col min="12799" max="13039" width="9" style="1367"/>
    <col min="13040" max="13040" width="18.77734375" style="1367" bestFit="1" customWidth="1"/>
    <col min="13041" max="13041" width="13" style="1367" bestFit="1" customWidth="1"/>
    <col min="13042" max="13042" width="14.33203125" style="1367" customWidth="1"/>
    <col min="13043" max="13043" width="12" style="1367" customWidth="1"/>
    <col min="13044" max="13044" width="12.109375" style="1367" customWidth="1"/>
    <col min="13045" max="13045" width="8.44140625" style="1367" customWidth="1"/>
    <col min="13046" max="13046" width="8" style="1367" customWidth="1"/>
    <col min="13047" max="13047" width="12.109375" style="1367" customWidth="1"/>
    <col min="13048" max="13049" width="11.109375" style="1367" customWidth="1"/>
    <col min="13050" max="13050" width="9.77734375" style="1367" customWidth="1"/>
    <col min="13051" max="13051" width="10.77734375" style="1367" bestFit="1" customWidth="1"/>
    <col min="13052" max="13052" width="12.109375" style="1367" bestFit="1" customWidth="1"/>
    <col min="13053" max="13053" width="10.109375" style="1367" customWidth="1"/>
    <col min="13054" max="13054" width="10.44140625" style="1367" bestFit="1" customWidth="1"/>
    <col min="13055" max="13295" width="9" style="1367"/>
    <col min="13296" max="13296" width="18.77734375" style="1367" bestFit="1" customWidth="1"/>
    <col min="13297" max="13297" width="13" style="1367" bestFit="1" customWidth="1"/>
    <col min="13298" max="13298" width="14.33203125" style="1367" customWidth="1"/>
    <col min="13299" max="13299" width="12" style="1367" customWidth="1"/>
    <col min="13300" max="13300" width="12.109375" style="1367" customWidth="1"/>
    <col min="13301" max="13301" width="8.44140625" style="1367" customWidth="1"/>
    <col min="13302" max="13302" width="8" style="1367" customWidth="1"/>
    <col min="13303" max="13303" width="12.109375" style="1367" customWidth="1"/>
    <col min="13304" max="13305" width="11.109375" style="1367" customWidth="1"/>
    <col min="13306" max="13306" width="9.77734375" style="1367" customWidth="1"/>
    <col min="13307" max="13307" width="10.77734375" style="1367" bestFit="1" customWidth="1"/>
    <col min="13308" max="13308" width="12.109375" style="1367" bestFit="1" customWidth="1"/>
    <col min="13309" max="13309" width="10.109375" style="1367" customWidth="1"/>
    <col min="13310" max="13310" width="10.44140625" style="1367" bestFit="1" customWidth="1"/>
    <col min="13311" max="13551" width="9" style="1367"/>
    <col min="13552" max="13552" width="18.77734375" style="1367" bestFit="1" customWidth="1"/>
    <col min="13553" max="13553" width="13" style="1367" bestFit="1" customWidth="1"/>
    <col min="13554" max="13554" width="14.33203125" style="1367" customWidth="1"/>
    <col min="13555" max="13555" width="12" style="1367" customWidth="1"/>
    <col min="13556" max="13556" width="12.109375" style="1367" customWidth="1"/>
    <col min="13557" max="13557" width="8.44140625" style="1367" customWidth="1"/>
    <col min="13558" max="13558" width="8" style="1367" customWidth="1"/>
    <col min="13559" max="13559" width="12.109375" style="1367" customWidth="1"/>
    <col min="13560" max="13561" width="11.109375" style="1367" customWidth="1"/>
    <col min="13562" max="13562" width="9.77734375" style="1367" customWidth="1"/>
    <col min="13563" max="13563" width="10.77734375" style="1367" bestFit="1" customWidth="1"/>
    <col min="13564" max="13564" width="12.109375" style="1367" bestFit="1" customWidth="1"/>
    <col min="13565" max="13565" width="10.109375" style="1367" customWidth="1"/>
    <col min="13566" max="13566" width="10.44140625" style="1367" bestFit="1" customWidth="1"/>
    <col min="13567" max="13807" width="9" style="1367"/>
    <col min="13808" max="13808" width="18.77734375" style="1367" bestFit="1" customWidth="1"/>
    <col min="13809" max="13809" width="13" style="1367" bestFit="1" customWidth="1"/>
    <col min="13810" max="13810" width="14.33203125" style="1367" customWidth="1"/>
    <col min="13811" max="13811" width="12" style="1367" customWidth="1"/>
    <col min="13812" max="13812" width="12.109375" style="1367" customWidth="1"/>
    <col min="13813" max="13813" width="8.44140625" style="1367" customWidth="1"/>
    <col min="13814" max="13814" width="8" style="1367" customWidth="1"/>
    <col min="13815" max="13815" width="12.109375" style="1367" customWidth="1"/>
    <col min="13816" max="13817" width="11.109375" style="1367" customWidth="1"/>
    <col min="13818" max="13818" width="9.77734375" style="1367" customWidth="1"/>
    <col min="13819" max="13819" width="10.77734375" style="1367" bestFit="1" customWidth="1"/>
    <col min="13820" max="13820" width="12.109375" style="1367" bestFit="1" customWidth="1"/>
    <col min="13821" max="13821" width="10.109375" style="1367" customWidth="1"/>
    <col min="13822" max="13822" width="10.44140625" style="1367" bestFit="1" customWidth="1"/>
    <col min="13823" max="14063" width="9" style="1367"/>
    <col min="14064" max="14064" width="18.77734375" style="1367" bestFit="1" customWidth="1"/>
    <col min="14065" max="14065" width="13" style="1367" bestFit="1" customWidth="1"/>
    <col min="14066" max="14066" width="14.33203125" style="1367" customWidth="1"/>
    <col min="14067" max="14067" width="12" style="1367" customWidth="1"/>
    <col min="14068" max="14068" width="12.109375" style="1367" customWidth="1"/>
    <col min="14069" max="14069" width="8.44140625" style="1367" customWidth="1"/>
    <col min="14070" max="14070" width="8" style="1367" customWidth="1"/>
    <col min="14071" max="14071" width="12.109375" style="1367" customWidth="1"/>
    <col min="14072" max="14073" width="11.109375" style="1367" customWidth="1"/>
    <col min="14074" max="14074" width="9.77734375" style="1367" customWidth="1"/>
    <col min="14075" max="14075" width="10.77734375" style="1367" bestFit="1" customWidth="1"/>
    <col min="14076" max="14076" width="12.109375" style="1367" bestFit="1" customWidth="1"/>
    <col min="14077" max="14077" width="10.109375" style="1367" customWidth="1"/>
    <col min="14078" max="14078" width="10.44140625" style="1367" bestFit="1" customWidth="1"/>
    <col min="14079" max="14319" width="9" style="1367"/>
    <col min="14320" max="14320" width="18.77734375" style="1367" bestFit="1" customWidth="1"/>
    <col min="14321" max="14321" width="13" style="1367" bestFit="1" customWidth="1"/>
    <col min="14322" max="14322" width="14.33203125" style="1367" customWidth="1"/>
    <col min="14323" max="14323" width="12" style="1367" customWidth="1"/>
    <col min="14324" max="14324" width="12.109375" style="1367" customWidth="1"/>
    <col min="14325" max="14325" width="8.44140625" style="1367" customWidth="1"/>
    <col min="14326" max="14326" width="8" style="1367" customWidth="1"/>
    <col min="14327" max="14327" width="12.109375" style="1367" customWidth="1"/>
    <col min="14328" max="14329" width="11.109375" style="1367" customWidth="1"/>
    <col min="14330" max="14330" width="9.77734375" style="1367" customWidth="1"/>
    <col min="14331" max="14331" width="10.77734375" style="1367" bestFit="1" customWidth="1"/>
    <col min="14332" max="14332" width="12.109375" style="1367" bestFit="1" customWidth="1"/>
    <col min="14333" max="14333" width="10.109375" style="1367" customWidth="1"/>
    <col min="14334" max="14334" width="10.44140625" style="1367" bestFit="1" customWidth="1"/>
    <col min="14335" max="14575" width="9" style="1367"/>
    <col min="14576" max="14576" width="18.77734375" style="1367" bestFit="1" customWidth="1"/>
    <col min="14577" max="14577" width="13" style="1367" bestFit="1" customWidth="1"/>
    <col min="14578" max="14578" width="14.33203125" style="1367" customWidth="1"/>
    <col min="14579" max="14579" width="12" style="1367" customWidth="1"/>
    <col min="14580" max="14580" width="12.109375" style="1367" customWidth="1"/>
    <col min="14581" max="14581" width="8.44140625" style="1367" customWidth="1"/>
    <col min="14582" max="14582" width="8" style="1367" customWidth="1"/>
    <col min="14583" max="14583" width="12.109375" style="1367" customWidth="1"/>
    <col min="14584" max="14585" width="11.109375" style="1367" customWidth="1"/>
    <col min="14586" max="14586" width="9.77734375" style="1367" customWidth="1"/>
    <col min="14587" max="14587" width="10.77734375" style="1367" bestFit="1" customWidth="1"/>
    <col min="14588" max="14588" width="12.109375" style="1367" bestFit="1" customWidth="1"/>
    <col min="14589" max="14589" width="10.109375" style="1367" customWidth="1"/>
    <col min="14590" max="14590" width="10.44140625" style="1367" bestFit="1" customWidth="1"/>
    <col min="14591" max="14831" width="9" style="1367"/>
    <col min="14832" max="14832" width="18.77734375" style="1367" bestFit="1" customWidth="1"/>
    <col min="14833" max="14833" width="13" style="1367" bestFit="1" customWidth="1"/>
    <col min="14834" max="14834" width="14.33203125" style="1367" customWidth="1"/>
    <col min="14835" max="14835" width="12" style="1367" customWidth="1"/>
    <col min="14836" max="14836" width="12.109375" style="1367" customWidth="1"/>
    <col min="14837" max="14837" width="8.44140625" style="1367" customWidth="1"/>
    <col min="14838" max="14838" width="8" style="1367" customWidth="1"/>
    <col min="14839" max="14839" width="12.109375" style="1367" customWidth="1"/>
    <col min="14840" max="14841" width="11.109375" style="1367" customWidth="1"/>
    <col min="14842" max="14842" width="9.77734375" style="1367" customWidth="1"/>
    <col min="14843" max="14843" width="10.77734375" style="1367" bestFit="1" customWidth="1"/>
    <col min="14844" max="14844" width="12.109375" style="1367" bestFit="1" customWidth="1"/>
    <col min="14845" max="14845" width="10.109375" style="1367" customWidth="1"/>
    <col min="14846" max="14846" width="10.44140625" style="1367" bestFit="1" customWidth="1"/>
    <col min="14847" max="15087" width="9" style="1367"/>
    <col min="15088" max="15088" width="18.77734375" style="1367" bestFit="1" customWidth="1"/>
    <col min="15089" max="15089" width="13" style="1367" bestFit="1" customWidth="1"/>
    <col min="15090" max="15090" width="14.33203125" style="1367" customWidth="1"/>
    <col min="15091" max="15091" width="12" style="1367" customWidth="1"/>
    <col min="15092" max="15092" width="12.109375" style="1367" customWidth="1"/>
    <col min="15093" max="15093" width="8.44140625" style="1367" customWidth="1"/>
    <col min="15094" max="15094" width="8" style="1367" customWidth="1"/>
    <col min="15095" max="15095" width="12.109375" style="1367" customWidth="1"/>
    <col min="15096" max="15097" width="11.109375" style="1367" customWidth="1"/>
    <col min="15098" max="15098" width="9.77734375" style="1367" customWidth="1"/>
    <col min="15099" max="15099" width="10.77734375" style="1367" bestFit="1" customWidth="1"/>
    <col min="15100" max="15100" width="12.109375" style="1367" bestFit="1" customWidth="1"/>
    <col min="15101" max="15101" width="10.109375" style="1367" customWidth="1"/>
    <col min="15102" max="15102" width="10.44140625" style="1367" bestFit="1" customWidth="1"/>
    <col min="15103" max="15343" width="9" style="1367"/>
    <col min="15344" max="15344" width="18.77734375" style="1367" bestFit="1" customWidth="1"/>
    <col min="15345" max="15345" width="13" style="1367" bestFit="1" customWidth="1"/>
    <col min="15346" max="15346" width="14.33203125" style="1367" customWidth="1"/>
    <col min="15347" max="15347" width="12" style="1367" customWidth="1"/>
    <col min="15348" max="15348" width="12.109375" style="1367" customWidth="1"/>
    <col min="15349" max="15349" width="8.44140625" style="1367" customWidth="1"/>
    <col min="15350" max="15350" width="8" style="1367" customWidth="1"/>
    <col min="15351" max="15351" width="12.109375" style="1367" customWidth="1"/>
    <col min="15352" max="15353" width="11.109375" style="1367" customWidth="1"/>
    <col min="15354" max="15354" width="9.77734375" style="1367" customWidth="1"/>
    <col min="15355" max="15355" width="10.77734375" style="1367" bestFit="1" customWidth="1"/>
    <col min="15356" max="15356" width="12.109375" style="1367" bestFit="1" customWidth="1"/>
    <col min="15357" max="15357" width="10.109375" style="1367" customWidth="1"/>
    <col min="15358" max="15358" width="10.44140625" style="1367" bestFit="1" customWidth="1"/>
    <col min="15359" max="15599" width="9" style="1367"/>
    <col min="15600" max="15600" width="18.77734375" style="1367" bestFit="1" customWidth="1"/>
    <col min="15601" max="15601" width="13" style="1367" bestFit="1" customWidth="1"/>
    <col min="15602" max="15602" width="14.33203125" style="1367" customWidth="1"/>
    <col min="15603" max="15603" width="12" style="1367" customWidth="1"/>
    <col min="15604" max="15604" width="12.109375" style="1367" customWidth="1"/>
    <col min="15605" max="15605" width="8.44140625" style="1367" customWidth="1"/>
    <col min="15606" max="15606" width="8" style="1367" customWidth="1"/>
    <col min="15607" max="15607" width="12.109375" style="1367" customWidth="1"/>
    <col min="15608" max="15609" width="11.109375" style="1367" customWidth="1"/>
    <col min="15610" max="15610" width="9.77734375" style="1367" customWidth="1"/>
    <col min="15611" max="15611" width="10.77734375" style="1367" bestFit="1" customWidth="1"/>
    <col min="15612" max="15612" width="12.109375" style="1367" bestFit="1" customWidth="1"/>
    <col min="15613" max="15613" width="10.109375" style="1367" customWidth="1"/>
    <col min="15614" max="15614" width="10.44140625" style="1367" bestFit="1" customWidth="1"/>
    <col min="15615" max="15855" width="9" style="1367"/>
    <col min="15856" max="15856" width="18.77734375" style="1367" bestFit="1" customWidth="1"/>
    <col min="15857" max="15857" width="13" style="1367" bestFit="1" customWidth="1"/>
    <col min="15858" max="15858" width="14.33203125" style="1367" customWidth="1"/>
    <col min="15859" max="15859" width="12" style="1367" customWidth="1"/>
    <col min="15860" max="15860" width="12.109375" style="1367" customWidth="1"/>
    <col min="15861" max="15861" width="8.44140625" style="1367" customWidth="1"/>
    <col min="15862" max="15862" width="8" style="1367" customWidth="1"/>
    <col min="15863" max="15863" width="12.109375" style="1367" customWidth="1"/>
    <col min="15864" max="15865" width="11.109375" style="1367" customWidth="1"/>
    <col min="15866" max="15866" width="9.77734375" style="1367" customWidth="1"/>
    <col min="15867" max="15867" width="10.77734375" style="1367" bestFit="1" customWidth="1"/>
    <col min="15868" max="15868" width="12.109375" style="1367" bestFit="1" customWidth="1"/>
    <col min="15869" max="15869" width="10.109375" style="1367" customWidth="1"/>
    <col min="15870" max="15870" width="10.44140625" style="1367" bestFit="1" customWidth="1"/>
    <col min="15871" max="16111" width="9" style="1367"/>
    <col min="16112" max="16112" width="18.77734375" style="1367" bestFit="1" customWidth="1"/>
    <col min="16113" max="16113" width="13" style="1367" bestFit="1" customWidth="1"/>
    <col min="16114" max="16114" width="14.33203125" style="1367" customWidth="1"/>
    <col min="16115" max="16115" width="12" style="1367" customWidth="1"/>
    <col min="16116" max="16116" width="12.109375" style="1367" customWidth="1"/>
    <col min="16117" max="16117" width="8.44140625" style="1367" customWidth="1"/>
    <col min="16118" max="16118" width="8" style="1367" customWidth="1"/>
    <col min="16119" max="16119" width="12.109375" style="1367" customWidth="1"/>
    <col min="16120" max="16121" width="11.109375" style="1367" customWidth="1"/>
    <col min="16122" max="16122" width="9.77734375" style="1367" customWidth="1"/>
    <col min="16123" max="16123" width="10.77734375" style="1367" bestFit="1" customWidth="1"/>
    <col min="16124" max="16124" width="12.109375" style="1367" bestFit="1" customWidth="1"/>
    <col min="16125" max="16125" width="10.109375" style="1367" customWidth="1"/>
    <col min="16126" max="16126" width="10.44140625" style="1367" bestFit="1" customWidth="1"/>
    <col min="16127" max="16384" width="9" style="1367"/>
  </cols>
  <sheetData>
    <row r="1" spans="1:409" s="1158" customFormat="1" ht="15.6">
      <c r="A1" s="13" t="s">
        <v>985</v>
      </c>
      <c r="D1" s="19"/>
      <c r="F1" s="19"/>
      <c r="G1" s="19"/>
      <c r="H1" s="19"/>
      <c r="I1" s="122"/>
      <c r="J1" s="122"/>
    </row>
    <row r="2" spans="1:409" s="851" customFormat="1" ht="15">
      <c r="C2" s="19"/>
      <c r="D2" s="19"/>
      <c r="F2" s="19"/>
      <c r="G2" s="19"/>
      <c r="H2" s="19"/>
      <c r="I2" s="19"/>
      <c r="J2" s="19"/>
    </row>
    <row r="3" spans="1:409" s="851" customFormat="1" ht="15.6">
      <c r="A3" s="2064" t="s">
        <v>199</v>
      </c>
      <c r="B3" s="2064"/>
      <c r="C3" s="2064"/>
      <c r="D3" s="2064"/>
      <c r="E3" s="2064"/>
      <c r="F3" s="2064"/>
      <c r="G3" s="2064"/>
      <c r="H3" s="2064"/>
      <c r="I3" s="2064"/>
      <c r="J3" s="1356"/>
      <c r="K3" s="1356"/>
      <c r="L3" s="1356"/>
      <c r="M3" s="1356"/>
      <c r="N3" s="1356"/>
      <c r="O3" s="1356"/>
      <c r="P3" s="1356"/>
      <c r="Q3" s="1356"/>
      <c r="R3" s="1356"/>
    </row>
    <row r="4" spans="1:409" s="851" customFormat="1" ht="15.6">
      <c r="A4" s="2064" t="s">
        <v>103</v>
      </c>
      <c r="B4" s="2064"/>
      <c r="C4" s="2064"/>
      <c r="D4" s="2064"/>
      <c r="E4" s="2064"/>
      <c r="F4" s="2064"/>
      <c r="G4" s="2064"/>
      <c r="H4" s="2064"/>
      <c r="I4" s="2064"/>
      <c r="J4" s="1356"/>
      <c r="K4" s="1356"/>
      <c r="L4" s="1356"/>
      <c r="M4" s="1356"/>
      <c r="N4" s="1356"/>
      <c r="O4" s="1356"/>
      <c r="P4" s="1356"/>
      <c r="Q4" s="1356"/>
      <c r="R4" s="1356"/>
    </row>
    <row r="5" spans="1:409" s="851" customFormat="1" ht="15.6">
      <c r="A5" s="1988" t="str">
        <f>SUMMARY!A7</f>
        <v>YEAR ENDING DECEMBER 31, 2021</v>
      </c>
      <c r="B5" s="1988"/>
      <c r="C5" s="1988"/>
      <c r="D5" s="1988"/>
      <c r="E5" s="1988"/>
      <c r="F5" s="1988"/>
      <c r="G5" s="1988"/>
      <c r="H5" s="1988"/>
      <c r="I5" s="1988"/>
    </row>
    <row r="6" spans="1:409" s="851" customFormat="1" ht="15.6">
      <c r="K6" s="1356"/>
      <c r="L6" s="1356"/>
      <c r="M6" s="1356"/>
      <c r="N6" s="1356"/>
      <c r="O6" s="1356"/>
      <c r="P6" s="1356"/>
      <c r="Q6" s="1356"/>
      <c r="R6" s="1356"/>
    </row>
    <row r="7" spans="1:409" s="1358" customFormat="1" ht="15.6">
      <c r="A7" s="2064" t="s">
        <v>984</v>
      </c>
      <c r="B7" s="2064"/>
      <c r="C7" s="2064"/>
      <c r="D7" s="2064"/>
      <c r="E7" s="2064"/>
      <c r="F7" s="2064"/>
      <c r="G7" s="2064"/>
      <c r="H7" s="2064"/>
      <c r="I7" s="2064"/>
      <c r="J7" s="1356"/>
      <c r="K7" s="1356"/>
      <c r="L7" s="1356"/>
      <c r="M7" s="1356"/>
      <c r="N7" s="1356"/>
      <c r="O7" s="1356"/>
      <c r="P7" s="1356"/>
      <c r="Q7" s="1356"/>
      <c r="R7" s="1356"/>
      <c r="S7" s="1357"/>
      <c r="T7" s="1357"/>
      <c r="U7" s="1357"/>
      <c r="V7" s="1357"/>
      <c r="W7" s="1357"/>
      <c r="X7" s="1357"/>
      <c r="Y7" s="1357"/>
      <c r="Z7" s="1357"/>
      <c r="AA7" s="1357"/>
      <c r="AB7" s="1357"/>
      <c r="AC7" s="1357"/>
      <c r="AD7" s="1357"/>
      <c r="AE7" s="1357"/>
      <c r="AF7" s="1357"/>
      <c r="AG7" s="1357"/>
      <c r="AH7" s="1357"/>
      <c r="AI7" s="1357"/>
      <c r="AJ7" s="1357"/>
      <c r="AK7" s="1357"/>
      <c r="AL7" s="1357"/>
      <c r="AM7" s="1357"/>
      <c r="AN7" s="1357"/>
      <c r="AO7" s="1357"/>
      <c r="AP7" s="1357"/>
      <c r="AQ7" s="1357"/>
      <c r="AR7" s="1357"/>
      <c r="AS7" s="1357"/>
      <c r="AT7" s="1357"/>
      <c r="AU7" s="1357"/>
      <c r="AV7" s="1357"/>
      <c r="AW7" s="1357"/>
      <c r="AX7" s="1357"/>
      <c r="AY7" s="1357"/>
      <c r="AZ7" s="1357"/>
      <c r="BA7" s="1357"/>
      <c r="BB7" s="1357"/>
      <c r="BC7" s="1357"/>
      <c r="BD7" s="1357"/>
      <c r="BE7" s="1357"/>
      <c r="BF7" s="1357"/>
      <c r="BG7" s="1357"/>
      <c r="BH7" s="1357"/>
      <c r="BI7" s="1357"/>
      <c r="BJ7" s="1357"/>
      <c r="BK7" s="1357"/>
      <c r="BL7" s="1357"/>
      <c r="BM7" s="1357"/>
      <c r="BN7" s="1357"/>
      <c r="BO7" s="1357"/>
      <c r="BP7" s="1357"/>
      <c r="BQ7" s="1357"/>
      <c r="BR7" s="1357"/>
      <c r="BS7" s="1357"/>
      <c r="BT7" s="1357"/>
      <c r="BU7" s="1357"/>
      <c r="BV7" s="1357"/>
      <c r="BW7" s="1357"/>
      <c r="BX7" s="1357"/>
      <c r="BY7" s="1357"/>
      <c r="BZ7" s="1357"/>
      <c r="CA7" s="1357"/>
      <c r="CB7" s="1357"/>
      <c r="CC7" s="1357"/>
      <c r="CD7" s="1357"/>
      <c r="CE7" s="1357"/>
      <c r="CF7" s="1357"/>
      <c r="CG7" s="1357"/>
      <c r="CH7" s="1357"/>
      <c r="CI7" s="1357"/>
      <c r="CJ7" s="1357"/>
      <c r="CK7" s="1357"/>
      <c r="CL7" s="1357"/>
      <c r="CM7" s="1357"/>
      <c r="CN7" s="1357"/>
      <c r="CO7" s="1357"/>
      <c r="CP7" s="1357"/>
      <c r="CQ7" s="1357"/>
      <c r="CR7" s="1357"/>
      <c r="CS7" s="1357"/>
      <c r="CT7" s="1357"/>
      <c r="CU7" s="1357"/>
      <c r="CV7" s="1357"/>
      <c r="CW7" s="1357"/>
      <c r="CX7" s="1357"/>
      <c r="CY7" s="1357"/>
      <c r="CZ7" s="1357"/>
      <c r="DA7" s="1357"/>
      <c r="DB7" s="1357"/>
      <c r="DC7" s="1357"/>
      <c r="DD7" s="1357"/>
      <c r="DE7" s="1357"/>
      <c r="DF7" s="1357"/>
      <c r="DG7" s="1357"/>
      <c r="DH7" s="1357"/>
      <c r="DI7" s="1357"/>
      <c r="DJ7" s="1357"/>
      <c r="DK7" s="1357"/>
      <c r="DL7" s="1357"/>
      <c r="DM7" s="1357"/>
      <c r="DN7" s="1357"/>
      <c r="DO7" s="1357"/>
      <c r="DP7" s="1357"/>
      <c r="DQ7" s="1357"/>
      <c r="DR7" s="1357"/>
      <c r="DS7" s="1357"/>
      <c r="DT7" s="1357"/>
      <c r="DU7" s="1357"/>
      <c r="DV7" s="1357"/>
      <c r="DW7" s="1357"/>
      <c r="DX7" s="1357"/>
      <c r="DY7" s="1357"/>
      <c r="DZ7" s="1357"/>
      <c r="EA7" s="1357"/>
      <c r="EB7" s="1357"/>
      <c r="EC7" s="1357"/>
      <c r="ED7" s="1357"/>
      <c r="EE7" s="1357"/>
      <c r="EF7" s="1357"/>
      <c r="EG7" s="1357"/>
      <c r="EH7" s="1357"/>
      <c r="EI7" s="1357"/>
      <c r="EJ7" s="1357"/>
      <c r="EK7" s="1357"/>
      <c r="EL7" s="1357"/>
      <c r="EM7" s="1357"/>
    </row>
    <row r="8" spans="1:409" s="1358" customFormat="1" ht="15.6">
      <c r="A8" s="2064" t="s">
        <v>256</v>
      </c>
      <c r="B8" s="2064"/>
      <c r="C8" s="2064"/>
      <c r="D8" s="2064"/>
      <c r="E8" s="2064"/>
      <c r="F8" s="2064"/>
      <c r="G8" s="2064"/>
      <c r="H8" s="2064"/>
      <c r="I8" s="2064"/>
      <c r="J8" s="1359"/>
      <c r="K8" s="1359"/>
      <c r="L8" s="1359"/>
      <c r="M8" s="1359"/>
      <c r="N8" s="1359"/>
      <c r="O8" s="1359"/>
      <c r="P8" s="1359"/>
      <c r="Q8" s="1359"/>
      <c r="R8" s="1359"/>
      <c r="S8" s="1360"/>
      <c r="T8" s="1357"/>
      <c r="U8" s="1357"/>
      <c r="V8" s="1357"/>
      <c r="W8" s="1357"/>
      <c r="X8" s="1357"/>
      <c r="Y8" s="1357"/>
      <c r="Z8" s="1357"/>
      <c r="AA8" s="1357"/>
      <c r="AB8" s="1357"/>
      <c r="AC8" s="1357"/>
      <c r="AD8" s="1357"/>
      <c r="AE8" s="1357"/>
      <c r="AF8" s="1357"/>
      <c r="AG8" s="1357"/>
      <c r="AH8" s="1357"/>
      <c r="AI8" s="1357"/>
      <c r="AJ8" s="1357"/>
      <c r="AK8" s="1357"/>
      <c r="AL8" s="1357"/>
      <c r="AM8" s="1357"/>
      <c r="AN8" s="1357"/>
      <c r="AO8" s="1357"/>
      <c r="AP8" s="1357"/>
      <c r="AQ8" s="1357"/>
      <c r="AR8" s="1357"/>
      <c r="AS8" s="1357"/>
      <c r="AT8" s="1357"/>
      <c r="AU8" s="1357"/>
      <c r="AV8" s="1357"/>
      <c r="AW8" s="1357"/>
      <c r="AX8" s="1357"/>
      <c r="AY8" s="1357"/>
      <c r="AZ8" s="1357"/>
      <c r="BA8" s="1357"/>
      <c r="BB8" s="1357"/>
      <c r="BC8" s="1357"/>
      <c r="BD8" s="1357"/>
      <c r="BE8" s="1357"/>
      <c r="BF8" s="1357"/>
      <c r="BG8" s="1357"/>
      <c r="BH8" s="1357"/>
      <c r="BI8" s="1357"/>
      <c r="BJ8" s="1357"/>
      <c r="BK8" s="1357"/>
      <c r="BL8" s="1357"/>
      <c r="BM8" s="1357"/>
      <c r="BN8" s="1357"/>
      <c r="BO8" s="1357"/>
      <c r="BP8" s="1357"/>
      <c r="BQ8" s="1357"/>
      <c r="BR8" s="1357"/>
      <c r="BS8" s="1357"/>
      <c r="BT8" s="1357"/>
      <c r="BU8" s="1357"/>
      <c r="BV8" s="1357"/>
      <c r="BW8" s="1357"/>
      <c r="BX8" s="1357"/>
      <c r="BY8" s="1357"/>
      <c r="BZ8" s="1357"/>
      <c r="CA8" s="1357"/>
      <c r="CB8" s="1357"/>
      <c r="CC8" s="1357"/>
      <c r="CD8" s="1357"/>
      <c r="CE8" s="1357"/>
      <c r="CF8" s="1357"/>
      <c r="CG8" s="1357"/>
      <c r="CH8" s="1357"/>
      <c r="CI8" s="1357"/>
      <c r="CJ8" s="1357"/>
      <c r="CK8" s="1357"/>
      <c r="CL8" s="1357"/>
      <c r="CM8" s="1357"/>
      <c r="CN8" s="1357"/>
      <c r="CO8" s="1357"/>
      <c r="CP8" s="1357"/>
      <c r="CQ8" s="1357"/>
      <c r="CR8" s="1357"/>
      <c r="CS8" s="1357"/>
      <c r="CT8" s="1357"/>
      <c r="CU8" s="1357"/>
      <c r="CV8" s="1357"/>
      <c r="CW8" s="1357"/>
      <c r="CX8" s="1357"/>
      <c r="CY8" s="1357"/>
      <c r="CZ8" s="1357"/>
      <c r="DA8" s="1357"/>
      <c r="DB8" s="1357"/>
      <c r="DC8" s="1357"/>
      <c r="DD8" s="1357"/>
      <c r="DE8" s="1357"/>
      <c r="DF8" s="1357"/>
      <c r="DG8" s="1357"/>
      <c r="DH8" s="1357"/>
      <c r="DI8" s="1357"/>
      <c r="DJ8" s="1357"/>
      <c r="DK8" s="1357"/>
      <c r="DL8" s="1357"/>
      <c r="DM8" s="1357"/>
      <c r="DN8" s="1357"/>
      <c r="DO8" s="1357"/>
      <c r="DP8" s="1357"/>
      <c r="DQ8" s="1357"/>
      <c r="DR8" s="1357"/>
      <c r="DS8" s="1357"/>
      <c r="DT8" s="1357"/>
      <c r="DU8" s="1357"/>
      <c r="DV8" s="1357"/>
      <c r="DW8" s="1357"/>
      <c r="DX8" s="1357"/>
      <c r="DY8" s="1357"/>
      <c r="DZ8" s="1357"/>
      <c r="EA8" s="1357"/>
      <c r="EB8" s="1357"/>
      <c r="EC8" s="1357"/>
      <c r="ED8" s="1357"/>
      <c r="EE8" s="1357"/>
      <c r="EF8" s="1357"/>
      <c r="EG8" s="1357"/>
      <c r="EH8" s="1357"/>
      <c r="EI8" s="1357"/>
      <c r="EJ8" s="1357"/>
      <c r="EK8" s="1357"/>
      <c r="EL8" s="1357"/>
      <c r="EM8" s="1357"/>
    </row>
    <row r="9" spans="1:409" s="1363" customFormat="1" ht="13.8">
      <c r="A9" s="1358"/>
      <c r="B9" s="1361"/>
      <c r="C9" s="1359"/>
      <c r="D9" s="1359"/>
      <c r="E9" s="1359"/>
      <c r="F9" s="1359"/>
      <c r="G9" s="1359"/>
      <c r="H9" s="1362"/>
      <c r="I9" s="1359"/>
      <c r="J9" s="1359"/>
    </row>
    <row r="10" spans="1:409">
      <c r="A10" s="1363"/>
      <c r="B10" s="1364" t="s">
        <v>192</v>
      </c>
      <c r="C10" s="1365"/>
      <c r="D10" s="1364" t="s">
        <v>193</v>
      </c>
      <c r="E10" s="1366"/>
      <c r="F10" s="1364" t="s">
        <v>194</v>
      </c>
      <c r="G10" s="1366"/>
      <c r="H10" s="1364" t="s">
        <v>195</v>
      </c>
      <c r="I10" s="1366"/>
      <c r="J10" s="1366"/>
    </row>
    <row r="11" spans="1:409" s="1372" customFormat="1" ht="15">
      <c r="A11" s="1367"/>
      <c r="B11" s="1367"/>
      <c r="C11" s="1367"/>
      <c r="D11" s="1368"/>
      <c r="E11" s="1368"/>
      <c r="F11" s="1368"/>
      <c r="G11" s="1368"/>
      <c r="H11" s="1368"/>
      <c r="I11" s="1368"/>
      <c r="J11" s="1368"/>
      <c r="K11" s="1369"/>
      <c r="L11" s="1369"/>
      <c r="M11" s="1369"/>
      <c r="N11" s="1369"/>
      <c r="O11" s="1369"/>
      <c r="P11" s="1370"/>
      <c r="Q11" s="1371"/>
      <c r="R11" s="1371"/>
      <c r="S11" s="1371"/>
      <c r="T11" s="1371"/>
      <c r="U11" s="1371"/>
      <c r="V11" s="1371"/>
      <c r="W11" s="1371"/>
      <c r="X11" s="1371"/>
      <c r="Y11" s="1371"/>
      <c r="Z11" s="1371"/>
      <c r="AA11" s="1371"/>
      <c r="AB11" s="1371"/>
      <c r="AC11" s="1371"/>
      <c r="AD11" s="1371"/>
      <c r="AE11" s="1371"/>
      <c r="AF11" s="1371"/>
      <c r="AG11" s="1371"/>
      <c r="AH11" s="1371"/>
      <c r="AI11" s="1371"/>
      <c r="AJ11" s="1371"/>
      <c r="AK11" s="1371"/>
      <c r="AL11" s="1371"/>
      <c r="AM11" s="1371"/>
      <c r="AN11" s="1371"/>
      <c r="AO11" s="1371"/>
      <c r="AP11" s="1371"/>
      <c r="AQ11" s="1371"/>
      <c r="AR11" s="1371"/>
      <c r="AS11" s="1371"/>
      <c r="AT11" s="1371"/>
      <c r="AU11" s="1371"/>
      <c r="AV11" s="1371"/>
      <c r="AW11" s="1371"/>
      <c r="AX11" s="1371"/>
      <c r="AY11" s="1371"/>
      <c r="AZ11" s="1371"/>
      <c r="BA11" s="1371"/>
      <c r="BB11" s="1371"/>
      <c r="BC11" s="1371"/>
      <c r="BD11" s="1371"/>
      <c r="BE11" s="1371"/>
      <c r="BF11" s="1371"/>
      <c r="BG11" s="1371"/>
      <c r="BH11" s="1371"/>
      <c r="BI11" s="1371"/>
      <c r="BJ11" s="1371"/>
      <c r="BK11" s="1371"/>
      <c r="BL11" s="1371"/>
      <c r="BM11" s="1371"/>
      <c r="BN11" s="1371"/>
      <c r="BO11" s="1371"/>
      <c r="BP11" s="1371"/>
      <c r="BQ11" s="1371"/>
      <c r="BR11" s="1371"/>
      <c r="BS11" s="1371"/>
      <c r="BT11" s="1371"/>
      <c r="BU11" s="1371"/>
      <c r="BV11" s="1371"/>
      <c r="BW11" s="1371"/>
      <c r="BX11" s="1371"/>
      <c r="BY11" s="1371"/>
      <c r="BZ11" s="1371"/>
      <c r="CA11" s="1371"/>
      <c r="CB11" s="1371"/>
      <c r="CC11" s="1371"/>
      <c r="CD11" s="1371"/>
      <c r="CE11" s="1371"/>
      <c r="CF11" s="1371"/>
      <c r="CG11" s="1371"/>
      <c r="CH11" s="1371"/>
      <c r="CI11" s="1371"/>
      <c r="CJ11" s="1371"/>
      <c r="CK11" s="1371"/>
      <c r="CL11" s="1371"/>
      <c r="CM11" s="1371"/>
      <c r="CN11" s="1371"/>
      <c r="CO11" s="1371"/>
      <c r="CP11" s="1371"/>
      <c r="CQ11" s="1371"/>
      <c r="CR11" s="1371"/>
      <c r="CS11" s="1371"/>
      <c r="CT11" s="1371"/>
      <c r="CU11" s="1371"/>
      <c r="CV11" s="1371"/>
      <c r="CW11" s="1371"/>
      <c r="CX11" s="1371"/>
      <c r="CY11" s="1371"/>
      <c r="CZ11" s="1371"/>
      <c r="DA11" s="1371"/>
      <c r="DB11" s="1371"/>
      <c r="DC11" s="1371"/>
      <c r="DD11" s="1371"/>
      <c r="DE11" s="1371"/>
      <c r="DF11" s="1371"/>
      <c r="DG11" s="1371"/>
      <c r="DH11" s="1371"/>
      <c r="DI11" s="1371"/>
      <c r="DJ11" s="1371"/>
      <c r="DK11" s="1371"/>
      <c r="DL11" s="1371"/>
      <c r="DM11" s="1371"/>
      <c r="DN11" s="1371"/>
      <c r="DO11" s="1371"/>
      <c r="DP11" s="1371"/>
      <c r="DQ11" s="1371"/>
      <c r="DR11" s="1371"/>
      <c r="DS11" s="1371"/>
      <c r="DT11" s="1371"/>
      <c r="DU11" s="1371"/>
      <c r="DV11" s="1371"/>
      <c r="DW11" s="1371"/>
      <c r="DX11" s="1371"/>
      <c r="DY11" s="1371"/>
      <c r="DZ11" s="1371"/>
      <c r="EA11" s="1371"/>
      <c r="EB11" s="1371"/>
      <c r="EC11" s="1371"/>
      <c r="ED11" s="1371"/>
      <c r="EE11" s="1371"/>
      <c r="EF11" s="1371"/>
      <c r="EG11" s="1371"/>
      <c r="EH11" s="1371"/>
      <c r="EI11" s="1371"/>
      <c r="EJ11" s="1371"/>
    </row>
    <row r="12" spans="1:409" s="494" customFormat="1" ht="21" customHeight="1">
      <c r="A12" s="1372"/>
      <c r="B12" s="1373" t="s">
        <v>169</v>
      </c>
      <c r="C12" s="1373"/>
      <c r="D12" s="1374"/>
      <c r="E12" s="1374"/>
      <c r="F12" s="1374" t="s">
        <v>321</v>
      </c>
      <c r="G12" s="1374"/>
      <c r="H12" s="1375"/>
      <c r="I12" s="1376"/>
      <c r="J12" s="1376"/>
    </row>
    <row r="13" spans="1:409" s="494" customFormat="1" ht="21" customHeight="1" thickBot="1">
      <c r="B13" s="1377" t="s">
        <v>1121</v>
      </c>
      <c r="C13" s="1373"/>
      <c r="D13" s="1377" t="s">
        <v>231</v>
      </c>
      <c r="E13" s="1374"/>
      <c r="F13" s="1377" t="s">
        <v>376</v>
      </c>
      <c r="G13" s="1374"/>
      <c r="H13" s="1378" t="s">
        <v>147</v>
      </c>
      <c r="I13" s="1376"/>
      <c r="J13" s="1376"/>
      <c r="K13" s="1158"/>
      <c r="L13" s="1158"/>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8"/>
      <c r="AL13" s="1158"/>
      <c r="AM13" s="1158"/>
      <c r="AN13" s="1158"/>
      <c r="AO13" s="1158"/>
      <c r="AP13" s="1158"/>
      <c r="AQ13" s="1158"/>
      <c r="AR13" s="1158"/>
      <c r="AS13" s="1158"/>
      <c r="AT13" s="1158"/>
      <c r="AU13" s="1158"/>
      <c r="AV13" s="1158"/>
      <c r="AW13" s="1158"/>
      <c r="AX13" s="1158"/>
      <c r="AY13" s="1158"/>
      <c r="AZ13" s="1158"/>
      <c r="BA13" s="1158"/>
      <c r="BB13" s="1158"/>
      <c r="BC13" s="1158"/>
      <c r="BD13" s="1158"/>
      <c r="BE13" s="1158"/>
      <c r="BF13" s="1158"/>
      <c r="BG13" s="1158"/>
      <c r="BH13" s="1158"/>
      <c r="BI13" s="1158"/>
      <c r="BJ13" s="1158"/>
      <c r="BK13" s="1158"/>
      <c r="BL13" s="1158"/>
      <c r="BM13" s="1158"/>
      <c r="BN13" s="1158"/>
      <c r="BO13" s="1158"/>
      <c r="BP13" s="1158"/>
      <c r="BQ13" s="1158"/>
      <c r="BR13" s="1158"/>
      <c r="BS13" s="1158"/>
      <c r="BT13" s="1158"/>
      <c r="BU13" s="1158"/>
      <c r="BV13" s="1158"/>
      <c r="BW13" s="1158"/>
      <c r="BX13" s="1158"/>
      <c r="BY13" s="1158"/>
      <c r="BZ13" s="1158"/>
      <c r="CA13" s="1158"/>
      <c r="CB13" s="1158"/>
      <c r="CC13" s="1158"/>
      <c r="CD13" s="1158"/>
      <c r="CE13" s="1158"/>
      <c r="CF13" s="1158"/>
      <c r="CG13" s="1158"/>
      <c r="CH13" s="1158"/>
      <c r="CI13" s="1158"/>
      <c r="CJ13" s="1158"/>
      <c r="CK13" s="1158"/>
      <c r="CL13" s="1158"/>
      <c r="CM13" s="1158"/>
      <c r="CN13" s="1158"/>
      <c r="CO13" s="1158"/>
      <c r="CP13" s="1158"/>
      <c r="CQ13" s="1158"/>
      <c r="CR13" s="1158"/>
      <c r="CS13" s="1158"/>
      <c r="CT13" s="1158"/>
      <c r="CU13" s="1158"/>
      <c r="CV13" s="1158"/>
      <c r="CW13" s="1158"/>
      <c r="CX13" s="1158"/>
      <c r="CY13" s="1158"/>
      <c r="CZ13" s="1158"/>
      <c r="DA13" s="1158"/>
      <c r="DB13" s="1158"/>
      <c r="DC13" s="1158"/>
      <c r="DD13" s="1158"/>
      <c r="DE13" s="1158"/>
      <c r="DF13" s="1158"/>
      <c r="DG13" s="1158"/>
      <c r="DH13" s="1158"/>
      <c r="DI13" s="1158"/>
      <c r="DJ13" s="1158"/>
      <c r="DK13" s="1158"/>
      <c r="DL13" s="1158"/>
      <c r="DM13" s="1158"/>
      <c r="DN13" s="1158"/>
      <c r="DO13" s="1158"/>
      <c r="DP13" s="1158"/>
      <c r="DQ13" s="1158"/>
      <c r="DR13" s="1158"/>
      <c r="DS13" s="1158"/>
      <c r="DT13" s="1158"/>
      <c r="DU13" s="1158"/>
      <c r="DV13" s="1158"/>
      <c r="DW13" s="1158"/>
      <c r="DX13" s="1158"/>
      <c r="DY13" s="1158"/>
      <c r="DZ13" s="1158"/>
      <c r="EA13" s="1158"/>
      <c r="EB13" s="1158"/>
      <c r="EC13" s="1158"/>
      <c r="ED13" s="1158"/>
      <c r="EE13" s="1158"/>
      <c r="EF13" s="1158"/>
      <c r="EG13" s="1158"/>
      <c r="EH13" s="1158"/>
      <c r="EI13" s="1158"/>
      <c r="EJ13" s="1158"/>
      <c r="EK13" s="1158"/>
      <c r="EL13" s="1158"/>
      <c r="EM13" s="1158"/>
      <c r="EN13" s="1158"/>
      <c r="EO13" s="1158"/>
      <c r="EP13" s="1158"/>
      <c r="EQ13" s="1158"/>
      <c r="ER13" s="1158"/>
      <c r="ES13" s="1158"/>
      <c r="ET13" s="1158"/>
      <c r="EU13" s="1158"/>
      <c r="EV13" s="1158"/>
      <c r="EW13" s="1158"/>
      <c r="EX13" s="1158"/>
      <c r="EY13" s="1158"/>
      <c r="EZ13" s="1158"/>
      <c r="FA13" s="1158"/>
      <c r="FB13" s="1158"/>
      <c r="FC13" s="1158"/>
      <c r="FD13" s="1158"/>
      <c r="FE13" s="1158"/>
      <c r="FF13" s="1158"/>
      <c r="FG13" s="1158"/>
      <c r="FH13" s="1158"/>
      <c r="FI13" s="1158"/>
      <c r="FJ13" s="1158"/>
      <c r="FK13" s="1158"/>
      <c r="FL13" s="1158"/>
      <c r="FM13" s="1158"/>
      <c r="FN13" s="1158"/>
      <c r="FO13" s="1158"/>
      <c r="FP13" s="1158"/>
      <c r="FQ13" s="1158"/>
      <c r="FR13" s="1158"/>
      <c r="FS13" s="1158"/>
      <c r="FT13" s="1158"/>
      <c r="FU13" s="1158"/>
      <c r="FV13" s="1158"/>
      <c r="FW13" s="1158"/>
      <c r="FX13" s="1158"/>
      <c r="FY13" s="1158"/>
      <c r="FZ13" s="1158"/>
      <c r="GA13" s="1158"/>
      <c r="GB13" s="1158"/>
      <c r="GC13" s="1158"/>
      <c r="GD13" s="1158"/>
      <c r="GE13" s="1158"/>
      <c r="GF13" s="1158"/>
      <c r="GG13" s="1158"/>
      <c r="GH13" s="1158"/>
      <c r="GI13" s="1158"/>
      <c r="GJ13" s="1158"/>
      <c r="GK13" s="1158"/>
      <c r="GL13" s="1158"/>
      <c r="GM13" s="1158"/>
      <c r="GN13" s="1158"/>
      <c r="GO13" s="1158"/>
      <c r="GP13" s="1158"/>
      <c r="GQ13" s="1158"/>
      <c r="GR13" s="1158"/>
      <c r="GS13" s="1158"/>
      <c r="GT13" s="1158"/>
      <c r="GU13" s="1158"/>
      <c r="GV13" s="1158"/>
      <c r="GW13" s="1158"/>
      <c r="GX13" s="1158"/>
      <c r="GY13" s="1158"/>
      <c r="GZ13" s="1158"/>
      <c r="HA13" s="1158"/>
      <c r="HB13" s="1158"/>
      <c r="HC13" s="1158"/>
      <c r="HD13" s="1158"/>
      <c r="HE13" s="1158"/>
      <c r="HF13" s="1158"/>
      <c r="HG13" s="1158"/>
      <c r="HH13" s="1158"/>
      <c r="HI13" s="1158"/>
      <c r="HJ13" s="1158"/>
      <c r="HK13" s="1158"/>
      <c r="HL13" s="1158"/>
      <c r="HM13" s="1158"/>
      <c r="HN13" s="1158"/>
      <c r="HO13" s="1158"/>
      <c r="HP13" s="1158"/>
      <c r="HQ13" s="1158"/>
      <c r="HR13" s="1158"/>
      <c r="HS13" s="1158"/>
      <c r="HT13" s="1158"/>
      <c r="HU13" s="1158"/>
      <c r="HV13" s="1158"/>
      <c r="HW13" s="1158"/>
      <c r="HX13" s="1158"/>
      <c r="HY13" s="1158"/>
      <c r="HZ13" s="1158"/>
      <c r="IA13" s="1158"/>
      <c r="IB13" s="1158"/>
      <c r="IC13" s="1158"/>
      <c r="ID13" s="1158"/>
      <c r="IE13" s="1158"/>
      <c r="IF13" s="1158"/>
      <c r="IG13" s="1158"/>
      <c r="IH13" s="1158"/>
      <c r="II13" s="1158"/>
      <c r="IJ13" s="1158"/>
      <c r="IK13" s="1158"/>
      <c r="IL13" s="1158"/>
      <c r="IM13" s="1158"/>
      <c r="IN13" s="1158"/>
      <c r="IO13" s="1158"/>
      <c r="IP13" s="1158"/>
      <c r="IQ13" s="1158"/>
      <c r="IR13" s="1158"/>
      <c r="IS13" s="1158"/>
      <c r="IT13" s="1158"/>
      <c r="IU13" s="1158"/>
      <c r="IV13" s="1158"/>
      <c r="IW13" s="1158"/>
      <c r="IX13" s="1158"/>
      <c r="IY13" s="1158"/>
      <c r="IZ13" s="1158"/>
      <c r="JA13" s="1158"/>
      <c r="JB13" s="1158"/>
      <c r="JC13" s="1158"/>
      <c r="JD13" s="1158"/>
      <c r="JE13" s="1158"/>
      <c r="JF13" s="1158"/>
      <c r="JG13" s="1158"/>
      <c r="JH13" s="1158"/>
      <c r="JI13" s="1158"/>
      <c r="JJ13" s="1158"/>
      <c r="JK13" s="1158"/>
      <c r="JL13" s="1158"/>
      <c r="JM13" s="1158"/>
      <c r="JN13" s="1158"/>
      <c r="JO13" s="1158"/>
      <c r="JP13" s="1158"/>
      <c r="JQ13" s="1158"/>
      <c r="JR13" s="1158"/>
      <c r="JS13" s="1158"/>
      <c r="JT13" s="1158"/>
      <c r="JU13" s="1158"/>
      <c r="JV13" s="1158"/>
      <c r="JW13" s="1158"/>
      <c r="JX13" s="1158"/>
      <c r="JY13" s="1158"/>
      <c r="JZ13" s="1158"/>
      <c r="KA13" s="1158"/>
      <c r="KB13" s="1158"/>
      <c r="KC13" s="1158"/>
      <c r="KD13" s="1158"/>
      <c r="KE13" s="1158"/>
      <c r="KF13" s="1158"/>
      <c r="KG13" s="1158"/>
      <c r="KH13" s="1158"/>
      <c r="KI13" s="1158"/>
      <c r="KJ13" s="1158"/>
      <c r="KK13" s="1158"/>
      <c r="KL13" s="1158"/>
      <c r="KM13" s="1158"/>
      <c r="KN13" s="1158"/>
      <c r="KO13" s="1158"/>
      <c r="KP13" s="1158"/>
      <c r="KQ13" s="1158"/>
      <c r="KR13" s="1158"/>
      <c r="KS13" s="1158"/>
      <c r="KT13" s="1158"/>
      <c r="KU13" s="1158"/>
      <c r="KV13" s="1158"/>
      <c r="KW13" s="1158"/>
      <c r="KX13" s="1158"/>
      <c r="KY13" s="1158"/>
      <c r="KZ13" s="1158"/>
      <c r="LA13" s="1158"/>
      <c r="LB13" s="1158"/>
      <c r="LC13" s="1158"/>
      <c r="LD13" s="1158"/>
      <c r="LE13" s="1158"/>
      <c r="LF13" s="1158"/>
      <c r="LG13" s="1158"/>
      <c r="LH13" s="1158"/>
      <c r="LI13" s="1158"/>
      <c r="LJ13" s="1158"/>
      <c r="LK13" s="1158"/>
      <c r="LL13" s="1158"/>
      <c r="LM13" s="1158"/>
      <c r="LN13" s="1158"/>
      <c r="LO13" s="1158"/>
      <c r="LP13" s="1158"/>
      <c r="LQ13" s="1158"/>
      <c r="LR13" s="1158"/>
      <c r="LS13" s="1158"/>
      <c r="LT13" s="1158"/>
      <c r="LU13" s="1158"/>
      <c r="LV13" s="1158"/>
      <c r="LW13" s="1158"/>
      <c r="LX13" s="1158"/>
      <c r="LY13" s="1158"/>
      <c r="LZ13" s="1158"/>
      <c r="MA13" s="1158"/>
      <c r="MB13" s="1158"/>
      <c r="MC13" s="1158"/>
      <c r="MD13" s="1158"/>
      <c r="ME13" s="1158"/>
      <c r="MF13" s="1158"/>
      <c r="MG13" s="1158"/>
      <c r="MH13" s="1158"/>
      <c r="MI13" s="1158"/>
      <c r="MJ13" s="1158"/>
      <c r="MK13" s="1158"/>
      <c r="ML13" s="1158"/>
      <c r="MM13" s="1158"/>
      <c r="MN13" s="1158"/>
      <c r="MO13" s="1158"/>
      <c r="MP13" s="1158"/>
      <c r="MQ13" s="1158"/>
      <c r="MR13" s="1158"/>
      <c r="MS13" s="1158"/>
      <c r="MT13" s="1158"/>
      <c r="MU13" s="1158"/>
      <c r="MV13" s="1158"/>
      <c r="MW13" s="1158"/>
      <c r="MX13" s="1158"/>
      <c r="MY13" s="1158"/>
      <c r="MZ13" s="1158"/>
      <c r="NA13" s="1158"/>
      <c r="NB13" s="1158"/>
      <c r="NC13" s="1158"/>
      <c r="ND13" s="1158"/>
      <c r="NE13" s="1158"/>
      <c r="NF13" s="1158"/>
      <c r="NG13" s="1158"/>
      <c r="NH13" s="1158"/>
      <c r="NI13" s="1158"/>
      <c r="NJ13" s="1158"/>
      <c r="NK13" s="1158"/>
      <c r="NL13" s="1158"/>
      <c r="NM13" s="1158"/>
      <c r="NN13" s="1158"/>
      <c r="NO13" s="1158"/>
      <c r="NP13" s="1158"/>
      <c r="NQ13" s="1158"/>
      <c r="NR13" s="1158"/>
      <c r="NS13" s="1158"/>
      <c r="NT13" s="1158"/>
      <c r="NU13" s="1158"/>
      <c r="NV13" s="1158"/>
      <c r="NW13" s="1158"/>
      <c r="NX13" s="1158"/>
      <c r="NY13" s="1158"/>
      <c r="NZ13" s="1158"/>
      <c r="OA13" s="1158"/>
      <c r="OB13" s="1158"/>
      <c r="OC13" s="1158"/>
      <c r="OD13" s="1158"/>
      <c r="OE13" s="1158"/>
      <c r="OF13" s="1158"/>
      <c r="OG13" s="1158"/>
      <c r="OH13" s="1158"/>
      <c r="OI13" s="1158"/>
      <c r="OJ13" s="1158"/>
      <c r="OK13" s="1158"/>
      <c r="OL13" s="1158"/>
      <c r="OM13" s="1158"/>
      <c r="ON13" s="1158"/>
      <c r="OO13" s="1158"/>
      <c r="OP13" s="1158"/>
      <c r="OQ13" s="1158"/>
      <c r="OR13" s="1158"/>
      <c r="OS13" s="1158"/>
    </row>
    <row r="14" spans="1:409" s="494" customFormat="1" ht="15.6">
      <c r="A14" s="494" t="s">
        <v>471</v>
      </c>
      <c r="B14" s="1379" t="s">
        <v>305</v>
      </c>
      <c r="C14" s="1373"/>
      <c r="D14" s="1380" t="s">
        <v>65</v>
      </c>
      <c r="E14" s="1374"/>
      <c r="F14" s="1463">
        <v>11815532</v>
      </c>
      <c r="G14" s="1374"/>
      <c r="H14" s="1381">
        <f>IF(F$36=0,0,F14/$F$36)</f>
        <v>9.1600004273182309E-2</v>
      </c>
      <c r="I14" s="1397"/>
      <c r="J14" s="1397"/>
      <c r="L14" s="1158"/>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8"/>
      <c r="AI14" s="1158"/>
      <c r="AJ14" s="1158"/>
      <c r="AK14" s="1158"/>
      <c r="AL14" s="1158"/>
      <c r="AM14" s="1158"/>
      <c r="AN14" s="1158"/>
      <c r="AO14" s="1158"/>
      <c r="AP14" s="1158"/>
      <c r="AQ14" s="1158"/>
      <c r="AR14" s="1158"/>
      <c r="AS14" s="1158"/>
      <c r="AT14" s="1158"/>
      <c r="AU14" s="1158"/>
      <c r="AV14" s="1158"/>
      <c r="AW14" s="1158"/>
      <c r="AX14" s="1158"/>
      <c r="AY14" s="1158"/>
      <c r="AZ14" s="1158"/>
      <c r="BA14" s="1158"/>
      <c r="BB14" s="1158"/>
      <c r="BC14" s="1158"/>
      <c r="BD14" s="1158"/>
      <c r="BE14" s="1158"/>
      <c r="BF14" s="1158"/>
      <c r="BG14" s="1158"/>
      <c r="BH14" s="1158"/>
      <c r="BI14" s="1158"/>
      <c r="BJ14" s="1158"/>
      <c r="BK14" s="1158"/>
      <c r="BL14" s="1158"/>
      <c r="BM14" s="1158"/>
      <c r="BN14" s="1158"/>
      <c r="BO14" s="1158"/>
      <c r="BP14" s="1158"/>
      <c r="BQ14" s="1158"/>
      <c r="BR14" s="1158"/>
      <c r="BS14" s="1158"/>
      <c r="BT14" s="1158"/>
      <c r="BU14" s="1158"/>
      <c r="BV14" s="1158"/>
      <c r="BW14" s="1158"/>
      <c r="BX14" s="1158"/>
      <c r="BY14" s="1158"/>
      <c r="BZ14" s="1158"/>
      <c r="CA14" s="1158"/>
      <c r="CB14" s="1158"/>
      <c r="CC14" s="1158"/>
      <c r="CD14" s="1158"/>
      <c r="CE14" s="1158"/>
      <c r="CF14" s="1158"/>
      <c r="CG14" s="1158"/>
      <c r="CH14" s="1158"/>
      <c r="CI14" s="1158"/>
      <c r="CJ14" s="1158"/>
      <c r="CK14" s="1158"/>
      <c r="CL14" s="1158"/>
      <c r="CM14" s="1158"/>
      <c r="CN14" s="1158"/>
      <c r="CO14" s="1158"/>
      <c r="CP14" s="1158"/>
      <c r="CQ14" s="1158"/>
      <c r="CR14" s="1158"/>
      <c r="CS14" s="1158"/>
      <c r="CT14" s="1158"/>
      <c r="CU14" s="1158"/>
      <c r="CV14" s="1158"/>
      <c r="CW14" s="1158"/>
      <c r="CX14" s="1158"/>
      <c r="CY14" s="1158"/>
      <c r="CZ14" s="1158"/>
      <c r="DA14" s="1158"/>
      <c r="DB14" s="1158"/>
      <c r="DC14" s="1158"/>
      <c r="DD14" s="1158"/>
      <c r="DE14" s="1158"/>
      <c r="DF14" s="1158"/>
      <c r="DG14" s="1158"/>
      <c r="DH14" s="1158"/>
      <c r="DI14" s="1158"/>
      <c r="DJ14" s="1158"/>
      <c r="DK14" s="1158"/>
      <c r="DL14" s="1158"/>
      <c r="DM14" s="1158"/>
      <c r="DN14" s="1158"/>
      <c r="DO14" s="1158"/>
      <c r="DP14" s="1158"/>
      <c r="DQ14" s="1158"/>
      <c r="DR14" s="1158"/>
      <c r="DS14" s="1158"/>
      <c r="DT14" s="1158"/>
      <c r="DU14" s="1158"/>
      <c r="DV14" s="1158"/>
      <c r="DW14" s="1158"/>
      <c r="DX14" s="1158"/>
      <c r="DY14" s="1158"/>
      <c r="DZ14" s="1158"/>
      <c r="EA14" s="1158"/>
      <c r="EB14" s="1158"/>
      <c r="EC14" s="1158"/>
      <c r="ED14" s="1158"/>
      <c r="EE14" s="1158"/>
      <c r="EF14" s="1158"/>
      <c r="EG14" s="1158"/>
      <c r="EH14" s="1158"/>
      <c r="EI14" s="1158"/>
      <c r="EJ14" s="1158"/>
      <c r="EK14" s="1158"/>
      <c r="EL14" s="1158"/>
      <c r="EM14" s="1158"/>
      <c r="EN14" s="1158"/>
      <c r="EO14" s="1158"/>
      <c r="EP14" s="1158"/>
      <c r="EQ14" s="1158"/>
      <c r="ER14" s="1158"/>
      <c r="ES14" s="1158"/>
      <c r="ET14" s="1158"/>
      <c r="EU14" s="1158"/>
      <c r="EV14" s="1158"/>
      <c r="EW14" s="1158"/>
      <c r="EX14" s="1158"/>
      <c r="EY14" s="1158"/>
      <c r="EZ14" s="1158"/>
      <c r="FA14" s="1158"/>
      <c r="FB14" s="1158"/>
      <c r="FC14" s="1158"/>
      <c r="FD14" s="1158"/>
      <c r="FE14" s="1158"/>
      <c r="FF14" s="1158"/>
      <c r="FG14" s="1158"/>
      <c r="FH14" s="1158"/>
      <c r="FI14" s="1158"/>
      <c r="FJ14" s="1158"/>
      <c r="FK14" s="1158"/>
      <c r="FL14" s="1158"/>
      <c r="FM14" s="1158"/>
      <c r="FN14" s="1158"/>
      <c r="FO14" s="1158"/>
      <c r="FP14" s="1158"/>
      <c r="FQ14" s="1158"/>
      <c r="FR14" s="1158"/>
      <c r="FS14" s="1158"/>
      <c r="FT14" s="1158"/>
      <c r="FU14" s="1158"/>
      <c r="FV14" s="1158"/>
      <c r="FW14" s="1158"/>
      <c r="FX14" s="1158"/>
      <c r="FY14" s="1158"/>
      <c r="FZ14" s="1158"/>
      <c r="GA14" s="1158"/>
      <c r="GB14" s="1158"/>
      <c r="GC14" s="1158"/>
      <c r="GD14" s="1158"/>
      <c r="GE14" s="1158"/>
      <c r="GF14" s="1158"/>
      <c r="GG14" s="1158"/>
      <c r="GH14" s="1158"/>
      <c r="GI14" s="1158"/>
      <c r="GJ14" s="1158"/>
      <c r="GK14" s="1158"/>
      <c r="GL14" s="1158"/>
      <c r="GM14" s="1158"/>
      <c r="GN14" s="1158"/>
      <c r="GO14" s="1158"/>
      <c r="GP14" s="1158"/>
      <c r="GQ14" s="1158"/>
      <c r="GR14" s="1158"/>
      <c r="GS14" s="1158"/>
      <c r="GT14" s="1158"/>
      <c r="GU14" s="1158"/>
      <c r="GV14" s="1158"/>
      <c r="GW14" s="1158"/>
      <c r="GX14" s="1158"/>
      <c r="GY14" s="1158"/>
      <c r="GZ14" s="1158"/>
      <c r="HA14" s="1158"/>
      <c r="HB14" s="1158"/>
      <c r="HC14" s="1158"/>
      <c r="HD14" s="1158"/>
      <c r="HE14" s="1158"/>
      <c r="HF14" s="1158"/>
      <c r="HG14" s="1158"/>
      <c r="HH14" s="1158"/>
      <c r="HI14" s="1158"/>
      <c r="HJ14" s="1158"/>
      <c r="HK14" s="1158"/>
      <c r="HL14" s="1158"/>
      <c r="HM14" s="1158"/>
      <c r="HN14" s="1158"/>
      <c r="HO14" s="1158"/>
      <c r="HP14" s="1158"/>
      <c r="HQ14" s="1158"/>
      <c r="HR14" s="1158"/>
      <c r="HS14" s="1158"/>
      <c r="HT14" s="1158"/>
      <c r="HU14" s="1158"/>
      <c r="HV14" s="1158"/>
      <c r="HW14" s="1158"/>
      <c r="HX14" s="1158"/>
      <c r="HY14" s="1158"/>
      <c r="HZ14" s="1158"/>
      <c r="IA14" s="1158"/>
      <c r="IB14" s="1158"/>
      <c r="IC14" s="1158"/>
      <c r="ID14" s="1158"/>
      <c r="IE14" s="1158"/>
      <c r="IF14" s="1158"/>
      <c r="IG14" s="1158"/>
      <c r="IH14" s="1158"/>
      <c r="II14" s="1158"/>
      <c r="IJ14" s="1158"/>
      <c r="IK14" s="1158"/>
      <c r="IL14" s="1158"/>
      <c r="IM14" s="1158"/>
      <c r="IN14" s="1158"/>
      <c r="IO14" s="1158"/>
      <c r="IP14" s="1158"/>
      <c r="IQ14" s="1158"/>
      <c r="IR14" s="1158"/>
      <c r="IS14" s="1158"/>
      <c r="IT14" s="1158"/>
      <c r="IU14" s="1158"/>
      <c r="IV14" s="1158"/>
      <c r="IW14" s="1158"/>
      <c r="IX14" s="1158"/>
      <c r="IY14" s="1158"/>
      <c r="IZ14" s="1158"/>
      <c r="JA14" s="1158"/>
      <c r="JB14" s="1158"/>
      <c r="JC14" s="1158"/>
      <c r="JD14" s="1158"/>
      <c r="JE14" s="1158"/>
      <c r="JF14" s="1158"/>
      <c r="JG14" s="1158"/>
      <c r="JH14" s="1158"/>
      <c r="JI14" s="1158"/>
      <c r="JJ14" s="1158"/>
      <c r="JK14" s="1158"/>
      <c r="JL14" s="1158"/>
      <c r="JM14" s="1158"/>
      <c r="JN14" s="1158"/>
      <c r="JO14" s="1158"/>
      <c r="JP14" s="1158"/>
      <c r="JQ14" s="1158"/>
      <c r="JR14" s="1158"/>
      <c r="JS14" s="1158"/>
      <c r="JT14" s="1158"/>
      <c r="JU14" s="1158"/>
      <c r="JV14" s="1158"/>
      <c r="JW14" s="1158"/>
      <c r="JX14" s="1158"/>
      <c r="JY14" s="1158"/>
      <c r="JZ14" s="1158"/>
      <c r="KA14" s="1158"/>
      <c r="KB14" s="1158"/>
      <c r="KC14" s="1158"/>
      <c r="KD14" s="1158"/>
      <c r="KE14" s="1158"/>
      <c r="KF14" s="1158"/>
      <c r="KG14" s="1158"/>
      <c r="KH14" s="1158"/>
      <c r="KI14" s="1158"/>
      <c r="KJ14" s="1158"/>
      <c r="KK14" s="1158"/>
      <c r="KL14" s="1158"/>
      <c r="KM14" s="1158"/>
      <c r="KN14" s="1158"/>
      <c r="KO14" s="1158"/>
      <c r="KP14" s="1158"/>
      <c r="KQ14" s="1158"/>
      <c r="KR14" s="1158"/>
      <c r="KS14" s="1158"/>
      <c r="KT14" s="1158"/>
      <c r="KU14" s="1158"/>
      <c r="KV14" s="1158"/>
      <c r="KW14" s="1158"/>
      <c r="KX14" s="1158"/>
      <c r="KY14" s="1158"/>
      <c r="KZ14" s="1158"/>
      <c r="LA14" s="1158"/>
      <c r="LB14" s="1158"/>
      <c r="LC14" s="1158"/>
      <c r="LD14" s="1158"/>
      <c r="LE14" s="1158"/>
      <c r="LF14" s="1158"/>
      <c r="LG14" s="1158"/>
      <c r="LH14" s="1158"/>
      <c r="LI14" s="1158"/>
      <c r="LJ14" s="1158"/>
      <c r="LK14" s="1158"/>
      <c r="LL14" s="1158"/>
      <c r="LM14" s="1158"/>
      <c r="LN14" s="1158"/>
      <c r="LO14" s="1158"/>
      <c r="LP14" s="1158"/>
      <c r="LQ14" s="1158"/>
      <c r="LR14" s="1158"/>
      <c r="LS14" s="1158"/>
      <c r="LT14" s="1158"/>
      <c r="LU14" s="1158"/>
      <c r="LV14" s="1158"/>
      <c r="LW14" s="1158"/>
      <c r="LX14" s="1158"/>
      <c r="LY14" s="1158"/>
      <c r="LZ14" s="1158"/>
      <c r="MA14" s="1158"/>
      <c r="MB14" s="1158"/>
      <c r="MC14" s="1158"/>
      <c r="MD14" s="1158"/>
      <c r="ME14" s="1158"/>
      <c r="MF14" s="1158"/>
      <c r="MG14" s="1158"/>
      <c r="MH14" s="1158"/>
      <c r="MI14" s="1158"/>
      <c r="MJ14" s="1158"/>
      <c r="MK14" s="1158"/>
      <c r="ML14" s="1158"/>
      <c r="MM14" s="1158"/>
      <c r="MN14" s="1158"/>
      <c r="MO14" s="1158"/>
      <c r="MP14" s="1158"/>
      <c r="MQ14" s="1158"/>
      <c r="MR14" s="1158"/>
      <c r="MS14" s="1158"/>
      <c r="MT14" s="1158"/>
      <c r="MU14" s="1158"/>
      <c r="MV14" s="1158"/>
      <c r="MW14" s="1158"/>
      <c r="MX14" s="1158"/>
      <c r="MY14" s="1158"/>
      <c r="MZ14" s="1158"/>
      <c r="NA14" s="1158"/>
      <c r="NB14" s="1158"/>
      <c r="NC14" s="1158"/>
      <c r="ND14" s="1158"/>
      <c r="NE14" s="1158"/>
      <c r="NF14" s="1158"/>
      <c r="NG14" s="1158"/>
      <c r="NH14" s="1158"/>
      <c r="NI14" s="1158"/>
      <c r="NJ14" s="1158"/>
      <c r="NK14" s="1158"/>
      <c r="NL14" s="1158"/>
      <c r="NM14" s="1158"/>
      <c r="NN14" s="1158"/>
      <c r="NO14" s="1158"/>
      <c r="NP14" s="1158"/>
      <c r="NQ14" s="1158"/>
      <c r="NR14" s="1158"/>
      <c r="NS14" s="1158"/>
      <c r="NT14" s="1158"/>
      <c r="NU14" s="1158"/>
      <c r="NV14" s="1158"/>
      <c r="NW14" s="1158"/>
      <c r="NX14" s="1158"/>
      <c r="NY14" s="1158"/>
      <c r="NZ14" s="1158"/>
      <c r="OA14" s="1158"/>
      <c r="OB14" s="1158"/>
      <c r="OC14" s="1158"/>
      <c r="OD14" s="1158"/>
      <c r="OE14" s="1158"/>
      <c r="OF14" s="1158"/>
      <c r="OG14" s="1158"/>
      <c r="OH14" s="1158"/>
      <c r="OI14" s="1158"/>
      <c r="OJ14" s="1158"/>
      <c r="OK14" s="1158"/>
      <c r="OL14" s="1158"/>
      <c r="OM14" s="1158"/>
      <c r="ON14" s="1158"/>
      <c r="OO14" s="1158"/>
      <c r="OP14" s="1158"/>
      <c r="OQ14" s="1158"/>
      <c r="OR14" s="1158"/>
      <c r="OS14" s="1158"/>
    </row>
    <row r="15" spans="1:409" s="494" customFormat="1" ht="15.6">
      <c r="A15" s="494" t="s">
        <v>473</v>
      </c>
      <c r="B15" s="1379" t="s">
        <v>306</v>
      </c>
      <c r="C15" s="1379"/>
      <c r="D15" s="1380" t="s">
        <v>63</v>
      </c>
      <c r="E15" s="1374"/>
      <c r="F15" s="1463">
        <v>17026748</v>
      </c>
      <c r="G15" s="1382"/>
      <c r="H15" s="1381">
        <f>IF(F$36=0,0,F15/$F$36)</f>
        <v>0.13199999708505705</v>
      </c>
      <c r="I15" s="1397"/>
      <c r="J15" s="1397"/>
      <c r="L15" s="1158"/>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1158"/>
      <c r="AJ15" s="1158"/>
      <c r="AK15" s="1158"/>
      <c r="AL15" s="1158"/>
      <c r="AM15" s="1158"/>
      <c r="AN15" s="1158"/>
      <c r="AO15" s="1158"/>
      <c r="AP15" s="1158"/>
      <c r="AQ15" s="1158"/>
      <c r="AR15" s="1158"/>
      <c r="AS15" s="1158"/>
      <c r="AT15" s="1158"/>
      <c r="AU15" s="1158"/>
      <c r="AV15" s="1158"/>
      <c r="AW15" s="1158"/>
      <c r="AX15" s="1158"/>
      <c r="AY15" s="1158"/>
      <c r="AZ15" s="1158"/>
      <c r="BA15" s="1158"/>
      <c r="BB15" s="1158"/>
      <c r="BC15" s="1158"/>
      <c r="BD15" s="1158"/>
      <c r="BE15" s="1158"/>
      <c r="BF15" s="1158"/>
      <c r="BG15" s="1158"/>
      <c r="BH15" s="1158"/>
      <c r="BI15" s="1158"/>
      <c r="BJ15" s="1158"/>
      <c r="BK15" s="1158"/>
      <c r="BL15" s="1158"/>
      <c r="BM15" s="1158"/>
      <c r="BN15" s="1158"/>
      <c r="BO15" s="1158"/>
      <c r="BP15" s="1158"/>
      <c r="BQ15" s="1158"/>
      <c r="BR15" s="1158"/>
      <c r="BS15" s="1158"/>
      <c r="BT15" s="1158"/>
      <c r="BU15" s="1158"/>
      <c r="BV15" s="1158"/>
      <c r="BW15" s="1158"/>
      <c r="BX15" s="1158"/>
      <c r="BY15" s="1158"/>
      <c r="BZ15" s="1158"/>
      <c r="CA15" s="1158"/>
      <c r="CB15" s="1158"/>
      <c r="CC15" s="1158"/>
      <c r="CD15" s="1158"/>
      <c r="CE15" s="1158"/>
      <c r="CF15" s="1158"/>
      <c r="CG15" s="1158"/>
      <c r="CH15" s="1158"/>
      <c r="CI15" s="1158"/>
      <c r="CJ15" s="1158"/>
      <c r="CK15" s="1158"/>
      <c r="CL15" s="1158"/>
      <c r="CM15" s="1158"/>
      <c r="CN15" s="1158"/>
      <c r="CO15" s="1158"/>
      <c r="CP15" s="1158"/>
      <c r="CQ15" s="1158"/>
      <c r="CR15" s="1158"/>
      <c r="CS15" s="1158"/>
      <c r="CT15" s="1158"/>
      <c r="CU15" s="1158"/>
      <c r="CV15" s="1158"/>
      <c r="CW15" s="1158"/>
      <c r="CX15" s="1158"/>
      <c r="CY15" s="1158"/>
      <c r="CZ15" s="1158"/>
      <c r="DA15" s="1158"/>
      <c r="DB15" s="1158"/>
      <c r="DC15" s="1158"/>
      <c r="DD15" s="1158"/>
      <c r="DE15" s="1158"/>
      <c r="DF15" s="1158"/>
      <c r="DG15" s="1158"/>
      <c r="DH15" s="1158"/>
      <c r="DI15" s="1158"/>
      <c r="DJ15" s="1158"/>
      <c r="DK15" s="1158"/>
      <c r="DL15" s="1158"/>
      <c r="DM15" s="1158"/>
      <c r="DN15" s="1158"/>
      <c r="DO15" s="1158"/>
      <c r="DP15" s="1158"/>
      <c r="DQ15" s="1158"/>
      <c r="DR15" s="1158"/>
      <c r="DS15" s="1158"/>
      <c r="DT15" s="1158"/>
      <c r="DU15" s="1158"/>
      <c r="DV15" s="1158"/>
      <c r="DW15" s="1158"/>
      <c r="DX15" s="1158"/>
      <c r="DY15" s="1158"/>
      <c r="DZ15" s="1158"/>
      <c r="EA15" s="1158"/>
      <c r="EB15" s="1158"/>
      <c r="EC15" s="1158"/>
      <c r="ED15" s="1158"/>
      <c r="EE15" s="1158"/>
      <c r="EF15" s="1158"/>
      <c r="EG15" s="1158"/>
      <c r="EH15" s="1158"/>
      <c r="EI15" s="1158"/>
      <c r="EJ15" s="1158"/>
      <c r="EK15" s="1158"/>
      <c r="EL15" s="1158"/>
      <c r="EM15" s="1158"/>
      <c r="EN15" s="1158"/>
      <c r="EO15" s="1158"/>
      <c r="EP15" s="1158"/>
      <c r="EQ15" s="1158"/>
      <c r="ER15" s="1158"/>
      <c r="ES15" s="1158"/>
      <c r="ET15" s="1158"/>
      <c r="EU15" s="1158"/>
      <c r="EV15" s="1158"/>
      <c r="EW15" s="1158"/>
      <c r="EX15" s="1158"/>
      <c r="EY15" s="1158"/>
      <c r="EZ15" s="1158"/>
      <c r="FA15" s="1158"/>
      <c r="FB15" s="1158"/>
      <c r="FC15" s="1158"/>
      <c r="FD15" s="1158"/>
      <c r="FE15" s="1158"/>
      <c r="FF15" s="1158"/>
      <c r="FG15" s="1158"/>
      <c r="FH15" s="1158"/>
      <c r="FI15" s="1158"/>
      <c r="FJ15" s="1158"/>
      <c r="FK15" s="1158"/>
      <c r="FL15" s="1158"/>
      <c r="FM15" s="1158"/>
      <c r="FN15" s="1158"/>
      <c r="FO15" s="1158"/>
      <c r="FP15" s="1158"/>
      <c r="FQ15" s="1158"/>
      <c r="FR15" s="1158"/>
      <c r="FS15" s="1158"/>
      <c r="FT15" s="1158"/>
      <c r="FU15" s="1158"/>
      <c r="FV15" s="1158"/>
      <c r="FW15" s="1158"/>
      <c r="FX15" s="1158"/>
      <c r="FY15" s="1158"/>
      <c r="FZ15" s="1158"/>
      <c r="GA15" s="1158"/>
      <c r="GB15" s="1158"/>
      <c r="GC15" s="1158"/>
      <c r="GD15" s="1158"/>
      <c r="GE15" s="1158"/>
      <c r="GF15" s="1158"/>
      <c r="GG15" s="1158"/>
      <c r="GH15" s="1158"/>
      <c r="GI15" s="1158"/>
      <c r="GJ15" s="1158"/>
      <c r="GK15" s="1158"/>
      <c r="GL15" s="1158"/>
      <c r="GM15" s="1158"/>
      <c r="GN15" s="1158"/>
      <c r="GO15" s="1158"/>
      <c r="GP15" s="1158"/>
      <c r="GQ15" s="1158"/>
      <c r="GR15" s="1158"/>
      <c r="GS15" s="1158"/>
      <c r="GT15" s="1158"/>
      <c r="GU15" s="1158"/>
      <c r="GV15" s="1158"/>
      <c r="GW15" s="1158"/>
      <c r="GX15" s="1158"/>
      <c r="GY15" s="1158"/>
      <c r="GZ15" s="1158"/>
      <c r="HA15" s="1158"/>
      <c r="HB15" s="1158"/>
      <c r="HC15" s="1158"/>
      <c r="HD15" s="1158"/>
      <c r="HE15" s="1158"/>
      <c r="HF15" s="1158"/>
      <c r="HG15" s="1158"/>
      <c r="HH15" s="1158"/>
      <c r="HI15" s="1158"/>
      <c r="HJ15" s="1158"/>
      <c r="HK15" s="1158"/>
      <c r="HL15" s="1158"/>
      <c r="HM15" s="1158"/>
      <c r="HN15" s="1158"/>
      <c r="HO15" s="1158"/>
      <c r="HP15" s="1158"/>
      <c r="HQ15" s="1158"/>
      <c r="HR15" s="1158"/>
      <c r="HS15" s="1158"/>
      <c r="HT15" s="1158"/>
      <c r="HU15" s="1158"/>
      <c r="HV15" s="1158"/>
      <c r="HW15" s="1158"/>
      <c r="HX15" s="1158"/>
      <c r="HY15" s="1158"/>
      <c r="HZ15" s="1158"/>
      <c r="IA15" s="1158"/>
      <c r="IB15" s="1158"/>
      <c r="IC15" s="1158"/>
      <c r="ID15" s="1158"/>
      <c r="IE15" s="1158"/>
      <c r="IF15" s="1158"/>
      <c r="IG15" s="1158"/>
      <c r="IH15" s="1158"/>
      <c r="II15" s="1158"/>
      <c r="IJ15" s="1158"/>
      <c r="IK15" s="1158"/>
      <c r="IL15" s="1158"/>
      <c r="IM15" s="1158"/>
      <c r="IN15" s="1158"/>
      <c r="IO15" s="1158"/>
      <c r="IP15" s="1158"/>
      <c r="IQ15" s="1158"/>
      <c r="IR15" s="1158"/>
      <c r="IS15" s="1158"/>
      <c r="IT15" s="1158"/>
      <c r="IU15" s="1158"/>
      <c r="IV15" s="1158"/>
      <c r="IW15" s="1158"/>
      <c r="IX15" s="1158"/>
      <c r="IY15" s="1158"/>
      <c r="IZ15" s="1158"/>
      <c r="JA15" s="1158"/>
      <c r="JB15" s="1158"/>
      <c r="JC15" s="1158"/>
      <c r="JD15" s="1158"/>
      <c r="JE15" s="1158"/>
      <c r="JF15" s="1158"/>
      <c r="JG15" s="1158"/>
      <c r="JH15" s="1158"/>
      <c r="JI15" s="1158"/>
      <c r="JJ15" s="1158"/>
      <c r="JK15" s="1158"/>
      <c r="JL15" s="1158"/>
      <c r="JM15" s="1158"/>
      <c r="JN15" s="1158"/>
      <c r="JO15" s="1158"/>
      <c r="JP15" s="1158"/>
      <c r="JQ15" s="1158"/>
      <c r="JR15" s="1158"/>
      <c r="JS15" s="1158"/>
      <c r="JT15" s="1158"/>
      <c r="JU15" s="1158"/>
      <c r="JV15" s="1158"/>
      <c r="JW15" s="1158"/>
      <c r="JX15" s="1158"/>
      <c r="JY15" s="1158"/>
      <c r="JZ15" s="1158"/>
      <c r="KA15" s="1158"/>
      <c r="KB15" s="1158"/>
      <c r="KC15" s="1158"/>
      <c r="KD15" s="1158"/>
      <c r="KE15" s="1158"/>
      <c r="KF15" s="1158"/>
      <c r="KG15" s="1158"/>
      <c r="KH15" s="1158"/>
      <c r="KI15" s="1158"/>
      <c r="KJ15" s="1158"/>
      <c r="KK15" s="1158"/>
      <c r="KL15" s="1158"/>
      <c r="KM15" s="1158"/>
      <c r="KN15" s="1158"/>
      <c r="KO15" s="1158"/>
      <c r="KP15" s="1158"/>
      <c r="KQ15" s="1158"/>
      <c r="KR15" s="1158"/>
      <c r="KS15" s="1158"/>
      <c r="KT15" s="1158"/>
      <c r="KU15" s="1158"/>
      <c r="KV15" s="1158"/>
      <c r="KW15" s="1158"/>
      <c r="KX15" s="1158"/>
      <c r="KY15" s="1158"/>
      <c r="KZ15" s="1158"/>
      <c r="LA15" s="1158"/>
      <c r="LB15" s="1158"/>
      <c r="LC15" s="1158"/>
      <c r="LD15" s="1158"/>
      <c r="LE15" s="1158"/>
      <c r="LF15" s="1158"/>
      <c r="LG15" s="1158"/>
      <c r="LH15" s="1158"/>
      <c r="LI15" s="1158"/>
      <c r="LJ15" s="1158"/>
      <c r="LK15" s="1158"/>
      <c r="LL15" s="1158"/>
      <c r="LM15" s="1158"/>
      <c r="LN15" s="1158"/>
      <c r="LO15" s="1158"/>
      <c r="LP15" s="1158"/>
      <c r="LQ15" s="1158"/>
      <c r="LR15" s="1158"/>
      <c r="LS15" s="1158"/>
      <c r="LT15" s="1158"/>
      <c r="LU15" s="1158"/>
      <c r="LV15" s="1158"/>
      <c r="LW15" s="1158"/>
      <c r="LX15" s="1158"/>
      <c r="LY15" s="1158"/>
      <c r="LZ15" s="1158"/>
      <c r="MA15" s="1158"/>
      <c r="MB15" s="1158"/>
      <c r="MC15" s="1158"/>
      <c r="MD15" s="1158"/>
      <c r="ME15" s="1158"/>
      <c r="MF15" s="1158"/>
      <c r="MG15" s="1158"/>
      <c r="MH15" s="1158"/>
      <c r="MI15" s="1158"/>
      <c r="MJ15" s="1158"/>
      <c r="MK15" s="1158"/>
      <c r="ML15" s="1158"/>
      <c r="MM15" s="1158"/>
      <c r="MN15" s="1158"/>
      <c r="MO15" s="1158"/>
      <c r="MP15" s="1158"/>
      <c r="MQ15" s="1158"/>
      <c r="MR15" s="1158"/>
      <c r="MS15" s="1158"/>
      <c r="MT15" s="1158"/>
      <c r="MU15" s="1158"/>
      <c r="MV15" s="1158"/>
      <c r="MW15" s="1158"/>
      <c r="MX15" s="1158"/>
      <c r="MY15" s="1158"/>
      <c r="MZ15" s="1158"/>
      <c r="NA15" s="1158"/>
      <c r="NB15" s="1158"/>
      <c r="NC15" s="1158"/>
      <c r="ND15" s="1158"/>
      <c r="NE15" s="1158"/>
      <c r="NF15" s="1158"/>
      <c r="NG15" s="1158"/>
      <c r="NH15" s="1158"/>
      <c r="NI15" s="1158"/>
      <c r="NJ15" s="1158"/>
      <c r="NK15" s="1158"/>
      <c r="NL15" s="1158"/>
      <c r="NM15" s="1158"/>
      <c r="NN15" s="1158"/>
      <c r="NO15" s="1158"/>
      <c r="NP15" s="1158"/>
      <c r="NQ15" s="1158"/>
      <c r="NR15" s="1158"/>
      <c r="NS15" s="1158"/>
      <c r="NT15" s="1158"/>
      <c r="NU15" s="1158"/>
      <c r="NV15" s="1158"/>
      <c r="NW15" s="1158"/>
      <c r="NX15" s="1158"/>
      <c r="NY15" s="1158"/>
      <c r="NZ15" s="1158"/>
      <c r="OA15" s="1158"/>
      <c r="OB15" s="1158"/>
      <c r="OC15" s="1158"/>
      <c r="OD15" s="1158"/>
      <c r="OE15" s="1158"/>
      <c r="OF15" s="1158"/>
      <c r="OG15" s="1158"/>
      <c r="OH15" s="1158"/>
      <c r="OI15" s="1158"/>
      <c r="OJ15" s="1158"/>
      <c r="OK15" s="1158"/>
      <c r="OL15" s="1158"/>
      <c r="OM15" s="1158"/>
      <c r="ON15" s="1158"/>
      <c r="OO15" s="1158"/>
      <c r="OP15" s="1158"/>
      <c r="OQ15" s="1158"/>
      <c r="OR15" s="1158"/>
      <c r="OS15" s="1158"/>
    </row>
    <row r="16" spans="1:409" s="494" customFormat="1" ht="15.6">
      <c r="A16" s="494" t="s">
        <v>494</v>
      </c>
      <c r="B16" s="1379" t="s">
        <v>307</v>
      </c>
      <c r="C16" s="1379"/>
      <c r="D16" s="1380" t="s">
        <v>64</v>
      </c>
      <c r="E16" s="1383"/>
      <c r="F16" s="1463">
        <v>32441115</v>
      </c>
      <c r="G16" s="1382"/>
      <c r="H16" s="1381">
        <f>IF(F$36=0,0,F16/$F$36)</f>
        <v>0.25149999785255533</v>
      </c>
      <c r="I16" s="1397"/>
      <c r="J16" s="1397"/>
      <c r="L16" s="1158"/>
      <c r="M16" s="1158"/>
      <c r="N16" s="1158"/>
      <c r="O16" s="1158"/>
      <c r="P16" s="1158"/>
      <c r="Q16" s="1158"/>
      <c r="R16" s="1158"/>
      <c r="S16" s="1158"/>
      <c r="T16" s="1158"/>
      <c r="U16" s="1158"/>
      <c r="V16" s="1158"/>
      <c r="W16" s="1158"/>
      <c r="X16" s="1158"/>
      <c r="Y16" s="1158"/>
      <c r="Z16" s="1158"/>
      <c r="AA16" s="1158"/>
      <c r="AB16" s="1158"/>
      <c r="AC16" s="1158"/>
      <c r="AD16" s="1158"/>
      <c r="AE16" s="1158"/>
      <c r="AF16" s="1158"/>
      <c r="AG16" s="1158"/>
      <c r="AH16" s="1158"/>
      <c r="AI16" s="1158"/>
      <c r="AJ16" s="1158"/>
      <c r="AK16" s="1158"/>
      <c r="AL16" s="1158"/>
      <c r="AM16" s="1158"/>
      <c r="AN16" s="1158"/>
      <c r="AO16" s="1158"/>
      <c r="AP16" s="1158"/>
      <c r="AQ16" s="1158"/>
      <c r="AR16" s="1158"/>
      <c r="AS16" s="1158"/>
      <c r="AT16" s="1158"/>
      <c r="AU16" s="1158"/>
      <c r="AV16" s="1158"/>
      <c r="AW16" s="1158"/>
      <c r="AX16" s="1158"/>
      <c r="AY16" s="1158"/>
      <c r="AZ16" s="1158"/>
      <c r="BA16" s="1158"/>
      <c r="BB16" s="1158"/>
      <c r="BC16" s="1158"/>
      <c r="BD16" s="1158"/>
      <c r="BE16" s="1158"/>
      <c r="BF16" s="1158"/>
      <c r="BG16" s="1158"/>
      <c r="BH16" s="1158"/>
      <c r="BI16" s="1158"/>
      <c r="BJ16" s="1158"/>
      <c r="BK16" s="1158"/>
      <c r="BL16" s="1158"/>
      <c r="BM16" s="1158"/>
      <c r="BN16" s="1158"/>
      <c r="BO16" s="1158"/>
      <c r="BP16" s="1158"/>
      <c r="BQ16" s="1158"/>
      <c r="BR16" s="1158"/>
      <c r="BS16" s="1158"/>
      <c r="BT16" s="1158"/>
      <c r="BU16" s="1158"/>
      <c r="BV16" s="1158"/>
      <c r="BW16" s="1158"/>
      <c r="BX16" s="1158"/>
      <c r="BY16" s="1158"/>
      <c r="BZ16" s="1158"/>
      <c r="CA16" s="1158"/>
      <c r="CB16" s="1158"/>
      <c r="CC16" s="1158"/>
      <c r="CD16" s="1158"/>
      <c r="CE16" s="1158"/>
      <c r="CF16" s="1158"/>
      <c r="CG16" s="1158"/>
      <c r="CH16" s="1158"/>
      <c r="CI16" s="1158"/>
      <c r="CJ16" s="1158"/>
      <c r="CK16" s="1158"/>
      <c r="CL16" s="1158"/>
      <c r="CM16" s="1158"/>
      <c r="CN16" s="1158"/>
      <c r="CO16" s="1158"/>
      <c r="CP16" s="1158"/>
      <c r="CQ16" s="1158"/>
      <c r="CR16" s="1158"/>
      <c r="CS16" s="1158"/>
      <c r="CT16" s="1158"/>
      <c r="CU16" s="1158"/>
      <c r="CV16" s="1158"/>
      <c r="CW16" s="1158"/>
      <c r="CX16" s="1158"/>
      <c r="CY16" s="1158"/>
      <c r="CZ16" s="1158"/>
      <c r="DA16" s="1158"/>
      <c r="DB16" s="1158"/>
      <c r="DC16" s="1158"/>
      <c r="DD16" s="1158"/>
      <c r="DE16" s="1158"/>
      <c r="DF16" s="1158"/>
      <c r="DG16" s="1158"/>
      <c r="DH16" s="1158"/>
      <c r="DI16" s="1158"/>
      <c r="DJ16" s="1158"/>
      <c r="DK16" s="1158"/>
      <c r="DL16" s="1158"/>
      <c r="DM16" s="1158"/>
      <c r="DN16" s="1158"/>
      <c r="DO16" s="1158"/>
      <c r="DP16" s="1158"/>
      <c r="DQ16" s="1158"/>
      <c r="DR16" s="1158"/>
      <c r="DS16" s="1158"/>
      <c r="DT16" s="1158"/>
      <c r="DU16" s="1158"/>
      <c r="DV16" s="1158"/>
      <c r="DW16" s="1158"/>
      <c r="DX16" s="1158"/>
      <c r="DY16" s="1158"/>
      <c r="DZ16" s="1158"/>
      <c r="EA16" s="1158"/>
      <c r="EB16" s="1158"/>
      <c r="EC16" s="1158"/>
      <c r="ED16" s="1158"/>
      <c r="EE16" s="1158"/>
      <c r="EF16" s="1158"/>
      <c r="EG16" s="1158"/>
      <c r="EH16" s="1158"/>
      <c r="EI16" s="1158"/>
      <c r="EJ16" s="1158"/>
      <c r="EK16" s="1158"/>
      <c r="EL16" s="1158"/>
      <c r="EM16" s="1158"/>
      <c r="EN16" s="1158"/>
      <c r="EO16" s="1158"/>
      <c r="EP16" s="1158"/>
      <c r="EQ16" s="1158"/>
      <c r="ER16" s="1158"/>
      <c r="ES16" s="1158"/>
      <c r="ET16" s="1158"/>
      <c r="EU16" s="1158"/>
      <c r="EV16" s="1158"/>
      <c r="EW16" s="1158"/>
      <c r="EX16" s="1158"/>
      <c r="EY16" s="1158"/>
      <c r="EZ16" s="1158"/>
      <c r="FA16" s="1158"/>
      <c r="FB16" s="1158"/>
      <c r="FC16" s="1158"/>
      <c r="FD16" s="1158"/>
      <c r="FE16" s="1158"/>
      <c r="FF16" s="1158"/>
      <c r="FG16" s="1158"/>
      <c r="FH16" s="1158"/>
      <c r="FI16" s="1158"/>
      <c r="FJ16" s="1158"/>
      <c r="FK16" s="1158"/>
      <c r="FL16" s="1158"/>
      <c r="FM16" s="1158"/>
      <c r="FN16" s="1158"/>
      <c r="FO16" s="1158"/>
      <c r="FP16" s="1158"/>
      <c r="FQ16" s="1158"/>
      <c r="FR16" s="1158"/>
      <c r="FS16" s="1158"/>
      <c r="FT16" s="1158"/>
      <c r="FU16" s="1158"/>
      <c r="FV16" s="1158"/>
      <c r="FW16" s="1158"/>
      <c r="FX16" s="1158"/>
      <c r="FY16" s="1158"/>
      <c r="FZ16" s="1158"/>
      <c r="GA16" s="1158"/>
      <c r="GB16" s="1158"/>
      <c r="GC16" s="1158"/>
      <c r="GD16" s="1158"/>
      <c r="GE16" s="1158"/>
      <c r="GF16" s="1158"/>
      <c r="GG16" s="1158"/>
      <c r="GH16" s="1158"/>
      <c r="GI16" s="1158"/>
      <c r="GJ16" s="1158"/>
      <c r="GK16" s="1158"/>
      <c r="GL16" s="1158"/>
      <c r="GM16" s="1158"/>
      <c r="GN16" s="1158"/>
      <c r="GO16" s="1158"/>
      <c r="GP16" s="1158"/>
      <c r="GQ16" s="1158"/>
      <c r="GR16" s="1158"/>
      <c r="GS16" s="1158"/>
      <c r="GT16" s="1158"/>
      <c r="GU16" s="1158"/>
      <c r="GV16" s="1158"/>
      <c r="GW16" s="1158"/>
      <c r="GX16" s="1158"/>
      <c r="GY16" s="1158"/>
      <c r="GZ16" s="1158"/>
      <c r="HA16" s="1158"/>
      <c r="HB16" s="1158"/>
      <c r="HC16" s="1158"/>
      <c r="HD16" s="1158"/>
      <c r="HE16" s="1158"/>
      <c r="HF16" s="1158"/>
      <c r="HG16" s="1158"/>
      <c r="HH16" s="1158"/>
      <c r="HI16" s="1158"/>
      <c r="HJ16" s="1158"/>
      <c r="HK16" s="1158"/>
      <c r="HL16" s="1158"/>
      <c r="HM16" s="1158"/>
      <c r="HN16" s="1158"/>
      <c r="HO16" s="1158"/>
      <c r="HP16" s="1158"/>
      <c r="HQ16" s="1158"/>
      <c r="HR16" s="1158"/>
      <c r="HS16" s="1158"/>
      <c r="HT16" s="1158"/>
      <c r="HU16" s="1158"/>
      <c r="HV16" s="1158"/>
      <c r="HW16" s="1158"/>
      <c r="HX16" s="1158"/>
      <c r="HY16" s="1158"/>
      <c r="HZ16" s="1158"/>
      <c r="IA16" s="1158"/>
      <c r="IB16" s="1158"/>
      <c r="IC16" s="1158"/>
      <c r="ID16" s="1158"/>
      <c r="IE16" s="1158"/>
      <c r="IF16" s="1158"/>
      <c r="IG16" s="1158"/>
      <c r="IH16" s="1158"/>
      <c r="II16" s="1158"/>
      <c r="IJ16" s="1158"/>
      <c r="IK16" s="1158"/>
      <c r="IL16" s="1158"/>
      <c r="IM16" s="1158"/>
      <c r="IN16" s="1158"/>
      <c r="IO16" s="1158"/>
      <c r="IP16" s="1158"/>
      <c r="IQ16" s="1158"/>
      <c r="IR16" s="1158"/>
      <c r="IS16" s="1158"/>
      <c r="IT16" s="1158"/>
      <c r="IU16" s="1158"/>
      <c r="IV16" s="1158"/>
      <c r="IW16" s="1158"/>
      <c r="IX16" s="1158"/>
      <c r="IY16" s="1158"/>
      <c r="IZ16" s="1158"/>
      <c r="JA16" s="1158"/>
      <c r="JB16" s="1158"/>
      <c r="JC16" s="1158"/>
      <c r="JD16" s="1158"/>
      <c r="JE16" s="1158"/>
      <c r="JF16" s="1158"/>
      <c r="JG16" s="1158"/>
      <c r="JH16" s="1158"/>
      <c r="JI16" s="1158"/>
      <c r="JJ16" s="1158"/>
      <c r="JK16" s="1158"/>
      <c r="JL16" s="1158"/>
      <c r="JM16" s="1158"/>
      <c r="JN16" s="1158"/>
      <c r="JO16" s="1158"/>
      <c r="JP16" s="1158"/>
      <c r="JQ16" s="1158"/>
      <c r="JR16" s="1158"/>
      <c r="JS16" s="1158"/>
      <c r="JT16" s="1158"/>
      <c r="JU16" s="1158"/>
      <c r="JV16" s="1158"/>
      <c r="JW16" s="1158"/>
      <c r="JX16" s="1158"/>
      <c r="JY16" s="1158"/>
      <c r="JZ16" s="1158"/>
      <c r="KA16" s="1158"/>
      <c r="KB16" s="1158"/>
      <c r="KC16" s="1158"/>
      <c r="KD16" s="1158"/>
      <c r="KE16" s="1158"/>
      <c r="KF16" s="1158"/>
      <c r="KG16" s="1158"/>
      <c r="KH16" s="1158"/>
      <c r="KI16" s="1158"/>
      <c r="KJ16" s="1158"/>
      <c r="KK16" s="1158"/>
      <c r="KL16" s="1158"/>
      <c r="KM16" s="1158"/>
      <c r="KN16" s="1158"/>
      <c r="KO16" s="1158"/>
      <c r="KP16" s="1158"/>
      <c r="KQ16" s="1158"/>
      <c r="KR16" s="1158"/>
      <c r="KS16" s="1158"/>
      <c r="KT16" s="1158"/>
      <c r="KU16" s="1158"/>
      <c r="KV16" s="1158"/>
      <c r="KW16" s="1158"/>
      <c r="KX16" s="1158"/>
      <c r="KY16" s="1158"/>
      <c r="KZ16" s="1158"/>
      <c r="LA16" s="1158"/>
      <c r="LB16" s="1158"/>
      <c r="LC16" s="1158"/>
      <c r="LD16" s="1158"/>
      <c r="LE16" s="1158"/>
      <c r="LF16" s="1158"/>
      <c r="LG16" s="1158"/>
      <c r="LH16" s="1158"/>
      <c r="LI16" s="1158"/>
      <c r="LJ16" s="1158"/>
      <c r="LK16" s="1158"/>
      <c r="LL16" s="1158"/>
      <c r="LM16" s="1158"/>
      <c r="LN16" s="1158"/>
      <c r="LO16" s="1158"/>
      <c r="LP16" s="1158"/>
      <c r="LQ16" s="1158"/>
      <c r="LR16" s="1158"/>
      <c r="LS16" s="1158"/>
      <c r="LT16" s="1158"/>
      <c r="LU16" s="1158"/>
      <c r="LV16" s="1158"/>
      <c r="LW16" s="1158"/>
      <c r="LX16" s="1158"/>
      <c r="LY16" s="1158"/>
      <c r="LZ16" s="1158"/>
      <c r="MA16" s="1158"/>
      <c r="MB16" s="1158"/>
      <c r="MC16" s="1158"/>
      <c r="MD16" s="1158"/>
      <c r="ME16" s="1158"/>
      <c r="MF16" s="1158"/>
      <c r="MG16" s="1158"/>
      <c r="MH16" s="1158"/>
      <c r="MI16" s="1158"/>
      <c r="MJ16" s="1158"/>
      <c r="MK16" s="1158"/>
      <c r="ML16" s="1158"/>
      <c r="MM16" s="1158"/>
      <c r="MN16" s="1158"/>
      <c r="MO16" s="1158"/>
      <c r="MP16" s="1158"/>
      <c r="MQ16" s="1158"/>
      <c r="MR16" s="1158"/>
      <c r="MS16" s="1158"/>
      <c r="MT16" s="1158"/>
      <c r="MU16" s="1158"/>
      <c r="MV16" s="1158"/>
      <c r="MW16" s="1158"/>
      <c r="MX16" s="1158"/>
      <c r="MY16" s="1158"/>
      <c r="MZ16" s="1158"/>
      <c r="NA16" s="1158"/>
      <c r="NB16" s="1158"/>
      <c r="NC16" s="1158"/>
      <c r="ND16" s="1158"/>
      <c r="NE16" s="1158"/>
      <c r="NF16" s="1158"/>
      <c r="NG16" s="1158"/>
      <c r="NH16" s="1158"/>
      <c r="NI16" s="1158"/>
      <c r="NJ16" s="1158"/>
      <c r="NK16" s="1158"/>
      <c r="NL16" s="1158"/>
      <c r="NM16" s="1158"/>
      <c r="NN16" s="1158"/>
      <c r="NO16" s="1158"/>
      <c r="NP16" s="1158"/>
      <c r="NQ16" s="1158"/>
      <c r="NR16" s="1158"/>
      <c r="NS16" s="1158"/>
      <c r="NT16" s="1158"/>
      <c r="NU16" s="1158"/>
      <c r="NV16" s="1158"/>
      <c r="NW16" s="1158"/>
      <c r="NX16" s="1158"/>
      <c r="NY16" s="1158"/>
      <c r="NZ16" s="1158"/>
      <c r="OA16" s="1158"/>
      <c r="OB16" s="1158"/>
      <c r="OC16" s="1158"/>
      <c r="OD16" s="1158"/>
      <c r="OE16" s="1158"/>
      <c r="OF16" s="1158"/>
      <c r="OG16" s="1158"/>
      <c r="OH16" s="1158"/>
      <c r="OI16" s="1158"/>
      <c r="OJ16" s="1158"/>
      <c r="OK16" s="1158"/>
      <c r="OL16" s="1158"/>
      <c r="OM16" s="1158"/>
      <c r="ON16" s="1158"/>
      <c r="OO16" s="1158"/>
      <c r="OP16" s="1158"/>
      <c r="OQ16" s="1158"/>
      <c r="OR16" s="1158"/>
      <c r="OS16" s="1158"/>
    </row>
    <row r="17" spans="1:75" s="494" customFormat="1" ht="15.6">
      <c r="A17" s="494" t="s">
        <v>495</v>
      </c>
      <c r="B17" s="1379" t="s">
        <v>308</v>
      </c>
      <c r="C17" s="1379"/>
      <c r="D17" s="1380" t="s">
        <v>86</v>
      </c>
      <c r="E17" s="1383"/>
      <c r="F17" s="1463">
        <v>0</v>
      </c>
      <c r="G17" s="1382"/>
      <c r="H17" s="1381">
        <f>IF(F$36=0,0,F17/$F$36)</f>
        <v>0</v>
      </c>
      <c r="I17" s="1397"/>
      <c r="J17" s="1397"/>
      <c r="L17" s="1158"/>
      <c r="M17" s="1158"/>
      <c r="N17" s="1158"/>
      <c r="O17" s="1158"/>
      <c r="P17" s="1158"/>
      <c r="Q17" s="1158"/>
      <c r="R17" s="1158"/>
      <c r="S17" s="1158"/>
      <c r="T17" s="1158"/>
      <c r="U17" s="1158"/>
      <c r="V17" s="1158"/>
      <c r="W17" s="1158"/>
      <c r="X17" s="1158"/>
      <c r="Y17" s="1158"/>
      <c r="Z17" s="1158"/>
      <c r="AA17" s="1158"/>
      <c r="AB17" s="1158"/>
      <c r="AC17" s="1158"/>
      <c r="AD17" s="1158"/>
      <c r="AE17" s="1158"/>
      <c r="AF17" s="1158"/>
      <c r="AG17" s="1158"/>
      <c r="AH17" s="1158"/>
      <c r="AI17" s="1158"/>
      <c r="AJ17" s="1158"/>
      <c r="AK17" s="1158"/>
      <c r="AL17" s="1158"/>
      <c r="AM17" s="1158"/>
      <c r="AN17" s="1158"/>
      <c r="AO17" s="1158"/>
      <c r="AP17" s="1158"/>
      <c r="AQ17" s="1158"/>
      <c r="AR17" s="1158"/>
      <c r="AS17" s="1158"/>
      <c r="AT17" s="1158"/>
      <c r="AU17" s="1158"/>
      <c r="AV17" s="1158"/>
      <c r="AW17" s="1158"/>
      <c r="AX17" s="1158"/>
      <c r="AY17" s="1158"/>
      <c r="AZ17" s="1158"/>
      <c r="BA17" s="1158"/>
      <c r="BB17" s="1158"/>
      <c r="BC17" s="1158"/>
      <c r="BD17" s="1158"/>
      <c r="BE17" s="1158"/>
      <c r="BF17" s="1158"/>
      <c r="BG17" s="1158"/>
      <c r="BH17" s="1158"/>
      <c r="BI17" s="1158"/>
      <c r="BJ17" s="1158"/>
      <c r="BK17" s="1158"/>
      <c r="BL17" s="1158"/>
      <c r="BM17" s="1158"/>
      <c r="BN17" s="1158"/>
      <c r="BO17" s="1158"/>
      <c r="BP17" s="1158"/>
      <c r="BQ17" s="1158"/>
      <c r="BR17" s="1158"/>
      <c r="BS17" s="1158"/>
      <c r="BT17" s="1158"/>
      <c r="BU17" s="1158"/>
      <c r="BV17" s="1158"/>
      <c r="BW17" s="1158"/>
    </row>
    <row r="18" spans="1:75" s="494" customFormat="1" ht="15.6">
      <c r="A18" s="494" t="s">
        <v>496</v>
      </c>
      <c r="B18" s="1379" t="s">
        <v>310</v>
      </c>
      <c r="C18" s="1379"/>
      <c r="D18" s="1380" t="s">
        <v>220</v>
      </c>
      <c r="E18" s="1383"/>
      <c r="F18" s="1463">
        <v>3289258</v>
      </c>
      <c r="G18" s="1382"/>
      <c r="H18" s="1381">
        <f>IF(F$36=0,0,F18/$F$36)</f>
        <v>2.5499998379725865E-2</v>
      </c>
      <c r="I18" s="1397"/>
      <c r="J18" s="1397"/>
      <c r="L18" s="1158"/>
      <c r="M18" s="1158"/>
      <c r="N18" s="1158"/>
      <c r="O18" s="1158"/>
      <c r="P18" s="1158"/>
      <c r="Q18" s="1158"/>
      <c r="R18" s="1158"/>
      <c r="S18" s="1158"/>
      <c r="T18" s="1158"/>
      <c r="U18" s="1158"/>
      <c r="V18" s="1158"/>
      <c r="W18" s="1158"/>
      <c r="X18" s="1158"/>
      <c r="Y18" s="1158"/>
      <c r="Z18" s="1158"/>
      <c r="AA18" s="1158"/>
      <c r="AB18" s="1158"/>
      <c r="AC18" s="1158"/>
      <c r="AD18" s="1158"/>
      <c r="AE18" s="1158"/>
      <c r="AF18" s="1158"/>
      <c r="AG18" s="1158"/>
      <c r="AH18" s="1158"/>
      <c r="AI18" s="1158"/>
      <c r="AJ18" s="1158"/>
      <c r="AK18" s="1158"/>
      <c r="AL18" s="1158"/>
      <c r="AM18" s="1158"/>
      <c r="AN18" s="1158"/>
      <c r="AO18" s="1158"/>
      <c r="AP18" s="1158"/>
      <c r="AQ18" s="1158"/>
      <c r="AR18" s="1158"/>
      <c r="AS18" s="1158"/>
      <c r="AT18" s="1158"/>
      <c r="AU18" s="1158"/>
      <c r="AV18" s="1158"/>
      <c r="AW18" s="1158"/>
      <c r="AX18" s="1158"/>
      <c r="AY18" s="1158"/>
      <c r="AZ18" s="1158"/>
      <c r="BA18" s="1158"/>
      <c r="BB18" s="1158"/>
      <c r="BC18" s="1158"/>
      <c r="BD18" s="1158"/>
      <c r="BE18" s="1158"/>
      <c r="BF18" s="1158"/>
      <c r="BG18" s="1158"/>
      <c r="BH18" s="1158"/>
      <c r="BI18" s="1158"/>
      <c r="BJ18" s="1158"/>
      <c r="BK18" s="1158"/>
      <c r="BL18" s="1158"/>
      <c r="BM18" s="1158"/>
      <c r="BN18" s="1158"/>
      <c r="BO18" s="1158"/>
      <c r="BP18" s="1158"/>
      <c r="BQ18" s="1158"/>
      <c r="BR18" s="1158"/>
      <c r="BS18" s="1158"/>
      <c r="BT18" s="1158"/>
      <c r="BU18" s="1158"/>
      <c r="BV18" s="1158"/>
      <c r="BW18" s="1158"/>
    </row>
    <row r="19" spans="1:75" s="494" customFormat="1" ht="15.6">
      <c r="A19" s="494" t="s">
        <v>497</v>
      </c>
      <c r="B19" s="1379"/>
      <c r="C19" s="1379"/>
      <c r="D19" s="1380"/>
      <c r="E19" s="1383"/>
      <c r="F19" s="1463"/>
      <c r="G19" s="1382"/>
      <c r="H19" s="1381"/>
      <c r="I19" s="1397"/>
      <c r="J19" s="1397"/>
      <c r="L19" s="1158"/>
      <c r="M19" s="1158"/>
      <c r="N19" s="1158"/>
      <c r="O19" s="1158"/>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8"/>
      <c r="AM19" s="1158"/>
      <c r="AN19" s="1158"/>
      <c r="AO19" s="1158"/>
      <c r="AP19" s="1158"/>
      <c r="AQ19" s="1158"/>
      <c r="AR19" s="1158"/>
      <c r="AS19" s="1158"/>
      <c r="AT19" s="1158"/>
      <c r="AU19" s="1158"/>
      <c r="AV19" s="1158"/>
      <c r="AW19" s="1158"/>
      <c r="AX19" s="1158"/>
      <c r="AY19" s="1158"/>
      <c r="AZ19" s="1158"/>
      <c r="BA19" s="1158"/>
      <c r="BB19" s="1158"/>
      <c r="BC19" s="1158"/>
      <c r="BD19" s="1158"/>
      <c r="BE19" s="1158"/>
      <c r="BF19" s="1158"/>
      <c r="BG19" s="1158"/>
      <c r="BH19" s="1158"/>
      <c r="BI19" s="1158"/>
      <c r="BJ19" s="1158"/>
      <c r="BK19" s="1158"/>
      <c r="BL19" s="1158"/>
      <c r="BM19" s="1158"/>
      <c r="BN19" s="1158"/>
      <c r="BO19" s="1158"/>
      <c r="BP19" s="1158"/>
      <c r="BQ19" s="1158"/>
      <c r="BR19" s="1158"/>
      <c r="BS19" s="1158"/>
      <c r="BT19" s="1158"/>
      <c r="BU19" s="1158"/>
      <c r="BV19" s="1158"/>
      <c r="BW19" s="1158"/>
    </row>
    <row r="20" spans="1:75" s="494" customFormat="1" ht="15.6">
      <c r="A20" s="494" t="s">
        <v>498</v>
      </c>
      <c r="B20" s="1379">
        <v>122</v>
      </c>
      <c r="C20" s="1379"/>
      <c r="D20" s="1380" t="s">
        <v>325</v>
      </c>
      <c r="E20" s="1383"/>
      <c r="F20" s="1463">
        <v>438570</v>
      </c>
      <c r="G20" s="1382"/>
      <c r="H20" s="1381">
        <f>IF(F$36=0,0,F20/$F$36)</f>
        <v>3.4000173563145161E-3</v>
      </c>
      <c r="I20" s="1397"/>
      <c r="J20" s="1397"/>
      <c r="L20" s="1158"/>
      <c r="M20" s="1158"/>
      <c r="N20" s="1158"/>
      <c r="O20" s="1158"/>
      <c r="P20" s="1158"/>
      <c r="Q20" s="1158"/>
      <c r="R20" s="1158"/>
      <c r="S20" s="1158"/>
      <c r="T20" s="1158"/>
      <c r="U20" s="1158"/>
      <c r="V20" s="1158"/>
      <c r="W20" s="1158"/>
      <c r="X20" s="1158"/>
      <c r="Y20" s="1158"/>
      <c r="Z20" s="1158"/>
      <c r="AA20" s="1158"/>
      <c r="AB20" s="1158"/>
      <c r="AC20" s="1158"/>
      <c r="AD20" s="1158"/>
      <c r="AE20" s="1158"/>
      <c r="AF20" s="1158"/>
      <c r="AG20" s="1158"/>
      <c r="AH20" s="1158"/>
      <c r="AI20" s="1158"/>
      <c r="AJ20" s="1158"/>
      <c r="AK20" s="1158"/>
      <c r="AL20" s="1158"/>
      <c r="AM20" s="1158"/>
      <c r="AN20" s="1158"/>
      <c r="AO20" s="1158"/>
      <c r="AP20" s="1158"/>
      <c r="AQ20" s="1158"/>
      <c r="AR20" s="1158"/>
      <c r="AS20" s="1158"/>
      <c r="AT20" s="1158"/>
      <c r="AU20" s="1158"/>
      <c r="AV20" s="1158"/>
      <c r="AW20" s="1158"/>
      <c r="AX20" s="1158"/>
      <c r="AY20" s="1158"/>
      <c r="AZ20" s="1158"/>
      <c r="BA20" s="1158"/>
      <c r="BB20" s="1158"/>
      <c r="BC20" s="1158"/>
      <c r="BD20" s="1158"/>
      <c r="BE20" s="1158"/>
      <c r="BF20" s="1158"/>
      <c r="BG20" s="1158"/>
      <c r="BH20" s="1158"/>
      <c r="BI20" s="1158"/>
      <c r="BJ20" s="1158"/>
      <c r="BK20" s="1158"/>
      <c r="BL20" s="1158"/>
      <c r="BM20" s="1158"/>
      <c r="BN20" s="1158"/>
      <c r="BO20" s="1158"/>
      <c r="BP20" s="1158"/>
      <c r="BQ20" s="1158"/>
      <c r="BR20" s="1158"/>
      <c r="BS20" s="1158"/>
      <c r="BT20" s="1158"/>
      <c r="BU20" s="1158"/>
      <c r="BV20" s="1158"/>
      <c r="BW20" s="1158"/>
    </row>
    <row r="21" spans="1:75" s="494" customFormat="1" ht="15.6">
      <c r="A21" s="494" t="s">
        <v>499</v>
      </c>
      <c r="B21" s="1379"/>
      <c r="C21" s="1384"/>
      <c r="D21" s="1380"/>
      <c r="E21" s="1383"/>
      <c r="F21" s="1463"/>
      <c r="G21" s="1382"/>
      <c r="H21" s="1381"/>
      <c r="I21" s="1397"/>
      <c r="J21" s="1397"/>
      <c r="L21" s="1158"/>
      <c r="M21" s="1158"/>
      <c r="N21" s="1158"/>
      <c r="O21" s="1158"/>
      <c r="P21" s="1158"/>
      <c r="Q21" s="1158"/>
      <c r="R21" s="1158"/>
      <c r="S21" s="1158"/>
      <c r="T21" s="1158"/>
      <c r="U21" s="1158"/>
      <c r="V21" s="1158"/>
      <c r="W21" s="1158"/>
      <c r="X21" s="1158"/>
      <c r="Y21" s="1158"/>
      <c r="Z21" s="1158"/>
      <c r="AA21" s="1158"/>
      <c r="AB21" s="1158"/>
      <c r="AC21" s="1158"/>
      <c r="AD21" s="1158"/>
      <c r="AE21" s="1158"/>
      <c r="AF21" s="1158"/>
      <c r="AG21" s="1158"/>
      <c r="AH21" s="1158"/>
      <c r="AI21" s="1158"/>
      <c r="AJ21" s="1158"/>
      <c r="AK21" s="1158"/>
      <c r="AL21" s="1158"/>
      <c r="AM21" s="1158"/>
      <c r="AN21" s="1158"/>
      <c r="AO21" s="1158"/>
      <c r="AP21" s="1158"/>
      <c r="AQ21" s="1158"/>
      <c r="AR21" s="1158"/>
      <c r="AS21" s="1158"/>
      <c r="AT21" s="1158"/>
      <c r="AU21" s="1158"/>
      <c r="AV21" s="1158"/>
      <c r="AW21" s="1158"/>
      <c r="AX21" s="1158"/>
      <c r="AY21" s="1158"/>
      <c r="AZ21" s="1158"/>
      <c r="BA21" s="1158"/>
      <c r="BB21" s="1158"/>
      <c r="BC21" s="1158"/>
      <c r="BD21" s="1158"/>
      <c r="BE21" s="1158"/>
      <c r="BF21" s="1158"/>
      <c r="BG21" s="1158"/>
      <c r="BH21" s="1158"/>
      <c r="BI21" s="1158"/>
      <c r="BJ21" s="1158"/>
      <c r="BK21" s="1158"/>
      <c r="BL21" s="1158"/>
      <c r="BM21" s="1158"/>
      <c r="BN21" s="1158"/>
      <c r="BO21" s="1158"/>
      <c r="BP21" s="1158"/>
      <c r="BQ21" s="1158"/>
      <c r="BR21" s="1158"/>
      <c r="BS21" s="1158"/>
      <c r="BT21" s="1158"/>
      <c r="BU21" s="1158"/>
      <c r="BV21" s="1158"/>
      <c r="BW21" s="1158"/>
    </row>
    <row r="22" spans="1:75" s="494" customFormat="1" ht="15.6">
      <c r="A22" s="494" t="s">
        <v>500</v>
      </c>
      <c r="B22" s="1379" t="s">
        <v>326</v>
      </c>
      <c r="D22" s="1380" t="s">
        <v>322</v>
      </c>
      <c r="F22" s="1463">
        <v>3366653</v>
      </c>
      <c r="G22" s="1382"/>
      <c r="H22" s="1381">
        <f>IF(F$36=0,0,F22/$F$36)</f>
        <v>2.6100003722754256E-2</v>
      </c>
      <c r="I22" s="1397"/>
      <c r="J22" s="1397"/>
    </row>
    <row r="23" spans="1:75" s="494" customFormat="1" ht="15.6">
      <c r="A23" s="494" t="s">
        <v>501</v>
      </c>
      <c r="B23" s="1379"/>
      <c r="C23" s="1384"/>
      <c r="D23" s="1380"/>
      <c r="E23" s="1385"/>
      <c r="F23" s="1463"/>
      <c r="G23" s="1382"/>
      <c r="H23" s="1381"/>
      <c r="I23" s="1397"/>
      <c r="J23" s="1397"/>
    </row>
    <row r="24" spans="1:75" s="494" customFormat="1" ht="15.6">
      <c r="A24" s="494" t="s">
        <v>502</v>
      </c>
      <c r="B24" s="1379" t="s">
        <v>327</v>
      </c>
      <c r="D24" s="1380" t="s">
        <v>329</v>
      </c>
      <c r="F24" s="1464">
        <v>2128343</v>
      </c>
      <c r="G24" s="1382"/>
      <c r="H24" s="1381">
        <f>IF(F$36=0,0,F24/$F$36)</f>
        <v>1.649999575937822E-2</v>
      </c>
      <c r="I24" s="1397"/>
      <c r="J24" s="1397"/>
    </row>
    <row r="25" spans="1:75" s="494" customFormat="1" ht="15.6">
      <c r="A25" s="494" t="s">
        <v>503</v>
      </c>
      <c r="B25" s="1379"/>
      <c r="C25" s="1379"/>
      <c r="D25" s="1380"/>
      <c r="F25" s="1464"/>
      <c r="G25" s="1382"/>
      <c r="H25" s="1381"/>
      <c r="I25" s="1397"/>
      <c r="J25" s="1397"/>
    </row>
    <row r="26" spans="1:75" s="494" customFormat="1" ht="15.6">
      <c r="A26" s="494" t="s">
        <v>505</v>
      </c>
      <c r="B26" s="1379" t="s">
        <v>309</v>
      </c>
      <c r="C26" s="1379"/>
      <c r="D26" s="1380" t="s">
        <v>355</v>
      </c>
      <c r="E26" s="1383"/>
      <c r="F26" s="1464">
        <v>9609793</v>
      </c>
      <c r="G26" s="1382"/>
      <c r="H26" s="1381">
        <f>IF(F$36=0,0,F26/$F$36)</f>
        <v>7.4499995418267878E-2</v>
      </c>
      <c r="I26" s="1397"/>
      <c r="J26" s="1397"/>
    </row>
    <row r="27" spans="1:75" s="494" customFormat="1" ht="16.2" thickBot="1">
      <c r="A27" s="494" t="s">
        <v>504</v>
      </c>
      <c r="B27" s="1379"/>
      <c r="C27" s="1379"/>
      <c r="D27" s="1380"/>
      <c r="E27" s="1383"/>
      <c r="F27" s="1463"/>
      <c r="G27" s="1382"/>
      <c r="H27" s="1381"/>
      <c r="I27" s="1397"/>
      <c r="J27" s="1397"/>
    </row>
    <row r="28" spans="1:75" s="494" customFormat="1" ht="16.2" thickBot="1">
      <c r="A28" s="494" t="s">
        <v>506</v>
      </c>
      <c r="B28" s="1386" t="s">
        <v>328</v>
      </c>
      <c r="D28" s="1380" t="s">
        <v>245</v>
      </c>
      <c r="F28" s="1463">
        <v>45236974</v>
      </c>
      <c r="G28" s="1387"/>
      <c r="H28" s="1388">
        <f>IF(F$36=0,0,F28/$F$36)</f>
        <v>0.35069999486318831</v>
      </c>
      <c r="I28" s="1397"/>
      <c r="J28" s="1397"/>
    </row>
    <row r="29" spans="1:75" s="494" customFormat="1" ht="15.6">
      <c r="A29" s="494" t="s">
        <v>1168</v>
      </c>
      <c r="B29" s="1386"/>
      <c r="D29" s="1380"/>
      <c r="F29" s="1463"/>
      <c r="G29" s="1387"/>
      <c r="H29" s="1389"/>
      <c r="I29" s="1158"/>
      <c r="J29" s="1158"/>
    </row>
    <row r="30" spans="1:75" s="494" customFormat="1" ht="15.6">
      <c r="A30" s="494" t="s">
        <v>1169</v>
      </c>
      <c r="B30" s="1386">
        <v>321</v>
      </c>
      <c r="D30" s="1380" t="s">
        <v>760</v>
      </c>
      <c r="F30" s="1463">
        <v>1057722</v>
      </c>
      <c r="G30" s="1387"/>
      <c r="H30" s="1381">
        <f>IF(F$36=0,0,F30/$F$36)</f>
        <v>8.1999980804790627E-3</v>
      </c>
      <c r="I30" s="1158"/>
      <c r="J30" s="1158"/>
    </row>
    <row r="31" spans="1:75" s="494" customFormat="1" ht="15.6">
      <c r="A31" s="494" t="s">
        <v>1170</v>
      </c>
      <c r="D31" s="1380"/>
      <c r="F31" s="1203"/>
      <c r="G31" s="1387"/>
      <c r="H31" s="1389"/>
      <c r="I31" s="1158"/>
      <c r="J31" s="1158"/>
    </row>
    <row r="32" spans="1:75" s="494" customFormat="1" ht="15.6">
      <c r="A32" s="494" t="s">
        <v>1171</v>
      </c>
      <c r="B32" s="1386">
        <v>600</v>
      </c>
      <c r="D32" s="1380" t="s">
        <v>219</v>
      </c>
      <c r="F32" s="1203">
        <v>2579810</v>
      </c>
      <c r="G32" s="1387"/>
      <c r="H32" s="1381">
        <f>IF(F$36=0,0,F32/$F$36)</f>
        <v>1.9999997209097183E-2</v>
      </c>
      <c r="I32" s="1158"/>
      <c r="J32" s="1158"/>
    </row>
    <row r="33" spans="1:10" s="494" customFormat="1" ht="15.6">
      <c r="B33" s="1390"/>
      <c r="C33" s="1390"/>
      <c r="D33" s="1391"/>
      <c r="F33" s="1352"/>
      <c r="G33" s="1387"/>
      <c r="H33" s="1392"/>
      <c r="I33" s="1158"/>
      <c r="J33" s="1158"/>
    </row>
    <row r="34" spans="1:10" s="494" customFormat="1" ht="16.2" thickBot="1">
      <c r="A34" s="1353" t="s">
        <v>541</v>
      </c>
      <c r="B34" s="1354" t="s">
        <v>1165</v>
      </c>
      <c r="C34" s="1390"/>
      <c r="D34" s="1355" t="s">
        <v>1165</v>
      </c>
      <c r="F34" s="1355"/>
      <c r="G34" s="1387"/>
      <c r="H34" s="1393" t="s">
        <v>1165</v>
      </c>
      <c r="I34" s="1158"/>
      <c r="J34" s="1158"/>
    </row>
    <row r="35" spans="1:10" s="494" customFormat="1" ht="15.6">
      <c r="D35" s="1380"/>
      <c r="F35" s="1168"/>
      <c r="G35" s="1387"/>
      <c r="H35" s="1394"/>
      <c r="I35" s="1158"/>
      <c r="J35" s="1158"/>
    </row>
    <row r="36" spans="1:10" s="494" customFormat="1" ht="15.6">
      <c r="D36" s="1380" t="s">
        <v>323</v>
      </c>
      <c r="E36" s="1380"/>
      <c r="F36" s="1168">
        <f>SUM(F14:F32)</f>
        <v>128990518</v>
      </c>
      <c r="G36" s="1382"/>
      <c r="H36" s="1395">
        <f>SUM(H14:H32)</f>
        <v>1.0000000000000002</v>
      </c>
      <c r="I36" s="1397"/>
      <c r="J36" s="1397"/>
    </row>
    <row r="37" spans="1:10" s="494" customFormat="1" ht="9.75" customHeight="1">
      <c r="F37" s="499"/>
      <c r="H37" s="1381"/>
      <c r="I37" s="1158"/>
      <c r="J37" s="1158"/>
    </row>
    <row r="38" spans="1:10" s="1396" customFormat="1" ht="15.6">
      <c r="A38" s="494"/>
      <c r="B38" s="494"/>
      <c r="C38" s="494"/>
      <c r="D38" s="1380" t="s">
        <v>324</v>
      </c>
      <c r="E38" s="494"/>
      <c r="F38" s="1168">
        <f>F36-F28</f>
        <v>83753544</v>
      </c>
      <c r="G38" s="1382"/>
      <c r="H38" s="1381">
        <f>IF(F$36=0,0,F38/$F$36)</f>
        <v>0.64930000513681163</v>
      </c>
      <c r="I38" s="1158"/>
      <c r="J38" s="1158"/>
    </row>
    <row r="39" spans="1:10">
      <c r="A39" s="1396"/>
      <c r="B39" s="1396"/>
      <c r="C39" s="1396"/>
      <c r="D39" s="1396"/>
      <c r="E39" s="1396"/>
      <c r="F39" s="1397"/>
      <c r="G39" s="1396"/>
      <c r="H39" s="1396"/>
      <c r="I39" s="851"/>
      <c r="J39" s="851"/>
    </row>
    <row r="40" spans="1:10">
      <c r="F40" s="1397"/>
    </row>
    <row r="41" spans="1:10">
      <c r="F41" s="1398"/>
    </row>
    <row r="42" spans="1:10">
      <c r="F42" s="1398"/>
    </row>
    <row r="43" spans="1:10">
      <c r="F43" s="1398"/>
    </row>
  </sheetData>
  <customSheetViews>
    <customSheetView guid="{B321D76C-CDE5-48BB-9CDE-80FF97D58FCF}" showPageBreaks="1" fitToPage="1" printArea="1" view="pageBreakPreview" topLeftCell="A9">
      <selection activeCell="D33" sqref="D33"/>
      <pageMargins left="0.2" right="0.2" top="0.25" bottom="0.25" header="0.3" footer="0.3"/>
      <printOptions horizontalCentered="1"/>
      <pageSetup scale="92" orientation="landscape" r:id="rId1"/>
    </customSheetView>
  </customSheetViews>
  <mergeCells count="5">
    <mergeCell ref="A3:I3"/>
    <mergeCell ref="A4:I4"/>
    <mergeCell ref="A5:I5"/>
    <mergeCell ref="A7:I7"/>
    <mergeCell ref="A8:I8"/>
  </mergeCells>
  <printOptions horizontalCentered="1"/>
  <pageMargins left="0.2" right="0.2" top="0.25" bottom="0.25" header="0.3" footer="0.3"/>
  <pageSetup scale="92" orientation="landscape"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tabColor rgb="FFFF66FF"/>
    <pageSetUpPr fitToPage="1"/>
  </sheetPr>
  <dimension ref="A1:P64"/>
  <sheetViews>
    <sheetView view="pageBreakPreview" zoomScale="80" zoomScaleNormal="90" zoomScaleSheetLayoutView="80" workbookViewId="0">
      <selection activeCell="S20" sqref="S20"/>
    </sheetView>
  </sheetViews>
  <sheetFormatPr defaultColWidth="9" defaultRowHeight="12"/>
  <cols>
    <col min="1" max="1" width="8.77734375" style="12" customWidth="1"/>
    <col min="2" max="2" width="3.109375" style="12" customWidth="1"/>
    <col min="3" max="3" width="3.77734375" style="12" customWidth="1"/>
    <col min="4" max="4" width="7" style="12" customWidth="1"/>
    <col min="5" max="5" width="29" style="12" customWidth="1"/>
    <col min="6" max="6" width="9.77734375" style="12" customWidth="1"/>
    <col min="7" max="7" width="11.33203125" style="12" customWidth="1"/>
    <col min="8" max="8" width="10.44140625" style="12" customWidth="1"/>
    <col min="9" max="9" width="2.77734375" style="12" customWidth="1"/>
    <col min="10" max="10" width="12.21875" style="12" customWidth="1"/>
    <col min="11" max="11" width="5.109375" style="12" bestFit="1" customWidth="1"/>
    <col min="12" max="12" width="9" style="12"/>
    <col min="13" max="14" width="5.109375" style="12" customWidth="1"/>
    <col min="15" max="16384" width="9" style="12"/>
  </cols>
  <sheetData>
    <row r="1" spans="1:16" s="16" customFormat="1" ht="15.6">
      <c r="A1" s="13" t="s">
        <v>986</v>
      </c>
      <c r="C1" s="19"/>
      <c r="D1" s="61"/>
      <c r="E1" s="19"/>
      <c r="F1" s="19"/>
      <c r="G1" s="19"/>
      <c r="J1" s="62"/>
    </row>
    <row r="2" spans="1:16" ht="17.399999999999999">
      <c r="B2" s="11"/>
      <c r="C2" s="10"/>
      <c r="D2" s="41"/>
      <c r="E2" s="10"/>
      <c r="F2" s="10"/>
      <c r="G2" s="10"/>
      <c r="H2" s="10"/>
      <c r="I2" s="10"/>
      <c r="J2" s="362"/>
    </row>
    <row r="3" spans="1:16" ht="17.399999999999999">
      <c r="A3" s="1984" t="s">
        <v>200</v>
      </c>
      <c r="B3" s="1984"/>
      <c r="C3" s="1984"/>
      <c r="D3" s="1984"/>
      <c r="E3" s="1984"/>
      <c r="F3" s="1984"/>
      <c r="G3" s="1984"/>
      <c r="H3" s="1984"/>
      <c r="I3" s="1984"/>
      <c r="J3" s="1984"/>
    </row>
    <row r="4" spans="1:16" ht="17.399999999999999">
      <c r="A4" s="1984" t="s">
        <v>103</v>
      </c>
      <c r="B4" s="1984"/>
      <c r="C4" s="1984"/>
      <c r="D4" s="1984"/>
      <c r="E4" s="1984"/>
      <c r="F4" s="1984"/>
      <c r="G4" s="1984"/>
      <c r="H4" s="1984"/>
      <c r="I4" s="1984"/>
      <c r="J4" s="1984"/>
    </row>
    <row r="5" spans="1:16" ht="17.399999999999999">
      <c r="A5" s="1985" t="str">
        <f>SUMMARY!A7</f>
        <v>YEAR ENDING DECEMBER 31, 2021</v>
      </c>
      <c r="B5" s="1985"/>
      <c r="C5" s="1985"/>
      <c r="D5" s="1985"/>
      <c r="E5" s="1985"/>
      <c r="F5" s="1985"/>
      <c r="G5" s="1985"/>
      <c r="H5" s="1985"/>
      <c r="I5" s="1985"/>
      <c r="J5" s="1985"/>
    </row>
    <row r="6" spans="1:16" ht="17.399999999999999">
      <c r="A6" s="10"/>
      <c r="C6" s="10"/>
      <c r="D6" s="22"/>
      <c r="E6" s="10"/>
      <c r="F6" s="10"/>
      <c r="G6" s="10"/>
      <c r="H6" s="10"/>
      <c r="I6" s="10"/>
      <c r="J6" s="10"/>
    </row>
    <row r="7" spans="1:16" ht="17.399999999999999">
      <c r="A7" s="1986" t="s">
        <v>993</v>
      </c>
      <c r="B7" s="1986"/>
      <c r="C7" s="1986"/>
      <c r="D7" s="1986"/>
      <c r="E7" s="1986"/>
      <c r="F7" s="1986"/>
      <c r="G7" s="1986"/>
      <c r="H7" s="1986"/>
      <c r="I7" s="1986"/>
      <c r="J7" s="1986"/>
    </row>
    <row r="8" spans="1:16" ht="16.95" customHeight="1">
      <c r="A8" s="2068" t="s">
        <v>771</v>
      </c>
      <c r="B8" s="2068"/>
      <c r="C8" s="2068"/>
      <c r="D8" s="2068"/>
      <c r="E8" s="2068"/>
      <c r="F8" s="2068"/>
      <c r="G8" s="2068"/>
      <c r="H8" s="2068"/>
      <c r="I8" s="2068"/>
      <c r="J8" s="2068"/>
    </row>
    <row r="9" spans="1:16" s="49" customFormat="1" ht="15.6">
      <c r="A9" s="2069" t="s">
        <v>1070</v>
      </c>
      <c r="B9" s="2069"/>
      <c r="C9" s="2069"/>
      <c r="D9" s="2069"/>
      <c r="E9" s="2069"/>
      <c r="F9" s="2069"/>
      <c r="G9" s="2069"/>
      <c r="H9" s="2069"/>
      <c r="I9" s="2069"/>
      <c r="J9" s="2069"/>
    </row>
    <row r="10" spans="1:16" s="49" customFormat="1" ht="15.6">
      <c r="B10" s="52"/>
      <c r="D10" s="50"/>
      <c r="E10" s="51"/>
      <c r="F10" s="51"/>
      <c r="H10" s="53"/>
    </row>
    <row r="11" spans="1:16" s="49" customFormat="1" ht="13.2" customHeight="1">
      <c r="D11" s="50"/>
      <c r="E11" s="633"/>
      <c r="F11" s="51"/>
      <c r="G11" s="633"/>
      <c r="H11" s="633"/>
    </row>
    <row r="12" spans="1:16" s="49" customFormat="1" ht="15.6">
      <c r="B12" s="54"/>
      <c r="C12" s="67"/>
      <c r="D12" s="68"/>
      <c r="E12" s="69"/>
      <c r="F12" s="69"/>
      <c r="G12" s="249" t="s">
        <v>433</v>
      </c>
      <c r="H12" s="249" t="s">
        <v>433</v>
      </c>
    </row>
    <row r="13" spans="1:16" s="49" customFormat="1" ht="15.6">
      <c r="B13" s="2067" t="s">
        <v>104</v>
      </c>
      <c r="C13" s="2067"/>
      <c r="D13" s="2067"/>
      <c r="E13" s="2067"/>
      <c r="F13" s="70"/>
      <c r="G13" s="1399" t="s">
        <v>2048</v>
      </c>
      <c r="H13" s="1399" t="s">
        <v>2015</v>
      </c>
    </row>
    <row r="14" spans="1:16" s="49" customFormat="1" ht="13.2" customHeight="1">
      <c r="B14" s="2065" t="s">
        <v>192</v>
      </c>
      <c r="C14" s="2066"/>
      <c r="D14" s="2066"/>
      <c r="E14" s="2066"/>
      <c r="F14" s="99"/>
      <c r="G14" s="638" t="s">
        <v>193</v>
      </c>
      <c r="H14" s="638" t="s">
        <v>194</v>
      </c>
      <c r="K14" s="55"/>
      <c r="L14" s="55"/>
    </row>
    <row r="15" spans="1:16" s="25" customFormat="1" ht="13.2"/>
    <row r="16" spans="1:16" s="25" customFormat="1" ht="13.2">
      <c r="A16" s="154">
        <v>1</v>
      </c>
      <c r="C16" s="422" t="s">
        <v>222</v>
      </c>
      <c r="K16" s="1805"/>
      <c r="L16" s="1805"/>
      <c r="M16" s="1805"/>
      <c r="N16" s="1805"/>
      <c r="O16" s="1805"/>
      <c r="P16" s="1805"/>
    </row>
    <row r="17" spans="1:16" s="25" customFormat="1" ht="13.2">
      <c r="A17" s="639" t="s">
        <v>471</v>
      </c>
      <c r="D17" s="25" t="s">
        <v>624</v>
      </c>
      <c r="G17" s="1400">
        <v>1697</v>
      </c>
      <c r="H17" s="1400">
        <v>1360</v>
      </c>
      <c r="K17" s="1805"/>
      <c r="L17" s="1805"/>
      <c r="M17" s="1805"/>
      <c r="N17" s="1805"/>
      <c r="O17" s="1805"/>
      <c r="P17" s="1805"/>
    </row>
    <row r="18" spans="1:16" s="25" customFormat="1" ht="13.2">
      <c r="A18" s="639" t="s">
        <v>473</v>
      </c>
      <c r="D18" s="25" t="s">
        <v>625</v>
      </c>
      <c r="G18" s="1400">
        <v>328</v>
      </c>
      <c r="H18" s="1400">
        <v>237</v>
      </c>
      <c r="K18" s="1805"/>
      <c r="L18" s="1805"/>
      <c r="M18" s="1805"/>
      <c r="N18" s="1805"/>
      <c r="O18" s="1805"/>
      <c r="P18" s="1805"/>
    </row>
    <row r="19" spans="1:16" s="25" customFormat="1" ht="13.2">
      <c r="A19" s="639" t="s">
        <v>494</v>
      </c>
      <c r="D19" s="25" t="s">
        <v>626</v>
      </c>
      <c r="G19" s="1400">
        <v>688</v>
      </c>
      <c r="H19" s="1400">
        <v>649</v>
      </c>
      <c r="K19" s="1805"/>
      <c r="L19" s="1805"/>
      <c r="M19" s="1805"/>
      <c r="N19" s="1805"/>
      <c r="O19" s="1805"/>
      <c r="P19" s="1805"/>
    </row>
    <row r="20" spans="1:16" s="25" customFormat="1" ht="13.2">
      <c r="A20" s="639"/>
      <c r="D20" s="25" t="s">
        <v>67</v>
      </c>
      <c r="G20" s="1400">
        <v>28</v>
      </c>
      <c r="H20" s="1400">
        <v>19</v>
      </c>
      <c r="K20" s="1805"/>
      <c r="L20" s="1805"/>
      <c r="M20" s="1805"/>
      <c r="N20" s="1805"/>
      <c r="O20" s="1805"/>
      <c r="P20" s="1805"/>
    </row>
    <row r="21" spans="1:16" s="25" customFormat="1" ht="13.2">
      <c r="A21" s="639" t="s">
        <v>541</v>
      </c>
      <c r="D21" s="1403" t="s">
        <v>1165</v>
      </c>
      <c r="E21" s="1294"/>
      <c r="G21" s="1401">
        <v>0</v>
      </c>
      <c r="H21" s="1401">
        <v>0</v>
      </c>
      <c r="K21" s="1805"/>
      <c r="L21" s="1805"/>
      <c r="M21" s="1805"/>
      <c r="N21" s="1805"/>
      <c r="O21" s="1805"/>
      <c r="P21" s="1805"/>
    </row>
    <row r="22" spans="1:16" s="25" customFormat="1" ht="13.2">
      <c r="A22" s="154">
        <v>2</v>
      </c>
      <c r="C22" s="422" t="s">
        <v>226</v>
      </c>
      <c r="G22" s="423">
        <f>SUM(G17:G21)</f>
        <v>2741</v>
      </c>
      <c r="H22" s="423">
        <f>SUM(H17:H21)</f>
        <v>2265</v>
      </c>
      <c r="K22" s="1805"/>
      <c r="L22" s="1805"/>
      <c r="M22" s="1805"/>
      <c r="N22" s="1805"/>
      <c r="O22" s="1805"/>
      <c r="P22" s="1805"/>
    </row>
    <row r="23" spans="1:16" s="25" customFormat="1" ht="13.2">
      <c r="G23" s="424"/>
      <c r="H23" s="424"/>
      <c r="K23" s="1805"/>
      <c r="L23" s="1805"/>
      <c r="M23" s="1805"/>
      <c r="N23" s="1805"/>
      <c r="O23" s="1805"/>
      <c r="P23" s="1805"/>
    </row>
    <row r="24" spans="1:16" s="25" customFormat="1" ht="13.2">
      <c r="A24" s="154">
        <v>3</v>
      </c>
      <c r="C24" s="422" t="s">
        <v>106</v>
      </c>
      <c r="G24" s="425"/>
      <c r="H24" s="425"/>
      <c r="K24" s="1805"/>
      <c r="L24" s="1805"/>
      <c r="M24" s="1805"/>
      <c r="N24" s="1805"/>
      <c r="O24" s="1805"/>
      <c r="P24" s="1805"/>
    </row>
    <row r="25" spans="1:16" s="25" customFormat="1" ht="13.2">
      <c r="A25" s="25" t="s">
        <v>1276</v>
      </c>
      <c r="D25" s="25" t="s">
        <v>88</v>
      </c>
      <c r="G25" s="1400">
        <v>539</v>
      </c>
      <c r="H25" s="1400">
        <v>484</v>
      </c>
      <c r="K25" s="1805"/>
      <c r="L25" s="1805"/>
      <c r="M25" s="1805"/>
      <c r="N25" s="1805"/>
      <c r="O25" s="1805"/>
      <c r="P25" s="1805"/>
    </row>
    <row r="26" spans="1:16" s="25" customFormat="1" ht="13.2">
      <c r="A26" s="25" t="s">
        <v>1277</v>
      </c>
      <c r="D26" s="25" t="s">
        <v>627</v>
      </c>
      <c r="G26" s="1400">
        <v>190</v>
      </c>
      <c r="H26" s="1400">
        <v>109</v>
      </c>
      <c r="K26" s="1805"/>
      <c r="L26" s="1805"/>
      <c r="M26" s="1805"/>
      <c r="N26" s="1805"/>
      <c r="O26" s="1805"/>
      <c r="P26" s="1805"/>
    </row>
    <row r="27" spans="1:16" s="25" customFormat="1" ht="13.2">
      <c r="A27" s="25" t="s">
        <v>1278</v>
      </c>
      <c r="D27" s="25" t="s">
        <v>223</v>
      </c>
      <c r="G27" s="1402">
        <v>849</v>
      </c>
      <c r="H27" s="1402">
        <v>650</v>
      </c>
      <c r="K27" s="1805"/>
      <c r="L27" s="1805"/>
      <c r="M27" s="1805"/>
      <c r="N27" s="1805"/>
      <c r="O27" s="1805"/>
      <c r="P27" s="1805"/>
    </row>
    <row r="28" spans="1:16" s="25" customFormat="1" ht="13.2">
      <c r="A28" s="25" t="s">
        <v>1279</v>
      </c>
      <c r="D28" s="25" t="s">
        <v>628</v>
      </c>
      <c r="G28" s="1400">
        <v>572</v>
      </c>
      <c r="H28" s="1400">
        <v>555</v>
      </c>
      <c r="K28" s="1805"/>
      <c r="L28" s="1805"/>
      <c r="M28" s="1805"/>
      <c r="N28" s="1805"/>
      <c r="O28" s="1805"/>
      <c r="P28" s="1805"/>
    </row>
    <row r="29" spans="1:16" s="25" customFormat="1" ht="13.2">
      <c r="A29" s="25" t="s">
        <v>1280</v>
      </c>
      <c r="D29" s="25" t="s">
        <v>629</v>
      </c>
      <c r="G29" s="1400">
        <v>171</v>
      </c>
      <c r="H29" s="1400">
        <v>128</v>
      </c>
      <c r="K29" s="1805"/>
      <c r="L29" s="1805"/>
      <c r="M29" s="1805"/>
      <c r="N29" s="1805"/>
      <c r="O29" s="1805"/>
      <c r="P29" s="1805"/>
    </row>
    <row r="30" spans="1:16" s="25" customFormat="1" ht="13.2">
      <c r="A30" s="25" t="s">
        <v>1312</v>
      </c>
      <c r="D30" s="25" t="s">
        <v>68</v>
      </c>
      <c r="G30" s="1400">
        <v>281</v>
      </c>
      <c r="H30" s="1400">
        <v>258</v>
      </c>
      <c r="K30" s="1805"/>
      <c r="L30" s="1805"/>
      <c r="M30" s="1805"/>
      <c r="N30" s="1805"/>
      <c r="O30" s="1805"/>
      <c r="P30" s="1805"/>
    </row>
    <row r="31" spans="1:16" s="25" customFormat="1" ht="13.2">
      <c r="D31" s="25" t="s">
        <v>1977</v>
      </c>
      <c r="G31" s="1400">
        <v>0</v>
      </c>
      <c r="H31" s="1400">
        <v>0</v>
      </c>
      <c r="K31" s="1805"/>
      <c r="L31" s="1805"/>
      <c r="M31" s="1805"/>
      <c r="N31" s="1805"/>
      <c r="O31" s="1805"/>
      <c r="P31" s="1805"/>
    </row>
    <row r="32" spans="1:16" s="25" customFormat="1" ht="13.2">
      <c r="A32" s="639" t="s">
        <v>541</v>
      </c>
      <c r="D32" s="1403" t="s">
        <v>1165</v>
      </c>
      <c r="E32" s="1294"/>
      <c r="G32" s="1401">
        <v>0</v>
      </c>
      <c r="H32" s="1401">
        <v>0</v>
      </c>
      <c r="K32" s="1805"/>
      <c r="L32" s="1805"/>
      <c r="M32" s="1805"/>
      <c r="N32" s="1805"/>
      <c r="O32" s="1805"/>
      <c r="P32" s="1805"/>
    </row>
    <row r="33" spans="1:16" s="25" customFormat="1" ht="13.2">
      <c r="A33" s="154">
        <v>4</v>
      </c>
      <c r="C33" s="422" t="s">
        <v>225</v>
      </c>
      <c r="G33" s="423">
        <f>SUM(G25:G32)</f>
        <v>2602</v>
      </c>
      <c r="H33" s="423">
        <f>SUM(H25:H32)</f>
        <v>2184</v>
      </c>
      <c r="K33" s="1805"/>
      <c r="L33" s="1805"/>
      <c r="M33" s="1805"/>
      <c r="N33" s="1805"/>
      <c r="O33" s="1805"/>
      <c r="P33" s="1805"/>
    </row>
    <row r="34" spans="1:16" s="25" customFormat="1" ht="13.2">
      <c r="G34" s="424"/>
      <c r="H34" s="424"/>
      <c r="K34" s="1805"/>
      <c r="L34" s="1805"/>
      <c r="M34" s="1805"/>
      <c r="N34" s="1805"/>
      <c r="O34" s="1805"/>
      <c r="P34" s="1805"/>
    </row>
    <row r="35" spans="1:16" s="25" customFormat="1" ht="16.2" thickBot="1">
      <c r="A35" s="154">
        <v>5</v>
      </c>
      <c r="C35" s="167" t="s">
        <v>630</v>
      </c>
      <c r="D35" s="422"/>
      <c r="E35" s="422"/>
      <c r="F35" s="422"/>
      <c r="G35" s="426">
        <f>G22-G33</f>
        <v>139</v>
      </c>
      <c r="H35" s="426">
        <f>H22-H33</f>
        <v>81</v>
      </c>
      <c r="K35" s="1805"/>
      <c r="L35" s="1805"/>
      <c r="M35" s="1805"/>
      <c r="N35" s="1805"/>
      <c r="O35" s="1805"/>
      <c r="P35" s="1805"/>
    </row>
    <row r="36" spans="1:16" s="25" customFormat="1" ht="13.8" thickTop="1">
      <c r="G36" s="424"/>
      <c r="H36" s="424"/>
      <c r="K36" s="1805"/>
      <c r="L36" s="1805"/>
      <c r="M36" s="1805"/>
      <c r="N36" s="1805"/>
      <c r="O36" s="1805"/>
      <c r="P36" s="1805"/>
    </row>
    <row r="37" spans="1:16" s="25" customFormat="1" ht="13.2">
      <c r="A37" s="154">
        <v>6</v>
      </c>
      <c r="C37" s="422" t="s">
        <v>631</v>
      </c>
      <c r="G37" s="424"/>
      <c r="H37" s="424"/>
      <c r="K37" s="1805"/>
      <c r="L37" s="1805"/>
      <c r="M37" s="1805"/>
      <c r="N37" s="1805"/>
      <c r="O37" s="1805"/>
      <c r="P37" s="1805"/>
    </row>
    <row r="38" spans="1:16" s="25" customFormat="1" ht="13.2">
      <c r="A38" s="25" t="s">
        <v>1366</v>
      </c>
      <c r="D38" s="25" t="s">
        <v>734</v>
      </c>
      <c r="G38" s="1400">
        <v>12</v>
      </c>
      <c r="H38" s="1400">
        <v>23</v>
      </c>
      <c r="K38" s="1805"/>
      <c r="L38" s="1805"/>
      <c r="M38" s="1805"/>
      <c r="N38" s="1805"/>
      <c r="O38" s="1805"/>
      <c r="P38" s="1805"/>
    </row>
    <row r="39" spans="1:16" s="25" customFormat="1" ht="13.2">
      <c r="A39" s="25" t="s">
        <v>1367</v>
      </c>
      <c r="D39" s="25" t="s">
        <v>67</v>
      </c>
      <c r="G39" s="1400">
        <v>5</v>
      </c>
      <c r="H39" s="1400">
        <v>3</v>
      </c>
      <c r="K39" s="1805"/>
      <c r="L39" s="1805"/>
      <c r="M39" s="1805"/>
      <c r="N39" s="1805"/>
      <c r="O39" s="1805"/>
      <c r="P39" s="1805"/>
    </row>
    <row r="40" spans="1:16" s="25" customFormat="1" ht="13.2">
      <c r="A40" s="639" t="s">
        <v>541</v>
      </c>
      <c r="D40" s="1403" t="s">
        <v>1165</v>
      </c>
      <c r="E40" s="1294"/>
      <c r="G40" s="1401">
        <v>0</v>
      </c>
      <c r="H40" s="1401">
        <v>0</v>
      </c>
      <c r="K40" s="1805"/>
      <c r="L40" s="1805"/>
      <c r="M40" s="1805"/>
      <c r="N40" s="1805"/>
      <c r="O40" s="1805"/>
      <c r="P40" s="1805"/>
    </row>
    <row r="41" spans="1:16" s="25" customFormat="1" ht="13.2">
      <c r="A41" s="154">
        <v>7</v>
      </c>
      <c r="D41" s="422" t="s">
        <v>224</v>
      </c>
      <c r="G41" s="423">
        <f>SUM(G38:G40)</f>
        <v>17</v>
      </c>
      <c r="H41" s="423">
        <f>SUM(H38:H40)</f>
        <v>26</v>
      </c>
      <c r="K41" s="1805"/>
      <c r="L41" s="1805"/>
      <c r="M41" s="1805"/>
      <c r="N41" s="1805"/>
      <c r="O41" s="1805"/>
      <c r="P41" s="1805"/>
    </row>
    <row r="42" spans="1:16" s="25" customFormat="1" ht="13.2">
      <c r="A42" s="639"/>
      <c r="G42" s="424"/>
      <c r="H42" s="424"/>
      <c r="K42" s="1805"/>
      <c r="L42" s="1805"/>
      <c r="M42" s="1805"/>
      <c r="N42" s="1805"/>
      <c r="O42" s="1805"/>
      <c r="P42" s="1805"/>
    </row>
    <row r="43" spans="1:16" s="25" customFormat="1" ht="13.2">
      <c r="A43" s="154">
        <v>8</v>
      </c>
      <c r="C43" s="422" t="s">
        <v>632</v>
      </c>
      <c r="G43" s="424"/>
      <c r="H43" s="424"/>
      <c r="K43" s="1805"/>
      <c r="L43" s="1805"/>
      <c r="M43" s="1805"/>
      <c r="N43" s="1805"/>
      <c r="O43" s="1805"/>
      <c r="P43" s="1805"/>
    </row>
    <row r="44" spans="1:16" s="25" customFormat="1" ht="13.2">
      <c r="A44" s="639" t="s">
        <v>1166</v>
      </c>
      <c r="D44" s="25" t="s">
        <v>633</v>
      </c>
      <c r="G44" s="1404">
        <v>0</v>
      </c>
      <c r="H44" s="1404">
        <v>0</v>
      </c>
      <c r="K44" s="1805"/>
      <c r="L44" s="1805"/>
      <c r="M44" s="1805"/>
      <c r="N44" s="1805"/>
      <c r="O44" s="1805"/>
      <c r="P44" s="1805"/>
    </row>
    <row r="45" spans="1:16" s="25" customFormat="1" ht="13.2">
      <c r="A45" s="639" t="s">
        <v>1167</v>
      </c>
      <c r="D45" s="25" t="s">
        <v>634</v>
      </c>
      <c r="G45" s="1404">
        <v>52</v>
      </c>
      <c r="H45" s="1404">
        <v>42</v>
      </c>
      <c r="K45" s="1805"/>
      <c r="L45" s="1805"/>
      <c r="M45" s="1805"/>
      <c r="N45" s="1805"/>
      <c r="O45" s="1805"/>
      <c r="P45" s="1805"/>
    </row>
    <row r="46" spans="1:16" s="25" customFormat="1" ht="13.2">
      <c r="A46" s="639" t="s">
        <v>1187</v>
      </c>
      <c r="D46" s="25" t="s">
        <v>637</v>
      </c>
      <c r="G46" s="1404">
        <v>59</v>
      </c>
      <c r="H46" s="1404">
        <v>109</v>
      </c>
      <c r="K46" s="1805"/>
      <c r="L46" s="1805"/>
      <c r="M46" s="1805"/>
      <c r="N46" s="1805"/>
      <c r="O46" s="1805"/>
      <c r="P46" s="1805"/>
    </row>
    <row r="47" spans="1:16" s="25" customFormat="1" ht="13.2">
      <c r="A47" s="639" t="s">
        <v>1188</v>
      </c>
      <c r="D47" s="25" t="s">
        <v>635</v>
      </c>
      <c r="G47" s="1404">
        <v>-26</v>
      </c>
      <c r="H47" s="1404">
        <v>-27</v>
      </c>
      <c r="K47" s="1805"/>
      <c r="L47" s="1805"/>
      <c r="M47" s="1805"/>
      <c r="N47" s="1805"/>
      <c r="O47" s="1805"/>
      <c r="P47" s="1805"/>
    </row>
    <row r="48" spans="1:16" s="25" customFormat="1" ht="13.2">
      <c r="A48" s="639" t="s">
        <v>1189</v>
      </c>
      <c r="D48" s="25" t="s">
        <v>636</v>
      </c>
      <c r="G48" s="1404">
        <v>-1</v>
      </c>
      <c r="H48" s="1404">
        <v>0</v>
      </c>
      <c r="K48" s="1805"/>
      <c r="L48" s="1805"/>
      <c r="M48" s="1805"/>
      <c r="N48" s="1805"/>
      <c r="O48" s="1805"/>
      <c r="P48" s="1805"/>
    </row>
    <row r="49" spans="1:16" s="25" customFormat="1" ht="13.2">
      <c r="A49" s="639"/>
      <c r="D49" s="25" t="s">
        <v>1978</v>
      </c>
      <c r="G49" s="1404">
        <v>0</v>
      </c>
      <c r="H49" s="1404">
        <v>0</v>
      </c>
      <c r="K49" s="1805"/>
      <c r="L49" s="1805"/>
      <c r="M49" s="1805"/>
      <c r="N49" s="1805"/>
      <c r="O49" s="1805"/>
      <c r="P49" s="1805"/>
    </row>
    <row r="50" spans="1:16" s="25" customFormat="1" ht="13.2">
      <c r="A50" s="639" t="s">
        <v>541</v>
      </c>
      <c r="D50" s="1403" t="s">
        <v>1165</v>
      </c>
      <c r="E50" s="1294"/>
      <c r="G50" s="1401">
        <v>0</v>
      </c>
      <c r="H50" s="1401">
        <v>0</v>
      </c>
      <c r="K50" s="1805"/>
      <c r="L50" s="1805"/>
      <c r="M50" s="1805"/>
      <c r="N50" s="1805"/>
      <c r="O50" s="1805"/>
      <c r="P50" s="1805"/>
    </row>
    <row r="51" spans="1:16" s="25" customFormat="1" ht="13.2">
      <c r="A51" s="154">
        <v>9</v>
      </c>
      <c r="D51" s="422" t="s">
        <v>224</v>
      </c>
      <c r="G51" s="423">
        <f>SUM(G44:G50)</f>
        <v>84</v>
      </c>
      <c r="H51" s="423">
        <f>SUM(H44:H50)</f>
        <v>124</v>
      </c>
      <c r="K51" s="1805"/>
      <c r="L51" s="1805"/>
      <c r="M51" s="1805"/>
      <c r="N51" s="1805"/>
      <c r="O51" s="1805"/>
      <c r="P51" s="1805"/>
    </row>
    <row r="52" spans="1:16" s="25" customFormat="1" ht="13.2">
      <c r="A52" s="639"/>
      <c r="G52" s="424"/>
      <c r="H52" s="424"/>
      <c r="K52" s="1805"/>
      <c r="L52" s="1805"/>
      <c r="M52" s="1805"/>
      <c r="N52" s="1805"/>
      <c r="O52" s="1805"/>
      <c r="P52" s="1805"/>
    </row>
    <row r="53" spans="1:16" s="25" customFormat="1" ht="16.2" thickBot="1">
      <c r="A53" s="154">
        <v>10</v>
      </c>
      <c r="C53" s="167" t="s">
        <v>638</v>
      </c>
      <c r="D53" s="422"/>
      <c r="E53" s="422"/>
      <c r="F53" s="422"/>
      <c r="G53" s="426">
        <f>G35+G41-G51</f>
        <v>72</v>
      </c>
      <c r="H53" s="426">
        <f>H35+H41-H51</f>
        <v>-17</v>
      </c>
      <c r="K53" s="1805"/>
      <c r="L53" s="1805"/>
      <c r="M53" s="1805"/>
      <c r="N53" s="1805"/>
      <c r="O53" s="1805"/>
      <c r="P53" s="1805"/>
    </row>
    <row r="54" spans="1:16" s="25" customFormat="1" ht="13.8" thickTop="1">
      <c r="A54" s="639"/>
      <c r="G54" s="424"/>
      <c r="H54" s="424"/>
      <c r="K54" s="1805"/>
      <c r="L54" s="1805"/>
      <c r="M54" s="1805"/>
      <c r="N54" s="1805"/>
      <c r="O54" s="1805"/>
      <c r="P54" s="1805"/>
    </row>
    <row r="55" spans="1:16" s="25" customFormat="1" ht="13.2">
      <c r="A55" s="154">
        <v>11</v>
      </c>
      <c r="D55" s="25" t="s">
        <v>639</v>
      </c>
      <c r="G55" s="1404">
        <v>0</v>
      </c>
      <c r="H55" s="1404">
        <v>0</v>
      </c>
      <c r="K55" s="1805"/>
      <c r="L55" s="1805"/>
      <c r="M55" s="1805"/>
      <c r="N55" s="1805"/>
      <c r="O55" s="1805"/>
      <c r="P55" s="1805"/>
    </row>
    <row r="56" spans="1:16" s="25" customFormat="1" ht="13.2">
      <c r="A56" s="154" t="s">
        <v>541</v>
      </c>
      <c r="D56" s="1403" t="s">
        <v>1165</v>
      </c>
      <c r="E56" s="1294"/>
      <c r="G56" s="1405"/>
      <c r="H56" s="1405"/>
      <c r="K56" s="1805"/>
      <c r="L56" s="1805"/>
      <c r="M56" s="1805"/>
      <c r="N56" s="1805"/>
      <c r="O56" s="1805"/>
      <c r="P56" s="1805"/>
    </row>
    <row r="57" spans="1:16" s="25" customFormat="1" ht="13.2">
      <c r="A57" s="154"/>
      <c r="G57" s="1406">
        <f>SUM(G55:G56)</f>
        <v>0</v>
      </c>
      <c r="H57" s="1406">
        <f>SUM(H55:H56)</f>
        <v>0</v>
      </c>
      <c r="I57" s="641"/>
      <c r="K57" s="1805"/>
      <c r="L57" s="1805"/>
      <c r="M57" s="1805"/>
      <c r="N57" s="1805"/>
      <c r="O57" s="1805"/>
      <c r="P57" s="1805"/>
    </row>
    <row r="58" spans="1:16" s="25" customFormat="1" ht="13.2">
      <c r="A58" s="154"/>
      <c r="G58" s="424"/>
      <c r="H58" s="424"/>
      <c r="I58" s="641"/>
      <c r="K58" s="1805"/>
      <c r="L58" s="1805"/>
      <c r="M58" s="1805"/>
      <c r="N58" s="1805"/>
      <c r="O58" s="1805"/>
      <c r="P58" s="1805"/>
    </row>
    <row r="59" spans="1:16" s="25" customFormat="1" ht="13.2">
      <c r="A59" s="154">
        <v>13</v>
      </c>
      <c r="D59" s="25" t="s">
        <v>640</v>
      </c>
      <c r="G59" s="427">
        <f>+G57+G53</f>
        <v>72</v>
      </c>
      <c r="H59" s="427">
        <f>+H57+H53</f>
        <v>-17</v>
      </c>
      <c r="K59" s="1805"/>
      <c r="L59" s="1805"/>
      <c r="M59" s="1805"/>
      <c r="N59" s="1805"/>
      <c r="O59" s="1805"/>
      <c r="P59" s="1805"/>
    </row>
    <row r="60" spans="1:16" s="25" customFormat="1" ht="13.2">
      <c r="A60" s="154"/>
      <c r="G60" s="427"/>
      <c r="H60" s="427"/>
      <c r="K60" s="1805"/>
      <c r="L60" s="1805"/>
      <c r="M60" s="1805"/>
      <c r="N60" s="1805"/>
      <c r="O60" s="1805"/>
      <c r="P60" s="1805"/>
    </row>
    <row r="61" spans="1:16" s="25" customFormat="1" ht="13.2">
      <c r="A61" s="154">
        <v>14</v>
      </c>
      <c r="D61" s="25" t="s">
        <v>446</v>
      </c>
      <c r="G61" s="1405">
        <v>4743</v>
      </c>
      <c r="H61" s="1405">
        <v>4760</v>
      </c>
      <c r="K61" s="1805"/>
      <c r="L61" s="1805"/>
      <c r="M61" s="1805"/>
      <c r="N61" s="1805"/>
      <c r="O61" s="1805"/>
      <c r="P61" s="1805"/>
    </row>
    <row r="62" spans="1:16" s="25" customFormat="1" ht="13.2">
      <c r="A62" s="154"/>
      <c r="G62" s="427"/>
      <c r="H62" s="427"/>
      <c r="K62" s="1805"/>
      <c r="L62" s="1805"/>
      <c r="M62" s="1805"/>
      <c r="N62" s="1805"/>
      <c r="O62" s="1805"/>
      <c r="P62" s="1805"/>
    </row>
    <row r="63" spans="1:16" s="25" customFormat="1" ht="13.8" thickBot="1">
      <c r="A63" s="154">
        <v>15</v>
      </c>
      <c r="D63" s="25" t="s">
        <v>447</v>
      </c>
      <c r="G63" s="428">
        <f>+G61+G59</f>
        <v>4815</v>
      </c>
      <c r="H63" s="428">
        <f>+H61+H59</f>
        <v>4743</v>
      </c>
      <c r="K63" s="1805"/>
      <c r="L63" s="1805"/>
      <c r="M63" s="1805"/>
      <c r="N63" s="1805"/>
      <c r="O63" s="1805"/>
      <c r="P63" s="1805"/>
    </row>
    <row r="64" spans="1:16">
      <c r="A64" s="640"/>
    </row>
  </sheetData>
  <customSheetViews>
    <customSheetView guid="{B321D76C-CDE5-48BB-9CDE-80FF97D58FCF}" showPageBreaks="1" fitToPage="1" printArea="1" view="pageBreakPreview">
      <selection activeCell="D33" sqref="D33"/>
      <pageMargins left="0.2" right="0.2" top="0.25" bottom="0.25" header="0.3" footer="0.3"/>
      <printOptions horizontalCentered="1"/>
      <pageSetup scale="83" orientation="portrait" r:id="rId1"/>
    </customSheetView>
  </customSheetViews>
  <mergeCells count="8">
    <mergeCell ref="B14:E14"/>
    <mergeCell ref="B13:E13"/>
    <mergeCell ref="A3:J3"/>
    <mergeCell ref="A4:J4"/>
    <mergeCell ref="A5:J5"/>
    <mergeCell ref="A7:J7"/>
    <mergeCell ref="A8:J8"/>
    <mergeCell ref="A9:J9"/>
  </mergeCells>
  <printOptions horizontalCentered="1"/>
  <pageMargins left="0.2" right="0.2" top="0.25" bottom="0.25" header="0.3" footer="0.3"/>
  <pageSetup scale="80"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tabColor rgb="FFFF66FF"/>
  </sheetPr>
  <dimension ref="A1:L136"/>
  <sheetViews>
    <sheetView view="pageBreakPreview" zoomScale="80" zoomScaleNormal="115" zoomScaleSheetLayoutView="80" zoomScalePageLayoutView="110" workbookViewId="0">
      <selection activeCell="C111" sqref="C111"/>
    </sheetView>
  </sheetViews>
  <sheetFormatPr defaultColWidth="7" defaultRowHeight="15.6"/>
  <cols>
    <col min="1" max="1" width="9.33203125" style="1692" bestFit="1" customWidth="1"/>
    <col min="2" max="2" width="45.21875" style="1697" customWidth="1"/>
    <col min="3" max="3" width="3.44140625" style="1696" customWidth="1"/>
    <col min="4" max="5" width="18.77734375" style="1696" customWidth="1"/>
    <col min="6" max="6" width="1.109375" style="1696" customWidth="1"/>
    <col min="7" max="7" width="11.21875" style="1696" bestFit="1" customWidth="1"/>
    <col min="8" max="8" width="7" style="1696"/>
    <col min="9" max="9" width="7.5546875" style="1696" bestFit="1" customWidth="1"/>
    <col min="10" max="10" width="7" style="1696"/>
    <col min="11" max="11" width="6.109375" style="1696" bestFit="1" customWidth="1"/>
    <col min="12" max="16384" width="7" style="1696"/>
  </cols>
  <sheetData>
    <row r="1" spans="1:10" s="1614" customFormat="1">
      <c r="A1" s="1682" t="s">
        <v>987</v>
      </c>
      <c r="B1" s="1683"/>
      <c r="C1" s="1684"/>
      <c r="G1" s="1685"/>
    </row>
    <row r="2" spans="1:10" s="1619" customFormat="1" ht="18">
      <c r="A2" s="1686"/>
      <c r="B2" s="1687"/>
      <c r="C2" s="1541"/>
      <c r="D2" s="1688"/>
      <c r="E2" s="1541"/>
      <c r="F2" s="1541"/>
      <c r="G2" s="1541"/>
    </row>
    <row r="3" spans="1:10" s="1619" customFormat="1" ht="18">
      <c r="A3" s="1686"/>
      <c r="B3" s="1687"/>
      <c r="C3" s="1541"/>
      <c r="D3" s="1688"/>
      <c r="E3" s="1541"/>
      <c r="F3" s="1541"/>
      <c r="G3" s="1541"/>
    </row>
    <row r="4" spans="1:10" s="1619" customFormat="1" ht="17.399999999999999">
      <c r="A4" s="2030" t="s">
        <v>200</v>
      </c>
      <c r="B4" s="2030"/>
      <c r="C4" s="2030"/>
      <c r="D4" s="2030"/>
      <c r="E4" s="2030"/>
      <c r="F4" s="2030"/>
      <c r="G4" s="2030"/>
    </row>
    <row r="5" spans="1:10" s="1619" customFormat="1" ht="17.399999999999999">
      <c r="A5" s="2030" t="s">
        <v>103</v>
      </c>
      <c r="B5" s="2030"/>
      <c r="C5" s="2030"/>
      <c r="D5" s="2030"/>
      <c r="E5" s="2030"/>
      <c r="F5" s="2030"/>
      <c r="G5" s="2030"/>
    </row>
    <row r="6" spans="1:10" s="1619" customFormat="1" ht="17.399999999999999">
      <c r="A6" s="2031" t="str">
        <f>SUMMARY!A7</f>
        <v>YEAR ENDING DECEMBER 31, 2021</v>
      </c>
      <c r="B6" s="2031"/>
      <c r="C6" s="2031"/>
      <c r="D6" s="2031"/>
      <c r="E6" s="2031"/>
      <c r="F6" s="2031"/>
      <c r="G6" s="2031"/>
    </row>
    <row r="7" spans="1:10" s="1619" customFormat="1" ht="12" customHeight="1">
      <c r="A7" s="1689"/>
      <c r="B7" s="1690"/>
      <c r="C7" s="1541"/>
      <c r="D7" s="1542"/>
      <c r="E7" s="1541"/>
      <c r="F7" s="1541"/>
      <c r="G7" s="1541"/>
    </row>
    <row r="8" spans="1:10" s="1619" customFormat="1" ht="17.399999999999999">
      <c r="A8" s="2032" t="s">
        <v>988</v>
      </c>
      <c r="B8" s="2032"/>
      <c r="C8" s="2032"/>
      <c r="D8" s="2032"/>
      <c r="E8" s="2032"/>
      <c r="F8" s="2032"/>
      <c r="G8" s="2032"/>
    </row>
    <row r="9" spans="1:10" s="1619" customFormat="1" ht="17.399999999999999">
      <c r="A9" s="2032" t="s">
        <v>1083</v>
      </c>
      <c r="B9" s="2032"/>
      <c r="C9" s="2032"/>
      <c r="D9" s="2032"/>
      <c r="E9" s="2032"/>
      <c r="F9" s="2032"/>
      <c r="G9" s="2032"/>
    </row>
    <row r="10" spans="1:10" s="1619" customFormat="1">
      <c r="A10" s="2070" t="s">
        <v>1070</v>
      </c>
      <c r="B10" s="2070"/>
      <c r="C10" s="2070"/>
      <c r="D10" s="2070"/>
      <c r="E10" s="2070"/>
      <c r="F10" s="2070"/>
      <c r="G10" s="2070"/>
      <c r="H10" s="1691"/>
      <c r="I10" s="1691"/>
      <c r="J10" s="1691"/>
    </row>
    <row r="11" spans="1:10" ht="12.6" customHeight="1">
      <c r="B11" s="1693"/>
      <c r="C11" s="1694"/>
      <c r="D11" s="1695"/>
      <c r="E11" s="1694"/>
      <c r="F11" s="1694"/>
    </row>
    <row r="12" spans="1:10" ht="13.2" customHeight="1"/>
    <row r="13" spans="1:10" ht="13.2" customHeight="1">
      <c r="C13" s="1697"/>
      <c r="D13" s="1698"/>
      <c r="E13" s="1697"/>
    </row>
    <row r="14" spans="1:10" ht="13.2" customHeight="1">
      <c r="A14" s="1699"/>
      <c r="B14" s="1700" t="s">
        <v>60</v>
      </c>
      <c r="C14" s="1701" t="s">
        <v>31</v>
      </c>
      <c r="D14" s="1702" t="s">
        <v>2049</v>
      </c>
      <c r="E14" s="1702" t="s">
        <v>2017</v>
      </c>
      <c r="F14" s="1703"/>
    </row>
    <row r="15" spans="1:10" ht="18.75" customHeight="1">
      <c r="B15" s="1704" t="s">
        <v>192</v>
      </c>
      <c r="C15" s="1705"/>
      <c r="D15" s="1706" t="s">
        <v>193</v>
      </c>
      <c r="E15" s="1706" t="s">
        <v>194</v>
      </c>
      <c r="F15" s="1694"/>
    </row>
    <row r="16" spans="1:10">
      <c r="A16" s="1707">
        <v>1</v>
      </c>
      <c r="B16" s="1708" t="s">
        <v>674</v>
      </c>
      <c r="D16" s="1709"/>
      <c r="E16" s="1709"/>
      <c r="F16" s="1709"/>
    </row>
    <row r="17" spans="1:12">
      <c r="A17" s="1692" t="s">
        <v>471</v>
      </c>
      <c r="B17" s="1710" t="s">
        <v>684</v>
      </c>
      <c r="D17" s="1711"/>
      <c r="E17" s="1711"/>
      <c r="F17" s="1697"/>
      <c r="H17" s="1803"/>
      <c r="I17" s="1803"/>
      <c r="J17" s="1803"/>
      <c r="K17" s="1803"/>
      <c r="L17" s="1803"/>
    </row>
    <row r="18" spans="1:12">
      <c r="A18" s="1692" t="s">
        <v>473</v>
      </c>
      <c r="B18" s="1712" t="s">
        <v>675</v>
      </c>
      <c r="D18" s="1713">
        <v>533.27004346000001</v>
      </c>
      <c r="E18" s="1713">
        <v>219</v>
      </c>
      <c r="F18" s="1697"/>
      <c r="H18" s="1803"/>
      <c r="I18" s="1803"/>
      <c r="J18" s="1803"/>
      <c r="K18" s="1803"/>
      <c r="L18" s="1803"/>
    </row>
    <row r="19" spans="1:12">
      <c r="A19" s="1692" t="s">
        <v>494</v>
      </c>
      <c r="B19" s="1712" t="s">
        <v>676</v>
      </c>
      <c r="D19" s="1713">
        <v>766.12159506000012</v>
      </c>
      <c r="E19" s="1713">
        <v>349</v>
      </c>
      <c r="F19" s="1697"/>
      <c r="H19" s="1803"/>
      <c r="I19" s="1803"/>
      <c r="J19" s="1803"/>
      <c r="K19" s="1803"/>
      <c r="L19" s="1803"/>
    </row>
    <row r="20" spans="1:12">
      <c r="A20" s="1692" t="s">
        <v>495</v>
      </c>
      <c r="B20" s="1712" t="s">
        <v>1979</v>
      </c>
      <c r="D20" s="1713">
        <v>0</v>
      </c>
      <c r="E20" s="1713">
        <v>0</v>
      </c>
      <c r="F20" s="1714"/>
      <c r="H20" s="1803"/>
      <c r="I20" s="1804"/>
      <c r="J20" s="1803"/>
      <c r="K20" s="1803"/>
      <c r="L20" s="1803"/>
    </row>
    <row r="21" spans="1:12">
      <c r="A21" s="1692" t="s">
        <v>496</v>
      </c>
      <c r="B21" s="1712" t="s">
        <v>677</v>
      </c>
      <c r="D21" s="1713">
        <v>253.35066915000002</v>
      </c>
      <c r="E21" s="1713">
        <v>219</v>
      </c>
      <c r="F21" s="1715"/>
      <c r="H21" s="1803"/>
      <c r="I21" s="1803"/>
      <c r="J21" s="1803"/>
      <c r="K21" s="1803"/>
      <c r="L21" s="1803"/>
    </row>
    <row r="22" spans="1:12">
      <c r="A22" s="1692" t="s">
        <v>497</v>
      </c>
      <c r="B22" s="1712" t="s">
        <v>678</v>
      </c>
      <c r="D22" s="1713"/>
      <c r="E22" s="1713"/>
      <c r="F22" s="1715"/>
      <c r="H22" s="1803"/>
      <c r="I22" s="1803"/>
      <c r="J22" s="1803"/>
      <c r="K22" s="1803"/>
      <c r="L22" s="1803"/>
    </row>
    <row r="23" spans="1:12">
      <c r="A23" s="1692" t="s">
        <v>498</v>
      </c>
      <c r="B23" s="1716" t="s">
        <v>679</v>
      </c>
      <c r="D23" s="1713">
        <v>85.400309730000004</v>
      </c>
      <c r="E23" s="1713">
        <v>90</v>
      </c>
      <c r="F23" s="1715"/>
      <c r="H23" s="1803"/>
      <c r="I23" s="1803"/>
      <c r="J23" s="1803"/>
      <c r="K23" s="1803"/>
      <c r="L23" s="1803"/>
    </row>
    <row r="24" spans="1:12">
      <c r="A24" s="1692" t="s">
        <v>499</v>
      </c>
      <c r="B24" s="1716" t="s">
        <v>680</v>
      </c>
      <c r="D24" s="1713">
        <v>26.651688019999998</v>
      </c>
      <c r="E24" s="1713">
        <v>29</v>
      </c>
      <c r="F24" s="1715"/>
      <c r="H24" s="1803"/>
      <c r="I24" s="1803"/>
      <c r="J24" s="1803"/>
      <c r="K24" s="1803"/>
      <c r="L24" s="1803"/>
    </row>
    <row r="25" spans="1:12">
      <c r="A25" s="1692" t="s">
        <v>500</v>
      </c>
      <c r="B25" s="1712" t="s">
        <v>681</v>
      </c>
      <c r="D25" s="1713">
        <v>265.47374833999999</v>
      </c>
      <c r="E25" s="1713">
        <v>195</v>
      </c>
      <c r="F25" s="1715"/>
      <c r="H25" s="1803"/>
      <c r="I25" s="1803"/>
      <c r="J25" s="1803"/>
      <c r="K25" s="1803"/>
      <c r="L25" s="1803"/>
    </row>
    <row r="26" spans="1:12">
      <c r="A26" s="1692" t="s">
        <v>541</v>
      </c>
      <c r="B26" s="1717" t="s">
        <v>1165</v>
      </c>
      <c r="D26" s="1718"/>
      <c r="E26" s="1718"/>
      <c r="F26" s="1715"/>
      <c r="H26" s="1803"/>
      <c r="I26" s="1803"/>
      <c r="J26" s="1803"/>
      <c r="K26" s="1803"/>
      <c r="L26" s="1803"/>
    </row>
    <row r="27" spans="1:12">
      <c r="B27" s="1719"/>
      <c r="D27" s="1720"/>
      <c r="E27" s="1720"/>
      <c r="F27" s="1697"/>
      <c r="H27" s="1803"/>
      <c r="I27" s="1803"/>
      <c r="J27" s="1803"/>
      <c r="K27" s="1803"/>
      <c r="L27" s="1803"/>
    </row>
    <row r="28" spans="1:12">
      <c r="A28" s="1707">
        <v>2</v>
      </c>
      <c r="B28" s="1721" t="s">
        <v>682</v>
      </c>
      <c r="D28" s="1722">
        <f>SUM(D18:D26)</f>
        <v>1930.2680537599997</v>
      </c>
      <c r="E28" s="1722">
        <f>SUM(E18:E26)</f>
        <v>1101</v>
      </c>
      <c r="F28" s="1714"/>
      <c r="H28" s="1803"/>
      <c r="I28" s="1803"/>
      <c r="J28" s="1803"/>
      <c r="K28" s="1803"/>
      <c r="L28" s="1803"/>
    </row>
    <row r="29" spans="1:12">
      <c r="B29" s="1719"/>
      <c r="D29" s="1720"/>
      <c r="E29" s="1720"/>
      <c r="F29" s="1697"/>
      <c r="H29" s="1803"/>
      <c r="I29" s="1803"/>
      <c r="J29" s="1803"/>
      <c r="K29" s="1803"/>
      <c r="L29" s="1803"/>
    </row>
    <row r="30" spans="1:12">
      <c r="A30" s="1707">
        <v>3</v>
      </c>
      <c r="B30" s="1723" t="s">
        <v>683</v>
      </c>
      <c r="D30" s="1720"/>
      <c r="E30" s="1720"/>
      <c r="F30" s="1714"/>
      <c r="H30" s="1803"/>
      <c r="I30" s="1803"/>
      <c r="J30" s="1803"/>
      <c r="K30" s="1803"/>
      <c r="L30" s="1803"/>
    </row>
    <row r="31" spans="1:12">
      <c r="A31" s="1692" t="s">
        <v>1276</v>
      </c>
      <c r="B31" s="1712" t="s">
        <v>685</v>
      </c>
      <c r="D31" s="1720"/>
      <c r="E31" s="1720"/>
      <c r="F31" s="1714"/>
      <c r="H31" s="1803"/>
      <c r="I31" s="1803"/>
      <c r="J31" s="1803"/>
      <c r="K31" s="1803"/>
      <c r="L31" s="1803"/>
    </row>
    <row r="32" spans="1:12">
      <c r="A32" s="1692" t="s">
        <v>1277</v>
      </c>
      <c r="B32" s="1716" t="s">
        <v>675</v>
      </c>
      <c r="D32" s="1713">
        <v>58.310344530000002</v>
      </c>
      <c r="E32" s="1713">
        <v>51</v>
      </c>
      <c r="F32" s="1714"/>
      <c r="H32" s="1803"/>
      <c r="I32" s="1803"/>
      <c r="J32" s="1803"/>
      <c r="K32" s="1803"/>
      <c r="L32" s="1803"/>
    </row>
    <row r="33" spans="1:12">
      <c r="A33" s="1692" t="s">
        <v>1278</v>
      </c>
      <c r="B33" s="1716" t="s">
        <v>676</v>
      </c>
      <c r="D33" s="1713">
        <v>14.856198990000001</v>
      </c>
      <c r="E33" s="1713">
        <v>16</v>
      </c>
      <c r="F33" s="1724"/>
      <c r="H33" s="1803"/>
      <c r="I33" s="1803"/>
      <c r="J33" s="1803"/>
      <c r="K33" s="1803"/>
      <c r="L33" s="1803"/>
    </row>
    <row r="34" spans="1:12">
      <c r="A34" s="1692" t="s">
        <v>541</v>
      </c>
      <c r="B34" s="1725" t="s">
        <v>1165</v>
      </c>
      <c r="D34" s="1718"/>
      <c r="E34" s="1718"/>
      <c r="F34" s="1715"/>
      <c r="H34" s="1803"/>
      <c r="I34" s="1803"/>
      <c r="J34" s="1803"/>
      <c r="K34" s="1803"/>
      <c r="L34" s="1803"/>
    </row>
    <row r="35" spans="1:12">
      <c r="B35" s="1719"/>
      <c r="D35" s="1720"/>
      <c r="E35" s="1720"/>
      <c r="F35" s="1724"/>
      <c r="H35" s="1803"/>
      <c r="I35" s="1803"/>
      <c r="J35" s="1803"/>
      <c r="K35" s="1803"/>
      <c r="L35" s="1803"/>
    </row>
    <row r="36" spans="1:12">
      <c r="A36" s="1707">
        <v>4</v>
      </c>
      <c r="B36" s="1721" t="s">
        <v>686</v>
      </c>
      <c r="D36" s="1722">
        <f>SUM(D32:D34)</f>
        <v>73.166543520000005</v>
      </c>
      <c r="E36" s="1722">
        <f>SUM(E32:E34)</f>
        <v>67</v>
      </c>
      <c r="F36" s="1724"/>
      <c r="H36" s="1803"/>
      <c r="I36" s="1803"/>
      <c r="J36" s="1803"/>
      <c r="K36" s="1803"/>
      <c r="L36" s="1803"/>
    </row>
    <row r="37" spans="1:12">
      <c r="B37" s="1719"/>
      <c r="D37" s="1720"/>
      <c r="E37" s="1720"/>
      <c r="F37" s="1724"/>
      <c r="H37" s="1803"/>
      <c r="I37" s="1803"/>
      <c r="J37" s="1803"/>
      <c r="K37" s="1803"/>
      <c r="L37" s="1803"/>
    </row>
    <row r="38" spans="1:12">
      <c r="A38" s="1707">
        <v>5</v>
      </c>
      <c r="B38" s="1712" t="s">
        <v>687</v>
      </c>
      <c r="D38" s="1720"/>
      <c r="E38" s="1720"/>
      <c r="F38" s="1714"/>
      <c r="H38" s="1803"/>
      <c r="I38" s="1803"/>
      <c r="J38" s="1803"/>
      <c r="K38" s="1803"/>
      <c r="L38" s="1803"/>
    </row>
    <row r="39" spans="1:12">
      <c r="A39" s="1692" t="s">
        <v>1273</v>
      </c>
      <c r="B39" s="1716" t="s">
        <v>675</v>
      </c>
      <c r="D39" s="1713">
        <v>0</v>
      </c>
      <c r="E39" s="1713">
        <v>677</v>
      </c>
      <c r="F39" s="1714"/>
      <c r="H39" s="1803"/>
      <c r="I39" s="1803"/>
      <c r="J39" s="1803"/>
      <c r="K39" s="1803"/>
      <c r="L39" s="1803"/>
    </row>
    <row r="40" spans="1:12">
      <c r="A40" s="1692" t="s">
        <v>1274</v>
      </c>
      <c r="B40" s="1716" t="s">
        <v>676</v>
      </c>
      <c r="D40" s="1713">
        <v>0</v>
      </c>
      <c r="E40" s="1713">
        <v>192</v>
      </c>
      <c r="F40" s="1724"/>
      <c r="H40" s="1803"/>
      <c r="I40" s="1803"/>
      <c r="J40" s="1803"/>
      <c r="K40" s="1803"/>
      <c r="L40" s="1803"/>
    </row>
    <row r="41" spans="1:12">
      <c r="A41" s="1692" t="s">
        <v>541</v>
      </c>
      <c r="B41" s="1725" t="s">
        <v>1165</v>
      </c>
      <c r="D41" s="1718"/>
      <c r="E41" s="1718"/>
      <c r="F41" s="1715"/>
      <c r="H41" s="1803"/>
      <c r="I41" s="1803"/>
      <c r="J41" s="1803"/>
      <c r="K41" s="1803"/>
      <c r="L41" s="1803"/>
    </row>
    <row r="42" spans="1:12">
      <c r="B42" s="1719"/>
      <c r="D42" s="1720"/>
      <c r="E42" s="1720"/>
      <c r="F42" s="1724"/>
      <c r="H42" s="1803"/>
      <c r="I42" s="1803"/>
      <c r="J42" s="1803"/>
      <c r="K42" s="1803"/>
      <c r="L42" s="1803"/>
    </row>
    <row r="43" spans="1:12">
      <c r="A43" s="1707">
        <v>6</v>
      </c>
      <c r="B43" s="1721" t="s">
        <v>691</v>
      </c>
      <c r="D43" s="1722">
        <f>SUM(D39:D41)</f>
        <v>0</v>
      </c>
      <c r="E43" s="1722">
        <f>SUM(E39:E41)</f>
        <v>869</v>
      </c>
      <c r="F43" s="1724"/>
      <c r="H43" s="1803"/>
      <c r="I43" s="1803"/>
      <c r="J43" s="1803"/>
      <c r="K43" s="1803"/>
      <c r="L43" s="1803"/>
    </row>
    <row r="44" spans="1:12">
      <c r="B44" s="1719"/>
      <c r="D44" s="1720"/>
      <c r="E44" s="1720"/>
      <c r="F44" s="1724"/>
      <c r="H44" s="1803"/>
      <c r="I44" s="1803"/>
      <c r="J44" s="1803"/>
      <c r="K44" s="1803"/>
      <c r="L44" s="1803"/>
    </row>
    <row r="45" spans="1:12">
      <c r="A45" s="1707">
        <v>7</v>
      </c>
      <c r="B45" s="1712" t="s">
        <v>688</v>
      </c>
      <c r="D45" s="1720"/>
      <c r="E45" s="1720"/>
      <c r="F45" s="1714"/>
      <c r="H45" s="1803"/>
      <c r="I45" s="1803"/>
      <c r="J45" s="1803"/>
      <c r="K45" s="1803"/>
      <c r="L45" s="1803"/>
    </row>
    <row r="46" spans="1:12">
      <c r="A46" s="1692" t="s">
        <v>1283</v>
      </c>
      <c r="B46" s="1716" t="s">
        <v>689</v>
      </c>
      <c r="D46" s="1713">
        <v>979.07768736000003</v>
      </c>
      <c r="E46" s="1713">
        <v>984</v>
      </c>
      <c r="F46" s="1714"/>
      <c r="H46" s="1803"/>
      <c r="I46" s="1803"/>
      <c r="J46" s="1803"/>
      <c r="K46" s="1803"/>
      <c r="L46" s="1803"/>
    </row>
    <row r="47" spans="1:12">
      <c r="A47" s="1692" t="s">
        <v>1284</v>
      </c>
      <c r="B47" s="1716" t="s">
        <v>690</v>
      </c>
      <c r="D47" s="1713">
        <v>5508.5631636600001</v>
      </c>
      <c r="E47" s="1713">
        <v>5048</v>
      </c>
      <c r="F47" s="1714"/>
      <c r="H47" s="1803"/>
      <c r="I47" s="1803"/>
      <c r="J47" s="1803"/>
      <c r="K47" s="1803"/>
      <c r="L47" s="1803"/>
    </row>
    <row r="48" spans="1:12">
      <c r="A48" s="1692" t="s">
        <v>541</v>
      </c>
      <c r="B48" s="1725" t="s">
        <v>1165</v>
      </c>
      <c r="D48" s="1718"/>
      <c r="E48" s="1718"/>
      <c r="F48" s="1715"/>
      <c r="H48" s="1803"/>
      <c r="I48" s="1803"/>
      <c r="J48" s="1803"/>
      <c r="K48" s="1803"/>
      <c r="L48" s="1803"/>
    </row>
    <row r="49" spans="1:12">
      <c r="B49" s="1719"/>
      <c r="D49" s="1720"/>
      <c r="E49" s="1720"/>
      <c r="F49" s="1724"/>
      <c r="H49" s="1803"/>
      <c r="I49" s="1803"/>
      <c r="J49" s="1803"/>
      <c r="K49" s="1803"/>
      <c r="L49" s="1803"/>
    </row>
    <row r="50" spans="1:12">
      <c r="A50" s="1707">
        <v>8</v>
      </c>
      <c r="B50" s="1721" t="s">
        <v>692</v>
      </c>
      <c r="D50" s="1722">
        <f>SUM(D46:D48)</f>
        <v>6487.6408510199999</v>
      </c>
      <c r="E50" s="1722">
        <f>SUM(E46:E48)</f>
        <v>6032</v>
      </c>
      <c r="F50" s="1724"/>
      <c r="H50" s="1803"/>
      <c r="I50" s="1803"/>
      <c r="J50" s="1803"/>
      <c r="K50" s="1803"/>
      <c r="L50" s="1803"/>
    </row>
    <row r="51" spans="1:12">
      <c r="B51" s="1719"/>
      <c r="D51" s="1720"/>
      <c r="E51" s="1720"/>
      <c r="F51" s="1724"/>
      <c r="H51" s="1803"/>
      <c r="I51" s="1803"/>
      <c r="J51" s="1803"/>
      <c r="K51" s="1803"/>
      <c r="L51" s="1803"/>
    </row>
    <row r="52" spans="1:12">
      <c r="A52" s="1692">
        <v>9</v>
      </c>
      <c r="B52" s="1723" t="s">
        <v>693</v>
      </c>
      <c r="D52" s="1720"/>
      <c r="E52" s="1720"/>
      <c r="F52" s="1724"/>
      <c r="H52" s="1803"/>
      <c r="I52" s="1803"/>
      <c r="J52" s="1803"/>
      <c r="K52" s="1803"/>
      <c r="L52" s="1803"/>
    </row>
    <row r="53" spans="1:12">
      <c r="A53" s="1692" t="s">
        <v>1287</v>
      </c>
      <c r="B53" s="1712" t="s">
        <v>694</v>
      </c>
      <c r="D53" s="1713">
        <v>0</v>
      </c>
      <c r="E53" s="1713">
        <v>86</v>
      </c>
      <c r="F53" s="1724"/>
      <c r="H53" s="1803"/>
      <c r="I53" s="1803"/>
      <c r="J53" s="1803"/>
      <c r="K53" s="1803"/>
      <c r="L53" s="1803"/>
    </row>
    <row r="54" spans="1:12">
      <c r="A54" s="1692" t="s">
        <v>1288</v>
      </c>
      <c r="B54" s="1712" t="s">
        <v>695</v>
      </c>
      <c r="D54" s="1713">
        <v>0</v>
      </c>
      <c r="E54" s="1713">
        <v>0</v>
      </c>
      <c r="F54" s="1724"/>
      <c r="H54" s="1803"/>
      <c r="I54" s="1803"/>
      <c r="J54" s="1803"/>
      <c r="K54" s="1803"/>
      <c r="L54" s="1803"/>
    </row>
    <row r="55" spans="1:12">
      <c r="A55" s="1692" t="s">
        <v>1289</v>
      </c>
      <c r="B55" s="1712" t="s">
        <v>696</v>
      </c>
      <c r="D55" s="1713">
        <v>1525.0160924000002</v>
      </c>
      <c r="E55" s="1713">
        <v>1645</v>
      </c>
      <c r="F55" s="1724"/>
      <c r="H55" s="1803"/>
      <c r="I55" s="1803"/>
      <c r="J55" s="1803"/>
      <c r="K55" s="1803"/>
      <c r="L55" s="1803"/>
    </row>
    <row r="56" spans="1:12">
      <c r="A56" s="1692" t="s">
        <v>541</v>
      </c>
      <c r="B56" s="1725" t="s">
        <v>1165</v>
      </c>
      <c r="D56" s="1718"/>
      <c r="E56" s="1718"/>
      <c r="F56" s="1715"/>
      <c r="H56" s="1803"/>
      <c r="I56" s="1803"/>
      <c r="J56" s="1803"/>
      <c r="K56" s="1803"/>
      <c r="L56" s="1803"/>
    </row>
    <row r="57" spans="1:12">
      <c r="B57" s="1726"/>
      <c r="D57" s="1720"/>
      <c r="E57" s="1720"/>
      <c r="F57" s="1724"/>
      <c r="H57" s="1803"/>
      <c r="I57" s="1803"/>
      <c r="J57" s="1803"/>
      <c r="K57" s="1803"/>
      <c r="L57" s="1803"/>
    </row>
    <row r="58" spans="1:12">
      <c r="A58" s="1707">
        <v>10</v>
      </c>
      <c r="B58" s="1727" t="s">
        <v>697</v>
      </c>
      <c r="D58" s="1722">
        <f>SUM(D53:D56)</f>
        <v>1525.0160924000002</v>
      </c>
      <c r="E58" s="1722">
        <f>SUM(E53:E56)</f>
        <v>1731</v>
      </c>
      <c r="F58" s="1724"/>
      <c r="H58" s="1803"/>
      <c r="I58" s="1803"/>
      <c r="J58" s="1803"/>
      <c r="K58" s="1803"/>
      <c r="L58" s="1803"/>
    </row>
    <row r="59" spans="1:12">
      <c r="B59" s="1728"/>
      <c r="D59" s="1720"/>
      <c r="E59" s="1720"/>
      <c r="F59" s="1724"/>
      <c r="H59" s="1803"/>
      <c r="I59" s="1803"/>
      <c r="J59" s="1803"/>
      <c r="K59" s="1803"/>
      <c r="L59" s="1803"/>
    </row>
    <row r="60" spans="1:12">
      <c r="A60" s="1707">
        <v>11</v>
      </c>
      <c r="B60" s="1727" t="s">
        <v>698</v>
      </c>
      <c r="D60" s="1722">
        <f>D58+D36+D43+D50</f>
        <v>8085.8234869400003</v>
      </c>
      <c r="E60" s="1722">
        <f>E58+E36+E43+E50</f>
        <v>8699</v>
      </c>
      <c r="F60" s="1724"/>
      <c r="H60" s="1803"/>
      <c r="I60" s="1803"/>
      <c r="J60" s="1803"/>
      <c r="K60" s="1803"/>
      <c r="L60" s="1803"/>
    </row>
    <row r="61" spans="1:12">
      <c r="A61" s="1707"/>
      <c r="B61" s="1728"/>
      <c r="D61" s="1720"/>
      <c r="E61" s="1720"/>
      <c r="F61" s="1724"/>
      <c r="H61" s="1803"/>
      <c r="I61" s="1803"/>
      <c r="J61" s="1803"/>
      <c r="K61" s="1803"/>
      <c r="L61" s="1803"/>
    </row>
    <row r="62" spans="1:12">
      <c r="A62" s="1707">
        <v>12</v>
      </c>
      <c r="B62" s="1727" t="s">
        <v>699</v>
      </c>
      <c r="D62" s="1722">
        <f>D60+D28</f>
        <v>10016.091540699999</v>
      </c>
      <c r="E62" s="1722">
        <f>E60+E28</f>
        <v>9800</v>
      </c>
      <c r="F62" s="1724"/>
      <c r="H62" s="1803"/>
      <c r="I62" s="1803"/>
      <c r="J62" s="1803"/>
      <c r="K62" s="1803"/>
      <c r="L62" s="1803"/>
    </row>
    <row r="63" spans="1:12">
      <c r="A63" s="1707"/>
      <c r="B63" s="1719"/>
      <c r="D63" s="1720"/>
      <c r="E63" s="1720"/>
      <c r="F63" s="1724"/>
      <c r="H63" s="1803"/>
      <c r="I63" s="1803"/>
      <c r="J63" s="1803"/>
      <c r="K63" s="1803"/>
      <c r="L63" s="1803"/>
    </row>
    <row r="64" spans="1:12">
      <c r="A64" s="1707">
        <v>13</v>
      </c>
      <c r="B64" s="1723" t="s">
        <v>700</v>
      </c>
      <c r="D64" s="1720"/>
      <c r="E64" s="1720"/>
      <c r="F64" s="1724"/>
      <c r="H64" s="1803"/>
      <c r="I64" s="1803"/>
      <c r="J64" s="1803"/>
      <c r="K64" s="1803"/>
      <c r="L64" s="1803"/>
    </row>
    <row r="65" spans="1:12">
      <c r="A65" s="1692" t="s">
        <v>1294</v>
      </c>
      <c r="B65" s="1723" t="s">
        <v>733</v>
      </c>
      <c r="D65" s="1713">
        <v>87</v>
      </c>
      <c r="E65" s="1713">
        <v>2</v>
      </c>
      <c r="F65" s="1724"/>
      <c r="H65" s="1803"/>
      <c r="I65" s="1803"/>
      <c r="J65" s="1803"/>
      <c r="K65" s="1803"/>
      <c r="L65" s="1803"/>
    </row>
    <row r="66" spans="1:12">
      <c r="A66" s="1692" t="s">
        <v>1295</v>
      </c>
      <c r="B66" s="1723" t="s">
        <v>1981</v>
      </c>
      <c r="D66" s="1713">
        <v>188.18068400000001</v>
      </c>
      <c r="E66" s="1713">
        <v>154</v>
      </c>
      <c r="F66" s="1724"/>
      <c r="H66" s="1803"/>
      <c r="I66" s="1803"/>
      <c r="J66" s="1803"/>
      <c r="K66" s="1803"/>
      <c r="L66" s="1803"/>
    </row>
    <row r="67" spans="1:12">
      <c r="A67" s="1692" t="s">
        <v>1296</v>
      </c>
      <c r="B67" s="1723" t="s">
        <v>1996</v>
      </c>
      <c r="D67" s="1713">
        <v>94.484342999999996</v>
      </c>
      <c r="E67" s="1713">
        <v>88</v>
      </c>
      <c r="F67" s="1724"/>
      <c r="H67" s="1803"/>
      <c r="I67" s="1803"/>
      <c r="J67" s="1803"/>
      <c r="K67" s="1803"/>
      <c r="L67" s="1803"/>
    </row>
    <row r="68" spans="1:12">
      <c r="A68" s="1692" t="s">
        <v>1297</v>
      </c>
      <c r="B68" s="1723" t="s">
        <v>2034</v>
      </c>
      <c r="D68" s="1713">
        <v>17.419815700000001</v>
      </c>
      <c r="E68" s="1713">
        <v>17</v>
      </c>
      <c r="F68" s="1724"/>
      <c r="H68" s="1803"/>
      <c r="I68" s="1803"/>
      <c r="J68" s="1803"/>
      <c r="K68" s="1803"/>
      <c r="L68" s="1803"/>
    </row>
    <row r="69" spans="1:12">
      <c r="A69" s="1692" t="s">
        <v>541</v>
      </c>
      <c r="B69" s="1725" t="s">
        <v>1165</v>
      </c>
      <c r="D69" s="1718"/>
      <c r="E69" s="1718"/>
      <c r="F69" s="1715"/>
      <c r="H69" s="1803"/>
      <c r="I69" s="1803"/>
      <c r="J69" s="1803"/>
      <c r="K69" s="1803"/>
      <c r="L69" s="1803"/>
    </row>
    <row r="70" spans="1:12">
      <c r="A70" s="1707">
        <v>14</v>
      </c>
      <c r="B70" s="1723" t="s">
        <v>1606</v>
      </c>
      <c r="D70" s="1730">
        <f>SUM(D65:D69)</f>
        <v>387.08484270000002</v>
      </c>
      <c r="E70" s="1730">
        <f>SUM(E65:E69)</f>
        <v>261</v>
      </c>
      <c r="F70" s="1724"/>
      <c r="H70" s="1803"/>
      <c r="I70" s="1803"/>
      <c r="J70" s="1803"/>
      <c r="K70" s="1803"/>
      <c r="L70" s="1803"/>
    </row>
    <row r="71" spans="1:12">
      <c r="B71" s="1719"/>
      <c r="D71" s="1720"/>
      <c r="E71" s="1720"/>
      <c r="F71" s="1724"/>
      <c r="H71" s="1803"/>
      <c r="I71" s="1803"/>
      <c r="J71" s="1803"/>
      <c r="K71" s="1803"/>
      <c r="L71" s="1803"/>
    </row>
    <row r="72" spans="1:12" s="1732" customFormat="1" ht="16.2" thickBot="1">
      <c r="A72" s="1707">
        <v>15</v>
      </c>
      <c r="B72" s="1731" t="s">
        <v>701</v>
      </c>
      <c r="D72" s="1733">
        <f>D70+D62</f>
        <v>10403.176383399999</v>
      </c>
      <c r="E72" s="1733">
        <f>E70+E62</f>
        <v>10061</v>
      </c>
      <c r="F72" s="1734"/>
      <c r="H72" s="1803"/>
      <c r="I72" s="1803"/>
      <c r="J72" s="1803"/>
      <c r="K72" s="1803"/>
      <c r="L72" s="1803"/>
    </row>
    <row r="73" spans="1:12" s="1732" customFormat="1" ht="16.2" thickTop="1">
      <c r="A73" s="1707"/>
      <c r="B73" s="1731"/>
      <c r="D73" s="1735"/>
      <c r="E73" s="1735"/>
      <c r="F73" s="1734"/>
      <c r="H73" s="1803"/>
      <c r="I73" s="1803"/>
      <c r="J73" s="1803"/>
      <c r="K73" s="1803"/>
      <c r="L73" s="1803"/>
    </row>
    <row r="74" spans="1:12">
      <c r="A74" s="1736" t="s">
        <v>364</v>
      </c>
      <c r="B74" s="1737" t="s">
        <v>100</v>
      </c>
      <c r="D74" s="1715"/>
      <c r="E74" s="1715"/>
      <c r="F74" s="1697"/>
      <c r="H74" s="1803"/>
      <c r="I74" s="1803"/>
      <c r="J74" s="1803"/>
      <c r="K74" s="1803"/>
      <c r="L74" s="1803"/>
    </row>
    <row r="75" spans="1:12">
      <c r="A75" s="1738"/>
      <c r="B75" s="1737"/>
      <c r="D75" s="1739"/>
      <c r="E75" s="1739"/>
      <c r="F75" s="1697"/>
      <c r="H75" s="1803"/>
      <c r="I75" s="1803"/>
      <c r="J75" s="1803"/>
      <c r="K75" s="1803"/>
      <c r="L75" s="1803"/>
    </row>
    <row r="76" spans="1:12">
      <c r="D76" s="1698"/>
      <c r="E76" s="1698"/>
      <c r="F76" s="1697"/>
      <c r="H76" s="1803"/>
      <c r="I76" s="1803"/>
      <c r="J76" s="1803"/>
      <c r="K76" s="1803"/>
      <c r="L76" s="1803"/>
    </row>
    <row r="77" spans="1:12">
      <c r="A77" s="1699"/>
      <c r="B77" s="1700" t="s">
        <v>60</v>
      </c>
      <c r="C77" s="1740"/>
      <c r="D77" s="1741" t="str">
        <f>D14</f>
        <v>DECEMBER 2021</v>
      </c>
      <c r="E77" s="1741" t="str">
        <f>E14</f>
        <v>DECEMBER 2020</v>
      </c>
      <c r="F77" s="1742"/>
      <c r="H77" s="1803"/>
      <c r="I77" s="1803"/>
      <c r="J77" s="1803"/>
      <c r="K77" s="1803"/>
      <c r="L77" s="1803"/>
    </row>
    <row r="78" spans="1:12">
      <c r="B78" s="1693"/>
      <c r="C78" s="1694"/>
      <c r="D78" s="1693"/>
      <c r="E78" s="1693"/>
      <c r="F78" s="1693"/>
      <c r="H78" s="1803"/>
      <c r="I78" s="1803"/>
      <c r="J78" s="1803"/>
      <c r="K78" s="1803"/>
      <c r="L78" s="1803"/>
    </row>
    <row r="79" spans="1:12">
      <c r="A79" s="1707">
        <v>16</v>
      </c>
      <c r="B79" s="1708" t="s">
        <v>641</v>
      </c>
      <c r="D79" s="1709"/>
      <c r="E79" s="1709"/>
      <c r="F79" s="1709"/>
      <c r="H79" s="1803"/>
      <c r="I79" s="1803"/>
      <c r="J79" s="1803"/>
      <c r="K79" s="1803"/>
      <c r="L79" s="1803"/>
    </row>
    <row r="80" spans="1:12">
      <c r="A80" s="1692" t="s">
        <v>1607</v>
      </c>
      <c r="B80" s="1710" t="s">
        <v>642</v>
      </c>
      <c r="D80" s="1715"/>
      <c r="E80" s="1715"/>
      <c r="F80" s="1697"/>
      <c r="H80" s="1803"/>
      <c r="I80" s="1803"/>
      <c r="J80" s="1803"/>
      <c r="K80" s="1803"/>
      <c r="L80" s="1803"/>
    </row>
    <row r="81" spans="1:12">
      <c r="A81" s="1692" t="s">
        <v>1608</v>
      </c>
      <c r="B81" s="1712" t="s">
        <v>643</v>
      </c>
      <c r="D81" s="1713">
        <v>688.29496810000001</v>
      </c>
      <c r="E81" s="1713">
        <v>484</v>
      </c>
      <c r="F81" s="1697"/>
      <c r="H81" s="1803"/>
      <c r="I81" s="1803"/>
      <c r="J81" s="1803"/>
      <c r="K81" s="1803"/>
      <c r="L81" s="1803"/>
    </row>
    <row r="82" spans="1:12">
      <c r="A82" s="1692" t="s">
        <v>1609</v>
      </c>
      <c r="B82" s="1712" t="s">
        <v>644</v>
      </c>
      <c r="D82" s="1713">
        <v>604.553</v>
      </c>
      <c r="E82" s="1713">
        <v>502</v>
      </c>
      <c r="F82" s="1697"/>
      <c r="H82" s="1803"/>
      <c r="I82" s="1803"/>
      <c r="J82" s="1803"/>
      <c r="K82" s="1803"/>
      <c r="L82" s="1803"/>
    </row>
    <row r="83" spans="1:12">
      <c r="A83" s="1692" t="s">
        <v>1610</v>
      </c>
      <c r="B83" s="1712" t="s">
        <v>645</v>
      </c>
      <c r="D83" s="1713">
        <v>1.4850000000000001</v>
      </c>
      <c r="E83" s="1713">
        <v>1</v>
      </c>
      <c r="F83" s="1714"/>
      <c r="H83" s="1803"/>
      <c r="I83" s="1803"/>
      <c r="J83" s="1803"/>
      <c r="K83" s="1803"/>
      <c r="L83" s="1803"/>
    </row>
    <row r="84" spans="1:12">
      <c r="A84" s="1692" t="s">
        <v>1611</v>
      </c>
      <c r="B84" s="1712" t="s">
        <v>646</v>
      </c>
      <c r="D84" s="1713">
        <v>57.99</v>
      </c>
      <c r="E84" s="1713">
        <v>50</v>
      </c>
      <c r="F84" s="1715"/>
      <c r="H84" s="1803"/>
      <c r="I84" s="1803"/>
      <c r="J84" s="1803"/>
      <c r="K84" s="1803"/>
      <c r="L84" s="1803"/>
    </row>
    <row r="85" spans="1:12">
      <c r="A85" s="1692" t="s">
        <v>1612</v>
      </c>
      <c r="B85" s="1712" t="s">
        <v>647</v>
      </c>
      <c r="D85" s="1713"/>
      <c r="E85" s="1713"/>
      <c r="F85" s="1715"/>
      <c r="H85" s="1803"/>
      <c r="I85" s="1803"/>
      <c r="J85" s="1803"/>
      <c r="K85" s="1803"/>
      <c r="L85" s="1803"/>
    </row>
    <row r="86" spans="1:12">
      <c r="A86" s="1692" t="s">
        <v>541</v>
      </c>
      <c r="B86" s="1725" t="s">
        <v>1165</v>
      </c>
      <c r="D86" s="1718"/>
      <c r="E86" s="1718"/>
      <c r="F86" s="1715"/>
      <c r="H86" s="1803"/>
      <c r="I86" s="1803"/>
      <c r="J86" s="1803"/>
      <c r="K86" s="1803"/>
      <c r="L86" s="1803"/>
    </row>
    <row r="87" spans="1:12">
      <c r="B87" s="1719"/>
      <c r="D87" s="1720"/>
      <c r="E87" s="1720"/>
      <c r="F87" s="1697"/>
      <c r="H87" s="1803"/>
      <c r="I87" s="1803"/>
      <c r="J87" s="1803"/>
      <c r="K87" s="1803"/>
      <c r="L87" s="1803"/>
    </row>
    <row r="88" spans="1:12">
      <c r="A88" s="1707">
        <v>17</v>
      </c>
      <c r="B88" s="1721" t="s">
        <v>648</v>
      </c>
      <c r="D88" s="1722">
        <f>SUM(D81:D86)</f>
        <v>1352.3229680999998</v>
      </c>
      <c r="E88" s="1722">
        <f>SUM(E81:E86)</f>
        <v>1037</v>
      </c>
      <c r="F88" s="1714"/>
      <c r="H88" s="1803"/>
      <c r="I88" s="1803"/>
      <c r="J88" s="1803"/>
      <c r="K88" s="1803"/>
      <c r="L88" s="1803"/>
    </row>
    <row r="89" spans="1:12">
      <c r="B89" s="1719"/>
      <c r="D89" s="1720"/>
      <c r="E89" s="1720"/>
      <c r="F89" s="1697"/>
      <c r="H89" s="1803"/>
      <c r="I89" s="1803"/>
      <c r="J89" s="1803"/>
      <c r="K89" s="1803"/>
      <c r="L89" s="1803"/>
    </row>
    <row r="90" spans="1:12">
      <c r="A90" s="1692">
        <v>18</v>
      </c>
      <c r="B90" s="1723" t="s">
        <v>649</v>
      </c>
      <c r="D90" s="1720"/>
      <c r="E90" s="1720"/>
      <c r="F90" s="1714"/>
      <c r="H90" s="1803"/>
      <c r="I90" s="1803"/>
      <c r="J90" s="1803"/>
      <c r="K90" s="1803"/>
      <c r="L90" s="1803"/>
    </row>
    <row r="91" spans="1:12">
      <c r="A91" s="1692" t="s">
        <v>1613</v>
      </c>
      <c r="B91" s="1712" t="s">
        <v>650</v>
      </c>
      <c r="D91" s="1720"/>
      <c r="E91" s="1720"/>
      <c r="F91" s="1714"/>
      <c r="H91" s="1803"/>
      <c r="I91" s="1803"/>
      <c r="J91" s="1803"/>
      <c r="K91" s="1803"/>
      <c r="L91" s="1803"/>
    </row>
    <row r="92" spans="1:12">
      <c r="A92" s="1692" t="s">
        <v>1614</v>
      </c>
      <c r="B92" s="1743" t="s">
        <v>651</v>
      </c>
      <c r="D92" s="1720"/>
      <c r="E92" s="1720"/>
      <c r="F92" s="1697"/>
      <c r="H92" s="1803"/>
      <c r="I92" s="1803"/>
      <c r="J92" s="1803"/>
      <c r="K92" s="1803"/>
      <c r="L92" s="1803"/>
    </row>
    <row r="93" spans="1:12">
      <c r="A93" s="1692" t="s">
        <v>1615</v>
      </c>
      <c r="B93" s="1727" t="s">
        <v>652</v>
      </c>
      <c r="D93" s="1713">
        <v>1626.2615499999999</v>
      </c>
      <c r="E93" s="1713">
        <v>1629</v>
      </c>
      <c r="F93" s="1697"/>
      <c r="H93" s="1803"/>
      <c r="I93" s="1803"/>
      <c r="J93" s="1803"/>
      <c r="K93" s="1803"/>
      <c r="L93" s="1803"/>
    </row>
    <row r="94" spans="1:12">
      <c r="A94" s="1692" t="s">
        <v>1616</v>
      </c>
      <c r="B94" s="1727" t="s">
        <v>653</v>
      </c>
      <c r="D94" s="1713">
        <v>0</v>
      </c>
      <c r="E94" s="1713">
        <v>0</v>
      </c>
      <c r="F94" s="1697"/>
      <c r="H94" s="1803"/>
      <c r="I94" s="1803"/>
      <c r="J94" s="1803"/>
      <c r="K94" s="1803"/>
      <c r="L94" s="1803"/>
    </row>
    <row r="95" spans="1:12">
      <c r="A95" s="1692" t="s">
        <v>1617</v>
      </c>
      <c r="B95" s="1743" t="s">
        <v>654</v>
      </c>
      <c r="D95" s="1713">
        <v>0</v>
      </c>
      <c r="E95" s="1713">
        <v>0</v>
      </c>
      <c r="F95" s="1697"/>
      <c r="H95" s="1803"/>
      <c r="I95" s="1803"/>
      <c r="J95" s="1803"/>
      <c r="K95" s="1803"/>
      <c r="L95" s="1803"/>
    </row>
    <row r="96" spans="1:12">
      <c r="A96" s="1692" t="s">
        <v>1618</v>
      </c>
      <c r="B96" s="1727" t="s">
        <v>703</v>
      </c>
      <c r="D96" s="1713">
        <v>38</v>
      </c>
      <c r="E96" s="1713">
        <v>40</v>
      </c>
      <c r="F96" s="1714"/>
      <c r="H96" s="1803"/>
      <c r="I96" s="1803"/>
      <c r="J96" s="1803"/>
      <c r="K96" s="1803"/>
      <c r="L96" s="1803"/>
    </row>
    <row r="97" spans="1:12">
      <c r="A97" s="1692" t="s">
        <v>1619</v>
      </c>
      <c r="B97" s="1727" t="s">
        <v>655</v>
      </c>
      <c r="D97" s="1713">
        <v>0</v>
      </c>
      <c r="E97" s="1713">
        <v>5</v>
      </c>
      <c r="F97" s="1724"/>
      <c r="H97" s="1803"/>
      <c r="I97" s="1803"/>
      <c r="J97" s="1803"/>
      <c r="K97" s="1803"/>
      <c r="L97" s="1803"/>
    </row>
    <row r="98" spans="1:12">
      <c r="A98" s="1692" t="s">
        <v>541</v>
      </c>
      <c r="B98" s="1725" t="s">
        <v>1165</v>
      </c>
      <c r="D98" s="1718"/>
      <c r="E98" s="1718"/>
      <c r="F98" s="1715"/>
      <c r="H98" s="1803"/>
      <c r="I98" s="1803"/>
      <c r="J98" s="1803"/>
      <c r="K98" s="1803"/>
      <c r="L98" s="1803"/>
    </row>
    <row r="99" spans="1:12">
      <c r="B99" s="1719"/>
      <c r="D99" s="1720"/>
      <c r="E99" s="1720"/>
      <c r="F99" s="1724"/>
      <c r="H99" s="1803"/>
      <c r="I99" s="1803"/>
      <c r="J99" s="1803"/>
      <c r="K99" s="1803"/>
      <c r="L99" s="1803"/>
    </row>
    <row r="100" spans="1:12">
      <c r="A100" s="1707">
        <v>19</v>
      </c>
      <c r="B100" s="1721" t="s">
        <v>656</v>
      </c>
      <c r="D100" s="1722">
        <f>SUM(D93:D98)</f>
        <v>1664.2615499999999</v>
      </c>
      <c r="E100" s="1722">
        <f>SUM(E93:E98)</f>
        <v>1674</v>
      </c>
      <c r="F100" s="1724"/>
      <c r="H100" s="1803"/>
      <c r="I100" s="1803"/>
      <c r="J100" s="1803"/>
      <c r="K100" s="1803"/>
      <c r="L100" s="1803"/>
    </row>
    <row r="101" spans="1:12">
      <c r="B101" s="1719"/>
      <c r="D101" s="1720"/>
      <c r="E101" s="1720"/>
      <c r="F101" s="1724"/>
      <c r="H101" s="1803"/>
      <c r="I101" s="1803"/>
      <c r="J101" s="1803"/>
      <c r="K101" s="1803"/>
      <c r="L101" s="1803"/>
    </row>
    <row r="102" spans="1:12">
      <c r="A102" s="1692">
        <v>20</v>
      </c>
      <c r="B102" s="1723" t="s">
        <v>657</v>
      </c>
      <c r="D102" s="1720"/>
      <c r="E102" s="1720"/>
      <c r="F102" s="1724"/>
      <c r="H102" s="1803"/>
      <c r="I102" s="1803"/>
      <c r="J102" s="1803"/>
      <c r="K102" s="1803"/>
      <c r="L102" s="1803"/>
    </row>
    <row r="103" spans="1:12">
      <c r="A103" s="1692" t="s">
        <v>1620</v>
      </c>
      <c r="B103" s="1712" t="s">
        <v>658</v>
      </c>
      <c r="D103" s="1713">
        <v>925.89589480999996</v>
      </c>
      <c r="E103" s="1713">
        <v>984</v>
      </c>
      <c r="F103" s="1724"/>
      <c r="H103" s="1803"/>
      <c r="I103" s="1803"/>
      <c r="J103" s="1803"/>
      <c r="K103" s="1803"/>
      <c r="L103" s="1803"/>
    </row>
    <row r="104" spans="1:12">
      <c r="A104" s="1692" t="s">
        <v>1621</v>
      </c>
      <c r="B104" s="1712" t="s">
        <v>659</v>
      </c>
      <c r="D104" s="1713">
        <v>0</v>
      </c>
      <c r="E104" s="1713">
        <v>0</v>
      </c>
      <c r="F104" s="1724"/>
      <c r="H104" s="1803"/>
      <c r="I104" s="1803"/>
      <c r="J104" s="1803"/>
      <c r="K104" s="1803"/>
      <c r="L104" s="1803"/>
    </row>
    <row r="105" spans="1:12">
      <c r="A105" s="1692" t="s">
        <v>1622</v>
      </c>
      <c r="B105" s="1712" t="s">
        <v>660</v>
      </c>
      <c r="D105" s="1713">
        <v>229.48600023</v>
      </c>
      <c r="E105" s="1713">
        <v>229</v>
      </c>
      <c r="F105" s="1724"/>
      <c r="H105" s="1803"/>
      <c r="I105" s="1803"/>
      <c r="J105" s="1803"/>
      <c r="K105" s="1803"/>
      <c r="L105" s="1803"/>
    </row>
    <row r="106" spans="1:12">
      <c r="A106" s="1692" t="s">
        <v>1623</v>
      </c>
      <c r="B106" s="1712" t="s">
        <v>661</v>
      </c>
      <c r="D106" s="1713">
        <v>250.20024253</v>
      </c>
      <c r="E106" s="1713">
        <v>251</v>
      </c>
      <c r="F106" s="1724"/>
      <c r="H106" s="1803"/>
      <c r="I106" s="1803"/>
      <c r="J106" s="1803"/>
      <c r="K106" s="1803"/>
      <c r="L106" s="1803"/>
    </row>
    <row r="107" spans="1:12">
      <c r="A107" s="1692" t="s">
        <v>1624</v>
      </c>
      <c r="B107" s="1744" t="s">
        <v>2038</v>
      </c>
      <c r="D107" s="1713">
        <v>0</v>
      </c>
      <c r="E107" s="1713">
        <v>198</v>
      </c>
      <c r="F107" s="1724"/>
      <c r="H107" s="1803"/>
      <c r="I107" s="1803"/>
      <c r="J107" s="1803"/>
      <c r="K107" s="1803"/>
      <c r="L107" s="1803"/>
    </row>
    <row r="108" spans="1:12">
      <c r="A108" s="1692" t="s">
        <v>1625</v>
      </c>
      <c r="B108" s="1712" t="s">
        <v>662</v>
      </c>
      <c r="D108" s="1713">
        <v>221.95689915</v>
      </c>
      <c r="E108" s="1713">
        <v>354</v>
      </c>
      <c r="F108" s="1724"/>
      <c r="H108" s="1803"/>
      <c r="I108" s="1803"/>
      <c r="J108" s="1803"/>
      <c r="K108" s="1803"/>
      <c r="L108" s="1803"/>
    </row>
    <row r="109" spans="1:12">
      <c r="A109" s="1692" t="s">
        <v>541</v>
      </c>
      <c r="B109" s="1725" t="s">
        <v>1165</v>
      </c>
      <c r="D109" s="1718"/>
      <c r="E109" s="1718"/>
      <c r="F109" s="1715"/>
      <c r="H109" s="1803"/>
      <c r="I109" s="1803"/>
      <c r="J109" s="1803"/>
      <c r="K109" s="1803"/>
      <c r="L109" s="1803"/>
    </row>
    <row r="110" spans="1:12">
      <c r="B110" s="1719"/>
      <c r="D110" s="1720"/>
      <c r="E110" s="1720"/>
      <c r="F110" s="1724"/>
      <c r="H110" s="1803"/>
      <c r="I110" s="1803"/>
      <c r="J110" s="1803"/>
      <c r="K110" s="1803"/>
      <c r="L110" s="1803"/>
    </row>
    <row r="111" spans="1:12">
      <c r="A111" s="1707">
        <v>21</v>
      </c>
      <c r="B111" s="1727" t="s">
        <v>663</v>
      </c>
      <c r="D111" s="1722">
        <f>SUM(D103:D109)</f>
        <v>1627.53903672</v>
      </c>
      <c r="E111" s="1722">
        <f>SUM(E103:E109)</f>
        <v>2016</v>
      </c>
      <c r="F111" s="1724"/>
      <c r="H111" s="1803"/>
      <c r="I111" s="1803"/>
      <c r="J111" s="1803"/>
      <c r="K111" s="1803"/>
      <c r="L111" s="1803"/>
    </row>
    <row r="112" spans="1:12">
      <c r="B112" s="1728"/>
      <c r="D112" s="1720"/>
      <c r="E112" s="1720"/>
      <c r="F112" s="1724"/>
      <c r="H112" s="1803"/>
      <c r="I112" s="1803"/>
      <c r="J112" s="1803"/>
      <c r="K112" s="1803"/>
      <c r="L112" s="1803"/>
    </row>
    <row r="113" spans="1:12">
      <c r="A113" s="1707">
        <v>22</v>
      </c>
      <c r="B113" s="1727" t="s">
        <v>664</v>
      </c>
      <c r="D113" s="1722">
        <f>D111+D100</f>
        <v>3291.80058672</v>
      </c>
      <c r="E113" s="1722">
        <f>E111+E100</f>
        <v>3690</v>
      </c>
      <c r="F113" s="1724"/>
      <c r="H113" s="1803"/>
      <c r="I113" s="1803"/>
      <c r="J113" s="1803"/>
      <c r="K113" s="1803"/>
      <c r="L113" s="1803"/>
    </row>
    <row r="114" spans="1:12">
      <c r="B114" s="1728"/>
      <c r="D114" s="1720"/>
      <c r="E114" s="1720"/>
      <c r="F114" s="1724"/>
      <c r="H114" s="1803"/>
      <c r="I114" s="1803"/>
      <c r="J114" s="1803"/>
      <c r="K114" s="1803"/>
      <c r="L114" s="1803"/>
    </row>
    <row r="115" spans="1:12">
      <c r="A115" s="1707">
        <v>23</v>
      </c>
      <c r="B115" s="1727" t="s">
        <v>665</v>
      </c>
      <c r="D115" s="1722">
        <f>D113+D88</f>
        <v>4644.1235548200002</v>
      </c>
      <c r="E115" s="1722">
        <f>E113+E88</f>
        <v>4727</v>
      </c>
      <c r="F115" s="1724"/>
      <c r="H115" s="1803"/>
      <c r="I115" s="1803"/>
      <c r="J115" s="1803"/>
      <c r="K115" s="1803"/>
      <c r="L115" s="1803"/>
    </row>
    <row r="116" spans="1:12">
      <c r="B116" s="1719"/>
      <c r="D116" s="1720"/>
      <c r="E116" s="1720"/>
      <c r="F116" s="1724"/>
      <c r="H116" s="1803"/>
      <c r="I116" s="1803"/>
      <c r="J116" s="1803"/>
      <c r="K116" s="1803"/>
      <c r="L116" s="1803"/>
    </row>
    <row r="117" spans="1:12">
      <c r="A117" s="1707">
        <v>24</v>
      </c>
      <c r="B117" s="1723" t="s">
        <v>666</v>
      </c>
      <c r="D117" s="1720"/>
      <c r="E117" s="1720"/>
      <c r="F117" s="1724"/>
      <c r="H117" s="1803"/>
      <c r="I117" s="1803"/>
      <c r="J117" s="1803"/>
      <c r="K117" s="1803"/>
      <c r="L117" s="1803"/>
    </row>
    <row r="118" spans="1:12">
      <c r="A118" s="1692" t="s">
        <v>1328</v>
      </c>
      <c r="B118" s="1723" t="s">
        <v>667</v>
      </c>
      <c r="D118" s="1713">
        <v>401.60038644000002</v>
      </c>
      <c r="E118" s="1713">
        <v>383</v>
      </c>
      <c r="F118" s="1724"/>
      <c r="H118" s="1803"/>
      <c r="I118" s="1803"/>
      <c r="J118" s="1803"/>
      <c r="K118" s="1803"/>
      <c r="L118" s="1803"/>
    </row>
    <row r="119" spans="1:12">
      <c r="A119" s="1692" t="s">
        <v>1329</v>
      </c>
      <c r="B119" s="1723" t="s">
        <v>1982</v>
      </c>
      <c r="D119" s="1713">
        <v>0.16378499999999999</v>
      </c>
      <c r="E119" s="1713">
        <v>13</v>
      </c>
      <c r="F119" s="1724"/>
      <c r="H119" s="1803"/>
      <c r="I119" s="1803"/>
      <c r="J119" s="1803"/>
      <c r="K119" s="1803"/>
      <c r="L119" s="1803"/>
    </row>
    <row r="120" spans="1:12">
      <c r="A120" s="1692" t="s">
        <v>1330</v>
      </c>
      <c r="B120" s="1723" t="s">
        <v>1980</v>
      </c>
      <c r="D120" s="1713">
        <v>224.70294799999999</v>
      </c>
      <c r="E120" s="1713">
        <v>7</v>
      </c>
      <c r="F120" s="1724"/>
      <c r="H120" s="1803"/>
      <c r="I120" s="1803"/>
      <c r="J120" s="1803"/>
      <c r="K120" s="1803"/>
      <c r="L120" s="1803"/>
    </row>
    <row r="121" spans="1:12">
      <c r="A121" s="1692" t="s">
        <v>1331</v>
      </c>
      <c r="B121" s="1723" t="s">
        <v>1996</v>
      </c>
      <c r="D121" s="1713">
        <v>315.69485500000002</v>
      </c>
      <c r="E121" s="1713">
        <v>188</v>
      </c>
      <c r="F121" s="1724"/>
      <c r="H121" s="1803"/>
      <c r="I121" s="1803"/>
      <c r="J121" s="1803"/>
      <c r="K121" s="1803"/>
      <c r="L121" s="1803"/>
    </row>
    <row r="122" spans="1:12">
      <c r="A122" s="1692" t="s">
        <v>541</v>
      </c>
      <c r="B122" s="1725" t="s">
        <v>1165</v>
      </c>
      <c r="D122" s="1718"/>
      <c r="E122" s="1718"/>
      <c r="F122" s="1715"/>
      <c r="H122" s="1803"/>
      <c r="I122" s="1803"/>
      <c r="J122" s="1803"/>
      <c r="K122" s="1803"/>
      <c r="L122" s="1803"/>
    </row>
    <row r="123" spans="1:12">
      <c r="B123" s="1719"/>
      <c r="D123" s="1720">
        <f>SUM(D118:D122)</f>
        <v>942.16197443999999</v>
      </c>
      <c r="E123" s="1720">
        <f>SUM(E118:E122)</f>
        <v>591</v>
      </c>
      <c r="F123" s="1724"/>
      <c r="H123" s="1803"/>
      <c r="I123" s="1803"/>
      <c r="J123" s="1803"/>
      <c r="K123" s="1803"/>
      <c r="L123" s="1803"/>
    </row>
    <row r="124" spans="1:12">
      <c r="A124" s="1707">
        <v>25</v>
      </c>
      <c r="B124" s="1723" t="s">
        <v>668</v>
      </c>
      <c r="D124" s="1720"/>
      <c r="E124" s="1720"/>
      <c r="F124" s="1724"/>
      <c r="H124" s="1803"/>
      <c r="I124" s="1803"/>
      <c r="J124" s="1803"/>
      <c r="K124" s="1803"/>
      <c r="L124" s="1803"/>
    </row>
    <row r="125" spans="1:12">
      <c r="A125" s="1692" t="s">
        <v>567</v>
      </c>
      <c r="B125" s="1712" t="s">
        <v>669</v>
      </c>
      <c r="D125" s="1713">
        <v>3181</v>
      </c>
      <c r="E125" s="1713">
        <v>3238</v>
      </c>
      <c r="F125" s="1724"/>
      <c r="H125" s="1803"/>
      <c r="I125" s="1803"/>
      <c r="J125" s="1803"/>
      <c r="K125" s="1803"/>
      <c r="L125" s="1803"/>
    </row>
    <row r="126" spans="1:12">
      <c r="A126" s="1692" t="s">
        <v>568</v>
      </c>
      <c r="B126" s="1712" t="s">
        <v>670</v>
      </c>
      <c r="D126" s="1713">
        <v>63</v>
      </c>
      <c r="E126" s="1713">
        <v>869</v>
      </c>
      <c r="F126" s="1724"/>
      <c r="H126" s="1803"/>
      <c r="I126" s="1803"/>
      <c r="J126" s="1803"/>
      <c r="K126" s="1803"/>
      <c r="L126" s="1803"/>
    </row>
    <row r="127" spans="1:12">
      <c r="A127" s="1692" t="s">
        <v>569</v>
      </c>
      <c r="B127" s="1712" t="s">
        <v>671</v>
      </c>
      <c r="D127" s="1713">
        <v>1571</v>
      </c>
      <c r="E127" s="1713">
        <v>636</v>
      </c>
      <c r="F127" s="1724"/>
      <c r="H127" s="1803"/>
      <c r="I127" s="1803"/>
      <c r="J127" s="1803"/>
      <c r="K127" s="1803"/>
      <c r="L127" s="1803"/>
    </row>
    <row r="128" spans="1:12">
      <c r="A128" s="1692" t="s">
        <v>1997</v>
      </c>
      <c r="B128" s="1723" t="s">
        <v>1996</v>
      </c>
      <c r="D128" s="1713"/>
      <c r="E128" s="1713"/>
      <c r="F128" s="1724"/>
      <c r="H128" s="1803"/>
      <c r="I128" s="1803"/>
      <c r="J128" s="1803"/>
      <c r="K128" s="1803"/>
      <c r="L128" s="1803"/>
    </row>
    <row r="129" spans="1:12">
      <c r="A129" s="1692" t="s">
        <v>541</v>
      </c>
      <c r="B129" s="1725" t="s">
        <v>1165</v>
      </c>
      <c r="D129" s="1718"/>
      <c r="E129" s="1718"/>
      <c r="F129" s="1715"/>
      <c r="H129" s="1803"/>
      <c r="I129" s="1803"/>
      <c r="J129" s="1803"/>
      <c r="K129" s="1803"/>
      <c r="L129" s="1803"/>
    </row>
    <row r="130" spans="1:12">
      <c r="B130" s="1719"/>
      <c r="D130" s="1720"/>
      <c r="E130" s="1720"/>
      <c r="F130" s="1724"/>
      <c r="H130" s="1803"/>
      <c r="I130" s="1803"/>
      <c r="J130" s="1803"/>
      <c r="K130" s="1803"/>
      <c r="L130" s="1803"/>
    </row>
    <row r="131" spans="1:12">
      <c r="A131" s="1707">
        <v>26</v>
      </c>
      <c r="B131" s="1745" t="s">
        <v>672</v>
      </c>
      <c r="D131" s="1722">
        <f>SUM(D125:D129)</f>
        <v>4815</v>
      </c>
      <c r="E131" s="1722">
        <f>SUM(E125:E129)</f>
        <v>4743</v>
      </c>
      <c r="F131" s="1724"/>
      <c r="H131" s="1803"/>
      <c r="I131" s="1803"/>
      <c r="J131" s="1803"/>
      <c r="K131" s="1803"/>
      <c r="L131" s="1803"/>
    </row>
    <row r="132" spans="1:12" s="1732" customFormat="1" ht="16.2" thickBot="1">
      <c r="A132" s="1707">
        <v>27</v>
      </c>
      <c r="B132" s="1731" t="s">
        <v>673</v>
      </c>
      <c r="D132" s="1733">
        <f>D131+D123+D115</f>
        <v>10401.28552926</v>
      </c>
      <c r="E132" s="1733">
        <f>E131+E123+E115</f>
        <v>10061</v>
      </c>
      <c r="F132" s="1734"/>
      <c r="H132" s="1803"/>
      <c r="I132" s="1803"/>
      <c r="J132" s="1803"/>
      <c r="K132" s="1803"/>
      <c r="L132" s="1803"/>
    </row>
    <row r="133" spans="1:12" ht="16.2" thickTop="1">
      <c r="B133" s="1714"/>
      <c r="D133" s="1746"/>
      <c r="E133" s="1746"/>
      <c r="F133" s="1724"/>
    </row>
    <row r="135" spans="1:12">
      <c r="A135" s="1736" t="str">
        <f>A74</f>
        <v>1/  Source:</v>
      </c>
      <c r="B135" s="1737" t="str">
        <f>B74</f>
        <v>Annual Financial Statements</v>
      </c>
      <c r="D135" s="1729"/>
    </row>
    <row r="136" spans="1:12">
      <c r="A136" s="1738"/>
      <c r="B136" s="1737"/>
    </row>
  </sheetData>
  <customSheetViews>
    <customSheetView guid="{B321D76C-CDE5-48BB-9CDE-80FF97D58FCF}" showPageBreaks="1" printArea="1" view="pageBreakPreview">
      <selection activeCell="D33" sqref="D33"/>
      <rowBreaks count="1" manualBreakCount="1">
        <brk id="70" max="6" man="1"/>
      </rowBreaks>
      <pageMargins left="0.25" right="0.25" top="0" bottom="0" header="0.5" footer="0.5"/>
      <printOptions horizontalCentered="1"/>
      <pageSetup scale="75" fitToHeight="2" orientation="portrait" r:id="rId1"/>
      <headerFooter alignWithMargins="0"/>
    </customSheetView>
  </customSheetViews>
  <mergeCells count="6">
    <mergeCell ref="A4:G4"/>
    <mergeCell ref="A5:G5"/>
    <mergeCell ref="A6:G6"/>
    <mergeCell ref="A8:G8"/>
    <mergeCell ref="A10:G10"/>
    <mergeCell ref="A9:G9"/>
  </mergeCells>
  <printOptions horizontalCentered="1"/>
  <pageMargins left="0.25" right="0.25" top="0" bottom="0" header="0.5" footer="0.5"/>
  <pageSetup scale="75" fitToHeight="2" orientation="portrait" r:id="rId2"/>
  <headerFooter alignWithMargins="0"/>
  <rowBreaks count="1" manualBreakCount="1">
    <brk id="74"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5">
    <tabColor rgb="FF92D050"/>
    <pageSetUpPr fitToPage="1"/>
  </sheetPr>
  <dimension ref="A1:T52"/>
  <sheetViews>
    <sheetView showGridLines="0" defaultGridColor="0" view="pageBreakPreview" topLeftCell="B1" colorId="22" zoomScale="80" zoomScaleNormal="90" zoomScaleSheetLayoutView="80" workbookViewId="0">
      <selection activeCell="G75" sqref="G75"/>
    </sheetView>
  </sheetViews>
  <sheetFormatPr defaultColWidth="13.44140625" defaultRowHeight="15"/>
  <cols>
    <col min="1" max="1" width="6.77734375" style="12" customWidth="1"/>
    <col min="2" max="2" width="8.77734375" style="12" customWidth="1"/>
    <col min="3" max="3" width="8.44140625" style="23" customWidth="1"/>
    <col min="4" max="4" width="2.33203125" style="12" customWidth="1"/>
    <col min="5" max="5" width="15.33203125" style="12" customWidth="1"/>
    <col min="6" max="6" width="25.21875" style="12" customWidth="1"/>
    <col min="7" max="7" width="20" style="12" bestFit="1" customWidth="1"/>
    <col min="8" max="8" width="21.21875" style="1619" customWidth="1"/>
    <col min="9" max="9" width="14.44140625" style="1619" bestFit="1" customWidth="1"/>
    <col min="10" max="10" width="26.5546875" style="12" customWidth="1"/>
    <col min="11" max="11" width="29.109375" style="12" customWidth="1"/>
    <col min="12" max="12" width="27.44140625" style="12" customWidth="1"/>
    <col min="13" max="13" width="24.77734375" style="12" bestFit="1" customWidth="1"/>
    <col min="14" max="14" width="11" style="12" bestFit="1" customWidth="1"/>
    <col min="15" max="15" width="17.77734375" style="1828" customWidth="1"/>
    <col min="16" max="16" width="21.77734375" style="1811" customWidth="1"/>
    <col min="17" max="17" width="16" style="1811" customWidth="1"/>
    <col min="18" max="18" width="14.109375" style="1811" customWidth="1"/>
    <col min="19" max="19" width="14.109375" style="1811" bestFit="1" customWidth="1"/>
    <col min="20" max="20" width="13.44140625" style="1811"/>
    <col min="21" max="16384" width="13.44140625" style="12"/>
  </cols>
  <sheetData>
    <row r="1" spans="1:20" s="16" customFormat="1" ht="15.6">
      <c r="A1" s="13" t="s">
        <v>890</v>
      </c>
      <c r="B1" s="19"/>
      <c r="C1" s="83"/>
      <c r="D1" s="19"/>
      <c r="E1" s="19"/>
      <c r="F1" s="19"/>
      <c r="G1" s="19"/>
      <c r="H1" s="1684"/>
      <c r="I1" s="1684"/>
      <c r="J1" s="19"/>
      <c r="K1" s="19"/>
      <c r="L1" s="122"/>
      <c r="M1" s="817"/>
      <c r="O1" s="1806"/>
      <c r="P1" s="1807"/>
      <c r="Q1" s="1808"/>
      <c r="R1" s="1807"/>
      <c r="S1" s="1807"/>
      <c r="T1" s="1807"/>
    </row>
    <row r="2" spans="1:20" s="16" customFormat="1" ht="15.6">
      <c r="A2" s="13"/>
      <c r="B2" s="19"/>
      <c r="C2" s="83"/>
      <c r="D2" s="19"/>
      <c r="E2" s="19"/>
      <c r="F2" s="19"/>
      <c r="G2" s="19"/>
      <c r="H2" s="1684"/>
      <c r="I2" s="1684"/>
      <c r="J2" s="19"/>
      <c r="K2" s="19"/>
      <c r="L2" s="84"/>
      <c r="M2" s="817"/>
      <c r="O2" s="1809"/>
      <c r="P2" s="1807"/>
      <c r="Q2" s="1810"/>
      <c r="R2" s="1807"/>
      <c r="S2" s="1807"/>
      <c r="T2" s="1807"/>
    </row>
    <row r="3" spans="1:20" ht="17.399999999999999">
      <c r="A3" s="1984" t="s">
        <v>200</v>
      </c>
      <c r="B3" s="1984"/>
      <c r="C3" s="1984"/>
      <c r="D3" s="1984"/>
      <c r="E3" s="1984"/>
      <c r="F3" s="1984"/>
      <c r="G3" s="1984"/>
      <c r="H3" s="1984"/>
      <c r="I3" s="1984"/>
      <c r="J3" s="1984"/>
      <c r="K3" s="1984"/>
      <c r="L3" s="1984"/>
      <c r="M3" s="1984"/>
      <c r="O3" s="1809"/>
      <c r="Q3" s="1810"/>
    </row>
    <row r="4" spans="1:20" ht="17.399999999999999">
      <c r="A4" s="1984" t="s">
        <v>103</v>
      </c>
      <c r="B4" s="1984"/>
      <c r="C4" s="1984"/>
      <c r="D4" s="1984"/>
      <c r="E4" s="1984"/>
      <c r="F4" s="1984"/>
      <c r="G4" s="1984"/>
      <c r="H4" s="1984"/>
      <c r="I4" s="1984"/>
      <c r="J4" s="1984"/>
      <c r="K4" s="1984"/>
      <c r="L4" s="1984"/>
      <c r="M4" s="1984"/>
      <c r="O4" s="1809"/>
      <c r="Q4" s="1812"/>
    </row>
    <row r="5" spans="1:20" ht="17.399999999999999">
      <c r="A5" s="1985" t="str">
        <f>SUMMARY!$A$7</f>
        <v>YEAR ENDING DECEMBER 31, 2021</v>
      </c>
      <c r="B5" s="1985"/>
      <c r="C5" s="1985"/>
      <c r="D5" s="1985"/>
      <c r="E5" s="1985"/>
      <c r="F5" s="1985"/>
      <c r="G5" s="1985"/>
      <c r="H5" s="1985"/>
      <c r="I5" s="1985"/>
      <c r="J5" s="1985"/>
      <c r="K5" s="1985"/>
      <c r="L5" s="1985"/>
      <c r="M5" s="1985"/>
      <c r="O5" s="1809"/>
      <c r="Q5" s="1810"/>
      <c r="R5" s="1810"/>
    </row>
    <row r="6" spans="1:20" ht="17.399999999999999">
      <c r="A6" s="10"/>
      <c r="B6" s="10"/>
      <c r="C6" s="22"/>
      <c r="D6" s="10"/>
      <c r="E6" s="10"/>
      <c r="F6" s="10"/>
      <c r="G6" s="10"/>
      <c r="H6" s="1541"/>
      <c r="I6" s="1541"/>
      <c r="J6" s="10"/>
      <c r="K6" s="10"/>
      <c r="L6" s="10"/>
      <c r="M6" s="10"/>
      <c r="O6" s="1809"/>
      <c r="Q6" s="1813"/>
    </row>
    <row r="7" spans="1:20" ht="17.399999999999999">
      <c r="A7" s="1986" t="s">
        <v>889</v>
      </c>
      <c r="B7" s="1986"/>
      <c r="C7" s="1986"/>
      <c r="D7" s="1986"/>
      <c r="E7" s="1986"/>
      <c r="F7" s="1986"/>
      <c r="G7" s="1986"/>
      <c r="H7" s="1986"/>
      <c r="I7" s="1986"/>
      <c r="J7" s="1986"/>
      <c r="K7" s="1986"/>
      <c r="L7" s="1986"/>
      <c r="M7" s="1986"/>
      <c r="O7" s="1814"/>
      <c r="Q7" s="1815"/>
    </row>
    <row r="8" spans="1:20" s="16" customFormat="1" ht="17.399999999999999">
      <c r="A8" s="1984" t="s">
        <v>201</v>
      </c>
      <c r="B8" s="1984"/>
      <c r="C8" s="1984"/>
      <c r="D8" s="1984"/>
      <c r="E8" s="1984"/>
      <c r="F8" s="1984"/>
      <c r="G8" s="1984"/>
      <c r="H8" s="1984"/>
      <c r="I8" s="1984"/>
      <c r="J8" s="1984"/>
      <c r="K8" s="1984"/>
      <c r="L8" s="1984"/>
      <c r="M8" s="1984"/>
      <c r="O8" s="1816"/>
      <c r="P8" s="1807"/>
      <c r="Q8" s="1817"/>
      <c r="R8" s="1807"/>
      <c r="S8" s="1807"/>
      <c r="T8" s="1807"/>
    </row>
    <row r="9" spans="1:20" s="82" customFormat="1" ht="17.399999999999999">
      <c r="A9" s="813"/>
      <c r="B9" s="813"/>
      <c r="C9" s="813"/>
      <c r="D9" s="813"/>
      <c r="E9" s="813"/>
      <c r="F9" s="813"/>
      <c r="G9" s="813"/>
      <c r="H9" s="1762"/>
      <c r="I9" s="1762"/>
      <c r="J9" s="813"/>
      <c r="K9" s="813"/>
      <c r="L9" s="813"/>
      <c r="M9" s="813"/>
      <c r="O9" s="1814"/>
      <c r="P9" s="1818"/>
      <c r="Q9" s="1815"/>
      <c r="R9" s="1818"/>
      <c r="S9" s="1818"/>
      <c r="T9" s="1818"/>
    </row>
    <row r="10" spans="1:20" s="82" customFormat="1" ht="15.6">
      <c r="A10" s="19"/>
      <c r="B10" s="19"/>
      <c r="C10" s="495"/>
      <c r="D10" s="19"/>
      <c r="E10" s="19"/>
      <c r="F10" s="19"/>
      <c r="G10" s="19"/>
      <c r="H10" s="1684"/>
      <c r="I10" s="1684"/>
      <c r="K10" s="19"/>
      <c r="L10" s="19"/>
      <c r="M10" s="19"/>
      <c r="O10" s="1816"/>
      <c r="P10" s="1818"/>
      <c r="Q10" s="1817"/>
      <c r="R10" s="312"/>
      <c r="S10" s="1818"/>
      <c r="T10" s="1818"/>
    </row>
    <row r="11" spans="1:20" s="167" customFormat="1" ht="17.399999999999999">
      <c r="A11" s="13"/>
      <c r="B11" s="13"/>
      <c r="C11" s="473" t="s">
        <v>0</v>
      </c>
      <c r="D11" s="13"/>
      <c r="E11" s="13"/>
      <c r="F11" s="13"/>
      <c r="G11" s="13"/>
      <c r="H11" s="1763" t="s">
        <v>304</v>
      </c>
      <c r="I11" s="1763" t="s">
        <v>34</v>
      </c>
      <c r="J11" s="817" t="s">
        <v>33</v>
      </c>
      <c r="K11" s="13"/>
      <c r="L11" s="13"/>
      <c r="M11" s="13"/>
      <c r="O11" s="1816"/>
      <c r="P11" s="1819"/>
      <c r="Q11" s="1817"/>
      <c r="R11" s="312"/>
      <c r="S11" s="1820"/>
      <c r="T11" s="1819"/>
    </row>
    <row r="12" spans="1:20" s="167" customFormat="1" ht="15.6">
      <c r="A12" s="13"/>
      <c r="B12" s="471" t="s">
        <v>1</v>
      </c>
      <c r="C12" s="496" t="s">
        <v>2</v>
      </c>
      <c r="D12" s="13"/>
      <c r="E12" s="472" t="s">
        <v>3</v>
      </c>
      <c r="F12" s="13"/>
      <c r="G12" s="13" t="s">
        <v>455</v>
      </c>
      <c r="H12" s="1764" t="s">
        <v>816</v>
      </c>
      <c r="I12" s="1764" t="s">
        <v>359</v>
      </c>
      <c r="J12" s="471" t="s">
        <v>340</v>
      </c>
      <c r="K12" s="13"/>
      <c r="L12" s="472" t="s">
        <v>35</v>
      </c>
      <c r="M12" s="472" t="s">
        <v>1763</v>
      </c>
      <c r="O12" s="1816"/>
      <c r="P12" s="1819"/>
      <c r="Q12" s="1817"/>
      <c r="R12" s="1819"/>
      <c r="S12" s="1819"/>
      <c r="T12" s="1819"/>
    </row>
    <row r="13" spans="1:20" s="82" customFormat="1" ht="17.399999999999999">
      <c r="A13" s="19"/>
      <c r="B13" s="19"/>
      <c r="C13" s="495" t="s">
        <v>6</v>
      </c>
      <c r="D13" s="19"/>
      <c r="E13" s="20" t="s">
        <v>7</v>
      </c>
      <c r="F13" s="19"/>
      <c r="G13" s="19"/>
      <c r="H13" s="1765" t="s">
        <v>8</v>
      </c>
      <c r="I13" s="1765" t="s">
        <v>9</v>
      </c>
      <c r="J13" s="20" t="s">
        <v>28</v>
      </c>
      <c r="K13" s="19"/>
      <c r="L13" s="20" t="s">
        <v>29</v>
      </c>
      <c r="M13" s="495" t="s">
        <v>372</v>
      </c>
      <c r="O13" s="1816"/>
      <c r="P13" s="1818"/>
      <c r="Q13" s="1817"/>
      <c r="R13" s="1818"/>
      <c r="S13" s="1820"/>
      <c r="T13" s="1818"/>
    </row>
    <row r="14" spans="1:20" s="82" customFormat="1" ht="15.6">
      <c r="A14" s="19"/>
      <c r="B14" s="19"/>
      <c r="C14" s="495"/>
      <c r="D14" s="19"/>
      <c r="E14" s="19"/>
      <c r="F14" s="19"/>
      <c r="G14" s="19"/>
      <c r="H14" s="1684"/>
      <c r="I14" s="1684"/>
      <c r="J14" s="19"/>
      <c r="K14" s="19"/>
      <c r="L14" s="491"/>
      <c r="M14" s="491"/>
      <c r="O14" s="1816"/>
      <c r="P14" s="1818"/>
      <c r="Q14" s="1815"/>
      <c r="R14" s="1818"/>
      <c r="S14" s="1818"/>
      <c r="T14" s="1818"/>
    </row>
    <row r="15" spans="1:20" s="82" customFormat="1" ht="17.399999999999999">
      <c r="A15" s="19"/>
      <c r="B15" s="817"/>
      <c r="C15" s="497" t="s">
        <v>36</v>
      </c>
      <c r="D15" s="498"/>
      <c r="E15" s="498"/>
      <c r="F15" s="19"/>
      <c r="G15" s="19"/>
      <c r="H15" s="1684"/>
      <c r="I15" s="1684"/>
      <c r="J15" s="491"/>
      <c r="K15" s="19"/>
      <c r="L15" s="491"/>
      <c r="M15" s="491"/>
      <c r="O15" s="1821"/>
      <c r="P15" s="601"/>
      <c r="Q15" s="1818"/>
      <c r="R15" s="1818"/>
      <c r="S15" s="1818"/>
      <c r="T15" s="1818"/>
    </row>
    <row r="16" spans="1:20" s="82" customFormat="1" ht="15.6">
      <c r="A16" s="19"/>
      <c r="B16" s="817">
        <v>1</v>
      </c>
      <c r="C16" s="328">
        <v>920</v>
      </c>
      <c r="D16" s="19" t="s">
        <v>11</v>
      </c>
      <c r="E16" s="19" t="s">
        <v>37</v>
      </c>
      <c r="F16" s="19"/>
      <c r="G16" s="19" t="s">
        <v>1627</v>
      </c>
      <c r="H16" s="1766">
        <f>'WP-AA'!F34</f>
        <v>93473233.829999998</v>
      </c>
      <c r="I16" s="1766"/>
      <c r="J16" s="705"/>
      <c r="K16" s="19"/>
      <c r="L16" s="491"/>
      <c r="M16" s="491" t="s">
        <v>1677</v>
      </c>
      <c r="O16" s="1965"/>
      <c r="P16" s="601"/>
      <c r="Q16" s="1818"/>
      <c r="R16" s="1818"/>
      <c r="S16" s="1818"/>
      <c r="T16" s="1818"/>
    </row>
    <row r="17" spans="1:20" s="82" customFormat="1" ht="15.6">
      <c r="A17" s="19"/>
      <c r="B17" s="817">
        <f t="shared" ref="B17:B23" si="0">B16+1</f>
        <v>2</v>
      </c>
      <c r="C17" s="328">
        <v>921</v>
      </c>
      <c r="D17" s="19"/>
      <c r="E17" s="19" t="s">
        <v>38</v>
      </c>
      <c r="F17" s="19"/>
      <c r="G17" s="19" t="s">
        <v>1627</v>
      </c>
      <c r="H17" s="1766">
        <f>'WP-AA'!F35</f>
        <v>25677471.309999999</v>
      </c>
      <c r="I17" s="1766"/>
      <c r="J17" s="705"/>
      <c r="K17" s="19"/>
      <c r="L17" s="491"/>
      <c r="M17" s="491" t="s">
        <v>1678</v>
      </c>
      <c r="O17" s="1965"/>
      <c r="P17" s="601"/>
      <c r="Q17" s="1818"/>
      <c r="R17" s="1818"/>
      <c r="S17" s="1818"/>
      <c r="T17" s="1818"/>
    </row>
    <row r="18" spans="1:20" s="82" customFormat="1" ht="15.6">
      <c r="A18" s="19"/>
      <c r="B18" s="817">
        <f t="shared" si="0"/>
        <v>3</v>
      </c>
      <c r="C18" s="328">
        <v>922</v>
      </c>
      <c r="D18" s="19"/>
      <c r="E18" s="19" t="s">
        <v>320</v>
      </c>
      <c r="F18" s="19"/>
      <c r="G18" s="19" t="s">
        <v>1627</v>
      </c>
      <c r="H18" s="1766">
        <f>'WP-AA'!F36</f>
        <v>-46897418.560000002</v>
      </c>
      <c r="I18" s="1766"/>
      <c r="J18" s="705"/>
      <c r="K18" s="19"/>
      <c r="L18" s="491"/>
      <c r="M18" s="491" t="s">
        <v>1679</v>
      </c>
      <c r="O18" s="1965"/>
      <c r="P18" s="1818"/>
      <c r="Q18" s="1818"/>
      <c r="R18" s="583"/>
      <c r="S18" s="1818"/>
      <c r="T18" s="1818"/>
    </row>
    <row r="19" spans="1:20" s="82" customFormat="1" ht="15.6">
      <c r="A19" s="19"/>
      <c r="B19" s="817">
        <f t="shared" si="0"/>
        <v>4</v>
      </c>
      <c r="C19" s="328">
        <v>923</v>
      </c>
      <c r="D19" s="19"/>
      <c r="E19" s="19" t="s">
        <v>39</v>
      </c>
      <c r="F19" s="19"/>
      <c r="G19" s="19" t="s">
        <v>1627</v>
      </c>
      <c r="H19" s="1766">
        <f>'WP-AA'!F37</f>
        <v>35126414.310000002</v>
      </c>
      <c r="I19" s="1766"/>
      <c r="J19" s="705"/>
      <c r="K19" s="19"/>
      <c r="L19" s="491"/>
      <c r="M19" s="491" t="s">
        <v>1680</v>
      </c>
      <c r="O19" s="1965"/>
      <c r="P19" s="1818"/>
      <c r="Q19" s="1818"/>
      <c r="R19" s="1822"/>
      <c r="S19" s="1818"/>
      <c r="T19" s="1818"/>
    </row>
    <row r="20" spans="1:20" s="82" customFormat="1" ht="15.6">
      <c r="A20" s="19"/>
      <c r="B20" s="817">
        <f t="shared" si="0"/>
        <v>5</v>
      </c>
      <c r="C20" s="328">
        <v>924</v>
      </c>
      <c r="D20" s="19"/>
      <c r="E20" s="19" t="s">
        <v>40</v>
      </c>
      <c r="F20" s="19"/>
      <c r="G20" s="19" t="s">
        <v>1627</v>
      </c>
      <c r="H20" s="1766">
        <f>'WP-AA'!F38</f>
        <v>6876846.7800000003</v>
      </c>
      <c r="I20" s="699"/>
      <c r="J20" s="705">
        <f>'WP-AG'!J37</f>
        <v>1761662.47624322</v>
      </c>
      <c r="K20" s="491"/>
      <c r="L20" s="491" t="s">
        <v>1632</v>
      </c>
      <c r="M20" s="491" t="s">
        <v>1681</v>
      </c>
      <c r="N20" s="153"/>
      <c r="O20" s="1965"/>
      <c r="P20" s="1818"/>
      <c r="Q20" s="1818"/>
      <c r="R20" s="312"/>
      <c r="S20" s="312"/>
      <c r="T20" s="1818"/>
    </row>
    <row r="21" spans="1:20" s="82" customFormat="1" ht="15.6">
      <c r="A21" s="19"/>
      <c r="B21" s="817">
        <f t="shared" si="0"/>
        <v>6</v>
      </c>
      <c r="C21" s="328" t="s">
        <v>333</v>
      </c>
      <c r="D21" s="19"/>
      <c r="E21" s="19" t="s">
        <v>334</v>
      </c>
      <c r="F21" s="19"/>
      <c r="G21" s="19" t="s">
        <v>1627</v>
      </c>
      <c r="H21" s="1766">
        <f>'WP-AA'!F39</f>
        <v>6998503.0599999996</v>
      </c>
      <c r="I21" s="699"/>
      <c r="J21" s="705">
        <f>'WP-AH'!J38</f>
        <v>2947902.9745470928</v>
      </c>
      <c r="K21" s="491"/>
      <c r="L21" s="491" t="s">
        <v>1633</v>
      </c>
      <c r="M21" s="491" t="s">
        <v>1682</v>
      </c>
      <c r="N21" s="153"/>
      <c r="O21" s="1965"/>
      <c r="P21" s="1818"/>
      <c r="Q21" s="1818"/>
      <c r="R21" s="312"/>
      <c r="S21" s="312"/>
      <c r="T21" s="1818"/>
    </row>
    <row r="22" spans="1:20" s="82" customFormat="1" ht="17.399999999999999">
      <c r="A22" s="19"/>
      <c r="B22" s="817">
        <f t="shared" si="0"/>
        <v>7</v>
      </c>
      <c r="C22" s="328">
        <v>926</v>
      </c>
      <c r="D22" s="19"/>
      <c r="E22" s="19" t="s">
        <v>41</v>
      </c>
      <c r="F22" s="19"/>
      <c r="G22" s="19" t="s">
        <v>1627</v>
      </c>
      <c r="H22" s="1766">
        <f>'WP-AA'!F40+'WP-AA'!F41</f>
        <v>20773463.379999999</v>
      </c>
      <c r="I22" s="1766"/>
      <c r="J22" s="707"/>
      <c r="K22" s="19"/>
      <c r="L22" s="491"/>
      <c r="M22" s="491" t="s">
        <v>1683</v>
      </c>
      <c r="O22" s="1966"/>
      <c r="P22" s="1818"/>
      <c r="Q22" s="1818"/>
      <c r="R22" s="312"/>
      <c r="S22" s="312"/>
      <c r="T22" s="1818"/>
    </row>
    <row r="23" spans="1:20" s="82" customFormat="1" ht="17.399999999999999">
      <c r="A23" s="19"/>
      <c r="B23" s="817">
        <f t="shared" si="0"/>
        <v>8</v>
      </c>
      <c r="C23" s="328">
        <v>928</v>
      </c>
      <c r="D23" s="19"/>
      <c r="E23" s="19" t="s">
        <v>42</v>
      </c>
      <c r="F23" s="19"/>
      <c r="G23" s="19" t="s">
        <v>1627</v>
      </c>
      <c r="H23" s="1766">
        <f>'WP-AA'!F42</f>
        <v>5975280</v>
      </c>
      <c r="I23" s="1766"/>
      <c r="J23" s="707">
        <f>'WP-AA'!D42</f>
        <v>0</v>
      </c>
      <c r="K23" s="19"/>
      <c r="L23" s="491" t="s">
        <v>1631</v>
      </c>
      <c r="M23" s="491" t="s">
        <v>1684</v>
      </c>
      <c r="O23" s="1966"/>
      <c r="P23" s="1818"/>
      <c r="Q23" s="1818"/>
      <c r="R23" s="312"/>
      <c r="S23" s="312"/>
      <c r="T23" s="1818"/>
    </row>
    <row r="24" spans="1:20" s="82" customFormat="1" ht="17.399999999999999">
      <c r="A24" s="19"/>
      <c r="B24" s="817">
        <f t="shared" ref="B24:B30" si="1">B23+1</f>
        <v>9</v>
      </c>
      <c r="C24" s="328" t="s">
        <v>449</v>
      </c>
      <c r="D24" s="19"/>
      <c r="E24" s="19" t="s">
        <v>445</v>
      </c>
      <c r="F24" s="19"/>
      <c r="G24" s="19" t="s">
        <v>1627</v>
      </c>
      <c r="H24" s="1766">
        <f>'WP-AA'!F43</f>
        <v>301702.45</v>
      </c>
      <c r="I24" s="1766"/>
      <c r="J24" s="707"/>
      <c r="K24" s="19"/>
      <c r="L24" s="491"/>
      <c r="M24" s="491" t="s">
        <v>1685</v>
      </c>
      <c r="O24" s="1966"/>
      <c r="P24" s="1818"/>
      <c r="Q24" s="1818"/>
      <c r="R24" s="312"/>
      <c r="S24" s="312"/>
      <c r="T24" s="1818"/>
    </row>
    <row r="25" spans="1:20" s="82" customFormat="1" ht="17.399999999999999">
      <c r="A25" s="19"/>
      <c r="B25" s="817">
        <f t="shared" si="1"/>
        <v>10</v>
      </c>
      <c r="C25" s="328" t="s">
        <v>605</v>
      </c>
      <c r="D25" s="19"/>
      <c r="E25" s="19" t="s">
        <v>606</v>
      </c>
      <c r="F25" s="19"/>
      <c r="G25" s="19" t="s">
        <v>1627</v>
      </c>
      <c r="H25" s="1766">
        <f>'WP-AA'!F44</f>
        <v>219663.86</v>
      </c>
      <c r="I25" s="1766"/>
      <c r="J25" s="707"/>
      <c r="K25" s="19"/>
      <c r="L25" s="491"/>
      <c r="M25" s="491" t="s">
        <v>1686</v>
      </c>
      <c r="O25" s="1966"/>
      <c r="P25" s="1818"/>
      <c r="Q25" s="1818"/>
      <c r="R25" s="312"/>
      <c r="S25" s="312"/>
      <c r="T25" s="1818"/>
    </row>
    <row r="26" spans="1:20" s="82" customFormat="1" ht="17.399999999999999">
      <c r="A26" s="19"/>
      <c r="B26" s="817">
        <f t="shared" si="1"/>
        <v>11</v>
      </c>
      <c r="C26" s="500" t="s">
        <v>380</v>
      </c>
      <c r="D26" s="491"/>
      <c r="E26" s="491" t="s">
        <v>378</v>
      </c>
      <c r="F26" s="491"/>
      <c r="G26" s="19" t="s">
        <v>1627</v>
      </c>
      <c r="H26" s="1766">
        <f>'WP-AA'!F45</f>
        <v>12360714.85</v>
      </c>
      <c r="I26" s="1766"/>
      <c r="J26" s="707"/>
      <c r="K26" s="19"/>
      <c r="L26" s="491"/>
      <c r="M26" s="491" t="s">
        <v>1687</v>
      </c>
      <c r="O26" s="1966"/>
      <c r="P26" s="1818"/>
      <c r="Q26" s="1818"/>
      <c r="R26" s="312"/>
      <c r="S26" s="312"/>
      <c r="T26" s="1818"/>
    </row>
    <row r="27" spans="1:20" s="82" customFormat="1" ht="17.399999999999999">
      <c r="A27" s="19"/>
      <c r="B27" s="817">
        <f t="shared" si="1"/>
        <v>12</v>
      </c>
      <c r="C27" s="500" t="s">
        <v>377</v>
      </c>
      <c r="D27" s="491"/>
      <c r="E27" s="491" t="s">
        <v>379</v>
      </c>
      <c r="F27" s="491"/>
      <c r="G27" s="19" t="s">
        <v>361</v>
      </c>
      <c r="H27" s="1766">
        <f>'WP-AA'!F46</f>
        <v>12224302.640000001</v>
      </c>
      <c r="I27" s="1766"/>
      <c r="J27" s="707">
        <f>('WP-AA'!D46)+(('WP-AA'!E46)*'E1-Labor Ratio'!H21)</f>
        <v>4371080.7835210962</v>
      </c>
      <c r="K27" s="19"/>
      <c r="L27" s="1967" t="s">
        <v>361</v>
      </c>
      <c r="M27" s="491" t="s">
        <v>1688</v>
      </c>
      <c r="O27" s="1966"/>
      <c r="P27" s="1818"/>
      <c r="Q27" s="1818"/>
      <c r="R27" s="312"/>
      <c r="S27" s="312"/>
      <c r="T27" s="1818"/>
    </row>
    <row r="28" spans="1:20" s="82" customFormat="1" ht="17.399999999999999">
      <c r="A28" s="19"/>
      <c r="B28" s="817">
        <f>B27+1</f>
        <v>13</v>
      </c>
      <c r="C28" s="328">
        <v>931</v>
      </c>
      <c r="D28" s="19"/>
      <c r="E28" s="19" t="s">
        <v>17</v>
      </c>
      <c r="F28" s="19"/>
      <c r="G28" s="19" t="s">
        <v>1627</v>
      </c>
      <c r="H28" s="1766">
        <f>'WP-AA'!F47</f>
        <v>2091068.94</v>
      </c>
      <c r="I28" s="1766"/>
      <c r="J28" s="705"/>
      <c r="K28" s="19"/>
      <c r="L28" s="491"/>
      <c r="M28" s="491" t="s">
        <v>1689</v>
      </c>
      <c r="O28" s="1966"/>
      <c r="P28" s="1823"/>
      <c r="Q28" s="1818"/>
      <c r="R28" s="1818"/>
      <c r="S28" s="1818"/>
      <c r="T28" s="1818"/>
    </row>
    <row r="29" spans="1:20" s="82" customFormat="1" ht="15.6">
      <c r="A29" s="19"/>
      <c r="B29" s="817">
        <f t="shared" si="1"/>
        <v>14</v>
      </c>
      <c r="C29" s="328">
        <v>935</v>
      </c>
      <c r="D29" s="19"/>
      <c r="E29" s="19" t="s">
        <v>43</v>
      </c>
      <c r="F29" s="19"/>
      <c r="G29" s="19" t="s">
        <v>1627</v>
      </c>
      <c r="H29" s="1767">
        <f>'WP-AA'!F48</f>
        <v>4757236.82</v>
      </c>
      <c r="I29" s="1766"/>
      <c r="J29" s="709"/>
      <c r="K29" s="19"/>
      <c r="L29" s="491"/>
      <c r="M29" s="491" t="s">
        <v>1690</v>
      </c>
      <c r="O29" s="1965"/>
      <c r="P29" s="1818"/>
      <c r="Q29" s="1818"/>
      <c r="R29" s="1818"/>
      <c r="S29" s="1818"/>
      <c r="T29" s="1818"/>
    </row>
    <row r="30" spans="1:20" s="82" customFormat="1" ht="17.399999999999999">
      <c r="A30" s="19"/>
      <c r="B30" s="817">
        <f t="shared" si="1"/>
        <v>15</v>
      </c>
      <c r="C30" s="495"/>
      <c r="D30" s="19"/>
      <c r="E30" s="817" t="s">
        <v>32</v>
      </c>
      <c r="F30" s="19"/>
      <c r="G30" s="19" t="s">
        <v>466</v>
      </c>
      <c r="H30" s="1768">
        <f>SUM(H16:H29)</f>
        <v>179958483.67000002</v>
      </c>
      <c r="I30" s="1768"/>
      <c r="J30" s="715"/>
      <c r="K30" s="19"/>
      <c r="L30" s="491"/>
      <c r="M30" s="491"/>
      <c r="O30" s="1824"/>
      <c r="P30" s="1825"/>
      <c r="Q30" s="1818"/>
      <c r="R30" s="1818"/>
      <c r="S30" s="1818"/>
      <c r="T30" s="1818"/>
    </row>
    <row r="31" spans="1:20" s="82" customFormat="1" ht="17.399999999999999">
      <c r="A31" s="19"/>
      <c r="B31" s="817"/>
      <c r="C31" s="495"/>
      <c r="D31" s="19"/>
      <c r="E31" s="817"/>
      <c r="F31" s="19"/>
      <c r="G31" s="19"/>
      <c r="H31" s="1768"/>
      <c r="I31" s="1768"/>
      <c r="J31" s="715"/>
      <c r="K31" s="19"/>
      <c r="L31" s="491"/>
      <c r="M31" s="491"/>
      <c r="O31" s="1824"/>
      <c r="P31" s="1818"/>
      <c r="Q31" s="1818"/>
      <c r="R31" s="1818"/>
      <c r="S31" s="1818"/>
      <c r="T31" s="1818"/>
    </row>
    <row r="32" spans="1:20" s="82" customFormat="1" ht="17.399999999999999">
      <c r="A32" s="19"/>
      <c r="B32" s="817">
        <f>B30+1</f>
        <v>16</v>
      </c>
      <c r="C32" s="495"/>
      <c r="D32" s="19"/>
      <c r="E32" s="19" t="s">
        <v>44</v>
      </c>
      <c r="F32" s="19"/>
      <c r="G32" s="19" t="s">
        <v>464</v>
      </c>
      <c r="H32" s="1769">
        <f>-H20</f>
        <v>-6876846.7800000003</v>
      </c>
      <c r="I32" s="1766"/>
      <c r="J32" s="707"/>
      <c r="K32" s="19"/>
      <c r="L32" s="491"/>
      <c r="M32" s="491" t="s">
        <v>1681</v>
      </c>
      <c r="O32" s="1824"/>
      <c r="P32" s="1769"/>
      <c r="Q32" s="1818"/>
      <c r="R32" s="1818"/>
      <c r="S32" s="312"/>
      <c r="T32" s="1818"/>
    </row>
    <row r="33" spans="1:20" s="82" customFormat="1" ht="17.25" customHeight="1">
      <c r="A33" s="19"/>
      <c r="B33" s="817">
        <f>B32+1</f>
        <v>17</v>
      </c>
      <c r="C33" s="495"/>
      <c r="D33" s="19"/>
      <c r="E33" s="19" t="s">
        <v>343</v>
      </c>
      <c r="F33" s="19"/>
      <c r="G33" s="19" t="s">
        <v>463</v>
      </c>
      <c r="H33" s="1769">
        <f>-H21</f>
        <v>-6998503.0599999996</v>
      </c>
      <c r="I33" s="1769"/>
      <c r="J33" s="721"/>
      <c r="K33" s="19"/>
      <c r="L33" s="491"/>
      <c r="M33" s="491" t="s">
        <v>1682</v>
      </c>
      <c r="O33" s="1824"/>
      <c r="P33" s="1769"/>
      <c r="Q33" s="1818"/>
      <c r="R33" s="1818"/>
      <c r="S33" s="312"/>
      <c r="T33" s="1818"/>
    </row>
    <row r="34" spans="1:20" s="82" customFormat="1" ht="17.399999999999999">
      <c r="A34" s="19"/>
      <c r="B34" s="817">
        <f>B33+1</f>
        <v>18</v>
      </c>
      <c r="C34" s="495"/>
      <c r="D34" s="19"/>
      <c r="E34" s="19" t="s">
        <v>743</v>
      </c>
      <c r="F34" s="19"/>
      <c r="G34" s="19" t="s">
        <v>360</v>
      </c>
      <c r="H34" s="1769">
        <v>0</v>
      </c>
      <c r="I34" s="1769"/>
      <c r="J34" s="721"/>
      <c r="K34" s="19"/>
      <c r="L34" s="491"/>
      <c r="M34" s="491"/>
      <c r="O34" s="1824"/>
      <c r="P34" s="1769"/>
      <c r="Q34" s="1818"/>
      <c r="R34" s="1818"/>
      <c r="S34" s="312"/>
      <c r="T34" s="1818"/>
    </row>
    <row r="35" spans="1:20" s="82" customFormat="1" ht="17.399999999999999">
      <c r="A35" s="19"/>
      <c r="B35" s="817">
        <f>B34+1</f>
        <v>19</v>
      </c>
      <c r="C35" s="495"/>
      <c r="D35" s="19"/>
      <c r="E35" s="19" t="s">
        <v>744</v>
      </c>
      <c r="F35" s="19"/>
      <c r="G35" s="19" t="s">
        <v>745</v>
      </c>
      <c r="H35" s="1769">
        <f>-H23</f>
        <v>-5975280</v>
      </c>
      <c r="I35" s="1769"/>
      <c r="J35" s="721"/>
      <c r="K35" s="19"/>
      <c r="L35" s="491"/>
      <c r="M35" s="491" t="s">
        <v>1684</v>
      </c>
      <c r="O35" s="1824"/>
      <c r="P35" s="1769"/>
      <c r="Q35" s="1818"/>
      <c r="R35" s="1818"/>
      <c r="S35" s="312"/>
      <c r="T35" s="1818"/>
    </row>
    <row r="36" spans="1:20" s="82" customFormat="1" ht="17.399999999999999">
      <c r="A36" s="19"/>
      <c r="B36" s="817">
        <f t="shared" ref="B36:B38" si="2">B35+1</f>
        <v>20</v>
      </c>
      <c r="C36" s="495"/>
      <c r="D36" s="19"/>
      <c r="E36" s="186" t="s">
        <v>1803</v>
      </c>
      <c r="F36" s="186"/>
      <c r="G36" s="186" t="s">
        <v>1804</v>
      </c>
      <c r="H36" s="1770">
        <f>-H27</f>
        <v>-12224302.640000001</v>
      </c>
      <c r="I36" s="1770"/>
      <c r="J36" s="721"/>
      <c r="K36" s="19"/>
      <c r="L36" s="1967" t="s">
        <v>362</v>
      </c>
      <c r="M36" s="491"/>
      <c r="O36" s="1927"/>
      <c r="P36" s="1770"/>
      <c r="Q36" s="1818"/>
      <c r="R36" s="1818"/>
      <c r="S36" s="312"/>
      <c r="T36" s="1818"/>
    </row>
    <row r="37" spans="1:20" s="82" customFormat="1" ht="17.399999999999999">
      <c r="A37" s="19"/>
      <c r="B37" s="817">
        <f t="shared" si="2"/>
        <v>21</v>
      </c>
      <c r="C37" s="495"/>
      <c r="D37" s="19"/>
      <c r="E37" s="19" t="s">
        <v>746</v>
      </c>
      <c r="F37" s="19"/>
      <c r="G37" s="19" t="s">
        <v>894</v>
      </c>
      <c r="H37" s="1970">
        <f>'WP-AF'!H21</f>
        <v>66578694</v>
      </c>
      <c r="I37" s="1769"/>
      <c r="J37" s="721"/>
      <c r="K37" s="19"/>
      <c r="L37" s="491"/>
      <c r="M37" s="491"/>
      <c r="O37" s="1824"/>
      <c r="P37" s="1769"/>
      <c r="Q37" s="1818"/>
      <c r="R37" s="1818"/>
      <c r="S37" s="312"/>
      <c r="T37" s="1818"/>
    </row>
    <row r="38" spans="1:20" s="82" customFormat="1" ht="18">
      <c r="A38" s="19"/>
      <c r="B38" s="817">
        <f t="shared" si="2"/>
        <v>22</v>
      </c>
      <c r="C38" s="495"/>
      <c r="D38" s="19"/>
      <c r="E38" s="13" t="s">
        <v>45</v>
      </c>
      <c r="F38" s="19"/>
      <c r="G38" s="186" t="s">
        <v>1805</v>
      </c>
      <c r="H38" s="1768">
        <f>SUM(H30:H37)</f>
        <v>214462245.19</v>
      </c>
      <c r="I38" s="1773">
        <f>'E1-Labor Ratio'!H21</f>
        <v>0.35069999486318831</v>
      </c>
      <c r="J38" s="715">
        <f>H38*I38</f>
        <v>75211908.286480829</v>
      </c>
      <c r="K38" s="19"/>
      <c r="L38" s="1968" t="s">
        <v>1087</v>
      </c>
      <c r="M38" s="491"/>
      <c r="O38" s="1824"/>
      <c r="P38" s="1826"/>
      <c r="Q38" s="1827"/>
      <c r="R38" s="312"/>
      <c r="S38" s="312"/>
      <c r="T38" s="1818"/>
    </row>
    <row r="39" spans="1:20" s="82" customFormat="1" ht="17.399999999999999">
      <c r="A39" s="19"/>
      <c r="B39" s="817"/>
      <c r="C39" s="495"/>
      <c r="D39" s="19"/>
      <c r="E39" s="13"/>
      <c r="F39" s="19"/>
      <c r="G39" s="186"/>
      <c r="H39" s="1768"/>
      <c r="I39" s="1768"/>
      <c r="J39" s="715"/>
      <c r="K39" s="19"/>
      <c r="L39" s="1969" t="s">
        <v>1089</v>
      </c>
      <c r="M39" s="491"/>
      <c r="O39" s="1824"/>
      <c r="P39" s="1818"/>
      <c r="Q39" s="1818"/>
      <c r="R39" s="1818"/>
      <c r="S39" s="1818"/>
      <c r="T39" s="1818"/>
    </row>
    <row r="40" spans="1:20" s="82" customFormat="1" ht="17.399999999999999">
      <c r="A40" s="19"/>
      <c r="B40" s="817">
        <f>B38+1</f>
        <v>23</v>
      </c>
      <c r="C40" s="495"/>
      <c r="D40" s="19"/>
      <c r="E40" s="13" t="s">
        <v>352</v>
      </c>
      <c r="F40" s="19"/>
      <c r="G40" s="186" t="s">
        <v>1806</v>
      </c>
      <c r="H40" s="1766"/>
      <c r="I40" s="1766"/>
      <c r="J40" s="723">
        <f>SUM(J16:J38)</f>
        <v>84292554.520792246</v>
      </c>
      <c r="K40" s="19"/>
      <c r="L40" s="1969" t="s">
        <v>1088</v>
      </c>
      <c r="M40" s="491"/>
      <c r="O40" s="1824"/>
      <c r="P40" s="1818"/>
      <c r="Q40" s="1818"/>
      <c r="R40" s="332"/>
      <c r="S40" s="312"/>
      <c r="T40" s="1818"/>
    </row>
    <row r="41" spans="1:20" s="82" customFormat="1" ht="17.399999999999999">
      <c r="A41" s="19"/>
      <c r="B41" s="19"/>
      <c r="C41" s="495"/>
      <c r="D41" s="19"/>
      <c r="E41" s="19"/>
      <c r="F41" s="19"/>
      <c r="G41" s="19"/>
      <c r="H41" s="1771"/>
      <c r="I41" s="1684"/>
      <c r="J41" s="504"/>
      <c r="K41" s="19"/>
      <c r="M41" s="491"/>
      <c r="O41" s="1824"/>
      <c r="P41" s="1818"/>
      <c r="Q41" s="1818"/>
      <c r="R41" s="1818"/>
      <c r="S41" s="1818"/>
      <c r="T41" s="1818"/>
    </row>
    <row r="42" spans="1:20" s="82" customFormat="1" ht="17.399999999999999">
      <c r="A42" s="864" t="s">
        <v>1664</v>
      </c>
      <c r="B42" s="681"/>
      <c r="C42" s="682"/>
      <c r="D42" s="671"/>
      <c r="E42" s="681"/>
      <c r="F42" s="19"/>
      <c r="G42" s="19"/>
      <c r="H42" s="1684"/>
      <c r="I42" s="1684"/>
      <c r="J42" s="19"/>
      <c r="K42" s="19"/>
      <c r="L42" s="19"/>
      <c r="M42" s="19"/>
      <c r="O42" s="1824"/>
      <c r="P42" s="1818"/>
      <c r="Q42" s="312"/>
      <c r="R42" s="1818"/>
      <c r="S42" s="1818"/>
      <c r="T42" s="1818"/>
    </row>
    <row r="43" spans="1:20" s="82" customFormat="1">
      <c r="A43" s="186" t="s">
        <v>1810</v>
      </c>
      <c r="B43" s="186"/>
      <c r="C43" s="685"/>
      <c r="D43" s="186"/>
      <c r="E43" s="186"/>
      <c r="F43" s="186"/>
      <c r="G43" s="186"/>
      <c r="H43" s="1612"/>
      <c r="I43" s="1612"/>
      <c r="J43" s="186"/>
      <c r="K43" s="186"/>
      <c r="L43" s="186"/>
      <c r="M43" s="186"/>
      <c r="O43" s="1828"/>
      <c r="P43" s="1818"/>
      <c r="Q43" s="1818"/>
      <c r="R43" s="1818"/>
      <c r="S43" s="1818"/>
      <c r="T43" s="1818"/>
    </row>
    <row r="44" spans="1:20" s="82" customFormat="1" ht="17.399999999999999">
      <c r="A44" s="186" t="s">
        <v>1807</v>
      </c>
      <c r="B44" s="186"/>
      <c r="C44" s="685"/>
      <c r="D44" s="186"/>
      <c r="E44" s="186"/>
      <c r="F44" s="186"/>
      <c r="G44" s="186"/>
      <c r="H44" s="1612"/>
      <c r="I44" s="1612"/>
      <c r="J44" s="186"/>
      <c r="K44" s="186"/>
      <c r="L44" s="186"/>
      <c r="M44" s="186"/>
      <c r="O44" s="1828"/>
      <c r="P44" s="1824"/>
      <c r="Q44" s="312"/>
      <c r="R44" s="1829"/>
      <c r="S44" s="1818"/>
      <c r="T44" s="1818"/>
    </row>
    <row r="45" spans="1:20" ht="17.399999999999999">
      <c r="A45" s="186" t="s">
        <v>1811</v>
      </c>
      <c r="B45" s="187"/>
      <c r="C45" s="686"/>
      <c r="D45" s="187"/>
      <c r="E45" s="187"/>
      <c r="F45" s="187"/>
      <c r="G45" s="187"/>
      <c r="H45" s="1543"/>
      <c r="I45" s="1543"/>
      <c r="J45" s="187"/>
      <c r="K45" s="187"/>
      <c r="L45" s="187"/>
      <c r="M45" s="187"/>
      <c r="P45" s="1824"/>
      <c r="Q45" s="312"/>
      <c r="R45" s="1830"/>
    </row>
    <row r="46" spans="1:20" ht="17.399999999999999">
      <c r="A46" s="10"/>
      <c r="B46" s="10"/>
      <c r="C46" s="22"/>
      <c r="D46" s="10"/>
      <c r="E46" s="10"/>
      <c r="F46" s="10"/>
      <c r="G46" s="10"/>
      <c r="H46" s="1541"/>
      <c r="I46" s="1541"/>
      <c r="J46" s="10"/>
      <c r="K46" s="10"/>
      <c r="L46" s="10"/>
      <c r="M46" s="10"/>
      <c r="P46" s="1824"/>
      <c r="Q46" s="312"/>
      <c r="R46" s="1830"/>
    </row>
    <row r="47" spans="1:20" ht="15.6">
      <c r="Q47" s="332"/>
      <c r="R47" s="312"/>
    </row>
    <row r="52" spans="8:8">
      <c r="H52" s="1772"/>
    </row>
  </sheetData>
  <customSheetViews>
    <customSheetView guid="{B321D76C-CDE5-48BB-9CDE-80FF97D58FCF}" scale="110" colorId="22" showPageBreaks="1" showGridLines="0" fitToPage="1" printArea="1" view="pageBreakPreview" topLeftCell="H22">
      <selection activeCell="D33" sqref="D33"/>
      <colBreaks count="2" manualBreakCount="2">
        <brk id="14" max="1048575" man="1"/>
        <brk id="15" max="1048575" man="1"/>
      </colBreaks>
      <pageMargins left="0.25" right="0.25" top="0.25" bottom="0.25" header="0.5" footer="0.5"/>
      <printOptions horizontalCentered="1"/>
      <pageSetup scale="60" orientation="landscape" r:id="rId1"/>
      <headerFooter alignWithMargins="0"/>
    </customSheetView>
  </customSheetViews>
  <mergeCells count="5">
    <mergeCell ref="A3:M3"/>
    <mergeCell ref="A4:M4"/>
    <mergeCell ref="A8:M8"/>
    <mergeCell ref="A5:M5"/>
    <mergeCell ref="A7:M7"/>
  </mergeCells>
  <phoneticPr fontId="0" type="noConversion"/>
  <printOptions horizontalCentered="1"/>
  <pageMargins left="0.25" right="0.25" top="0.25" bottom="0.25" header="0.5" footer="0.5"/>
  <pageSetup scale="56" orientation="landscape" r:id="rId2"/>
  <headerFooter alignWithMargins="0"/>
  <colBreaks count="2" manualBreakCount="2">
    <brk id="14" max="1048575" man="1"/>
    <brk id="15" max="1048575" man="1"/>
  </colBreaks>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tabColor rgb="FFFF66FF"/>
  </sheetPr>
  <dimension ref="A1:W55"/>
  <sheetViews>
    <sheetView view="pageBreakPreview" zoomScale="80" zoomScaleNormal="100" zoomScaleSheetLayoutView="80" workbookViewId="0">
      <selection activeCell="X25" sqref="X25"/>
    </sheetView>
  </sheetViews>
  <sheetFormatPr defaultRowHeight="14.4"/>
  <cols>
    <col min="1" max="1" width="9" style="157"/>
    <col min="2" max="2" width="8.109375" style="157" customWidth="1"/>
    <col min="3" max="3" width="2.44140625" style="157" customWidth="1"/>
    <col min="4" max="4" width="4.21875" style="157" customWidth="1"/>
    <col min="5" max="5" width="2.77734375" style="157" customWidth="1"/>
    <col min="6" max="6" width="2.21875" style="157" customWidth="1"/>
    <col min="7" max="7" width="23.44140625" style="157" customWidth="1"/>
    <col min="8" max="8" width="4.21875" style="157" customWidth="1"/>
    <col min="9" max="9" width="19" style="157" customWidth="1"/>
    <col min="10" max="10" width="14.77734375" style="1755" customWidth="1"/>
    <col min="11" max="11" width="3.109375" style="375" customWidth="1"/>
    <col min="12" max="12" width="14.77734375" style="375" customWidth="1"/>
    <col min="13" max="13" width="3.109375" style="375" customWidth="1"/>
    <col min="14" max="14" width="14.77734375" style="375" customWidth="1"/>
    <col min="15" max="15" width="3.109375" style="375" customWidth="1"/>
    <col min="16" max="16" width="14.77734375" style="1755" customWidth="1"/>
    <col min="17" max="17" width="13.5546875" style="157" bestFit="1" customWidth="1"/>
    <col min="18" max="18" width="14.33203125" style="157" bestFit="1" customWidth="1"/>
    <col min="19" max="19" width="13.77734375" style="157" bestFit="1" customWidth="1"/>
    <col min="20" max="20" width="14.77734375" style="157" bestFit="1" customWidth="1"/>
    <col min="21" max="21" width="13.5546875" style="157" bestFit="1" customWidth="1"/>
    <col min="22" max="257" width="8.77734375" style="157"/>
    <col min="258" max="258" width="2.77734375" style="157" customWidth="1"/>
    <col min="259" max="259" width="2.44140625" style="157" customWidth="1"/>
    <col min="260" max="260" width="3.109375" style="157" customWidth="1"/>
    <col min="261" max="261" width="2.77734375" style="157" customWidth="1"/>
    <col min="262" max="262" width="2.21875" style="157" customWidth="1"/>
    <col min="263" max="263" width="2" style="157" customWidth="1"/>
    <col min="264" max="264" width="4.21875" style="157" customWidth="1"/>
    <col min="265" max="265" width="19" style="157" customWidth="1"/>
    <col min="266" max="266" width="13.77734375" style="157" bestFit="1" customWidth="1"/>
    <col min="267" max="267" width="2" style="157" customWidth="1"/>
    <col min="268" max="268" width="8.77734375" style="157"/>
    <col min="269" max="269" width="2.21875" style="157" customWidth="1"/>
    <col min="270" max="270" width="8.77734375" style="157"/>
    <col min="271" max="271" width="2" style="157" customWidth="1"/>
    <col min="272" max="272" width="13.77734375" style="157" bestFit="1" customWidth="1"/>
    <col min="273" max="513" width="8.77734375" style="157"/>
    <col min="514" max="514" width="2.77734375" style="157" customWidth="1"/>
    <col min="515" max="515" width="2.44140625" style="157" customWidth="1"/>
    <col min="516" max="516" width="3.109375" style="157" customWidth="1"/>
    <col min="517" max="517" width="2.77734375" style="157" customWidth="1"/>
    <col min="518" max="518" width="2.21875" style="157" customWidth="1"/>
    <col min="519" max="519" width="2" style="157" customWidth="1"/>
    <col min="520" max="520" width="4.21875" style="157" customWidth="1"/>
    <col min="521" max="521" width="19" style="157" customWidth="1"/>
    <col min="522" max="522" width="13.77734375" style="157" bestFit="1" customWidth="1"/>
    <col min="523" max="523" width="2" style="157" customWidth="1"/>
    <col min="524" max="524" width="8.77734375" style="157"/>
    <col min="525" max="525" width="2.21875" style="157" customWidth="1"/>
    <col min="526" max="526" width="8.77734375" style="157"/>
    <col min="527" max="527" width="2" style="157" customWidth="1"/>
    <col min="528" max="528" width="13.77734375" style="157" bestFit="1" customWidth="1"/>
    <col min="529" max="769" width="8.77734375" style="157"/>
    <col min="770" max="770" width="2.77734375" style="157" customWidth="1"/>
    <col min="771" max="771" width="2.44140625" style="157" customWidth="1"/>
    <col min="772" max="772" width="3.109375" style="157" customWidth="1"/>
    <col min="773" max="773" width="2.77734375" style="157" customWidth="1"/>
    <col min="774" max="774" width="2.21875" style="157" customWidth="1"/>
    <col min="775" max="775" width="2" style="157" customWidth="1"/>
    <col min="776" max="776" width="4.21875" style="157" customWidth="1"/>
    <col min="777" max="777" width="19" style="157" customWidth="1"/>
    <col min="778" max="778" width="13.77734375" style="157" bestFit="1" customWidth="1"/>
    <col min="779" max="779" width="2" style="157" customWidth="1"/>
    <col min="780" max="780" width="8.77734375" style="157"/>
    <col min="781" max="781" width="2.21875" style="157" customWidth="1"/>
    <col min="782" max="782" width="8.77734375" style="157"/>
    <col min="783" max="783" width="2" style="157" customWidth="1"/>
    <col min="784" max="784" width="13.77734375" style="157" bestFit="1" customWidth="1"/>
    <col min="785" max="1025" width="8.77734375" style="157"/>
    <col min="1026" max="1026" width="2.77734375" style="157" customWidth="1"/>
    <col min="1027" max="1027" width="2.44140625" style="157" customWidth="1"/>
    <col min="1028" max="1028" width="3.109375" style="157" customWidth="1"/>
    <col min="1029" max="1029" width="2.77734375" style="157" customWidth="1"/>
    <col min="1030" max="1030" width="2.21875" style="157" customWidth="1"/>
    <col min="1031" max="1031" width="2" style="157" customWidth="1"/>
    <col min="1032" max="1032" width="4.21875" style="157" customWidth="1"/>
    <col min="1033" max="1033" width="19" style="157" customWidth="1"/>
    <col min="1034" max="1034" width="13.77734375" style="157" bestFit="1" customWidth="1"/>
    <col min="1035" max="1035" width="2" style="157" customWidth="1"/>
    <col min="1036" max="1036" width="8.77734375" style="157"/>
    <col min="1037" max="1037" width="2.21875" style="157" customWidth="1"/>
    <col min="1038" max="1038" width="8.77734375" style="157"/>
    <col min="1039" max="1039" width="2" style="157" customWidth="1"/>
    <col min="1040" max="1040" width="13.77734375" style="157" bestFit="1" customWidth="1"/>
    <col min="1041" max="1281" width="8.77734375" style="157"/>
    <col min="1282" max="1282" width="2.77734375" style="157" customWidth="1"/>
    <col min="1283" max="1283" width="2.44140625" style="157" customWidth="1"/>
    <col min="1284" max="1284" width="3.109375" style="157" customWidth="1"/>
    <col min="1285" max="1285" width="2.77734375" style="157" customWidth="1"/>
    <col min="1286" max="1286" width="2.21875" style="157" customWidth="1"/>
    <col min="1287" max="1287" width="2" style="157" customWidth="1"/>
    <col min="1288" max="1288" width="4.21875" style="157" customWidth="1"/>
    <col min="1289" max="1289" width="19" style="157" customWidth="1"/>
    <col min="1290" max="1290" width="13.77734375" style="157" bestFit="1" customWidth="1"/>
    <col min="1291" max="1291" width="2" style="157" customWidth="1"/>
    <col min="1292" max="1292" width="8.77734375" style="157"/>
    <col min="1293" max="1293" width="2.21875" style="157" customWidth="1"/>
    <col min="1294" max="1294" width="8.77734375" style="157"/>
    <col min="1295" max="1295" width="2" style="157" customWidth="1"/>
    <col min="1296" max="1296" width="13.77734375" style="157" bestFit="1" customWidth="1"/>
    <col min="1297" max="1537" width="8.77734375" style="157"/>
    <col min="1538" max="1538" width="2.77734375" style="157" customWidth="1"/>
    <col min="1539" max="1539" width="2.44140625" style="157" customWidth="1"/>
    <col min="1540" max="1540" width="3.109375" style="157" customWidth="1"/>
    <col min="1541" max="1541" width="2.77734375" style="157" customWidth="1"/>
    <col min="1542" max="1542" width="2.21875" style="157" customWidth="1"/>
    <col min="1543" max="1543" width="2" style="157" customWidth="1"/>
    <col min="1544" max="1544" width="4.21875" style="157" customWidth="1"/>
    <col min="1545" max="1545" width="19" style="157" customWidth="1"/>
    <col min="1546" max="1546" width="13.77734375" style="157" bestFit="1" customWidth="1"/>
    <col min="1547" max="1547" width="2" style="157" customWidth="1"/>
    <col min="1548" max="1548" width="8.77734375" style="157"/>
    <col min="1549" max="1549" width="2.21875" style="157" customWidth="1"/>
    <col min="1550" max="1550" width="8.77734375" style="157"/>
    <col min="1551" max="1551" width="2" style="157" customWidth="1"/>
    <col min="1552" max="1552" width="13.77734375" style="157" bestFit="1" customWidth="1"/>
    <col min="1553" max="1793" width="8.77734375" style="157"/>
    <col min="1794" max="1794" width="2.77734375" style="157" customWidth="1"/>
    <col min="1795" max="1795" width="2.44140625" style="157" customWidth="1"/>
    <col min="1796" max="1796" width="3.109375" style="157" customWidth="1"/>
    <col min="1797" max="1797" width="2.77734375" style="157" customWidth="1"/>
    <col min="1798" max="1798" width="2.21875" style="157" customWidth="1"/>
    <col min="1799" max="1799" width="2" style="157" customWidth="1"/>
    <col min="1800" max="1800" width="4.21875" style="157" customWidth="1"/>
    <col min="1801" max="1801" width="19" style="157" customWidth="1"/>
    <col min="1802" max="1802" width="13.77734375" style="157" bestFit="1" customWidth="1"/>
    <col min="1803" max="1803" width="2" style="157" customWidth="1"/>
    <col min="1804" max="1804" width="8.77734375" style="157"/>
    <col min="1805" max="1805" width="2.21875" style="157" customWidth="1"/>
    <col min="1806" max="1806" width="8.77734375" style="157"/>
    <col min="1807" max="1807" width="2" style="157" customWidth="1"/>
    <col min="1808" max="1808" width="13.77734375" style="157" bestFit="1" customWidth="1"/>
    <col min="1809" max="2049" width="8.77734375" style="157"/>
    <col min="2050" max="2050" width="2.77734375" style="157" customWidth="1"/>
    <col min="2051" max="2051" width="2.44140625" style="157" customWidth="1"/>
    <col min="2052" max="2052" width="3.109375" style="157" customWidth="1"/>
    <col min="2053" max="2053" width="2.77734375" style="157" customWidth="1"/>
    <col min="2054" max="2054" width="2.21875" style="157" customWidth="1"/>
    <col min="2055" max="2055" width="2" style="157" customWidth="1"/>
    <col min="2056" max="2056" width="4.21875" style="157" customWidth="1"/>
    <col min="2057" max="2057" width="19" style="157" customWidth="1"/>
    <col min="2058" max="2058" width="13.77734375" style="157" bestFit="1" customWidth="1"/>
    <col min="2059" max="2059" width="2" style="157" customWidth="1"/>
    <col min="2060" max="2060" width="8.77734375" style="157"/>
    <col min="2061" max="2061" width="2.21875" style="157" customWidth="1"/>
    <col min="2062" max="2062" width="8.77734375" style="157"/>
    <col min="2063" max="2063" width="2" style="157" customWidth="1"/>
    <col min="2064" max="2064" width="13.77734375" style="157" bestFit="1" customWidth="1"/>
    <col min="2065" max="2305" width="8.77734375" style="157"/>
    <col min="2306" max="2306" width="2.77734375" style="157" customWidth="1"/>
    <col min="2307" max="2307" width="2.44140625" style="157" customWidth="1"/>
    <col min="2308" max="2308" width="3.109375" style="157" customWidth="1"/>
    <col min="2309" max="2309" width="2.77734375" style="157" customWidth="1"/>
    <col min="2310" max="2310" width="2.21875" style="157" customWidth="1"/>
    <col min="2311" max="2311" width="2" style="157" customWidth="1"/>
    <col min="2312" max="2312" width="4.21875" style="157" customWidth="1"/>
    <col min="2313" max="2313" width="19" style="157" customWidth="1"/>
    <col min="2314" max="2314" width="13.77734375" style="157" bestFit="1" customWidth="1"/>
    <col min="2315" max="2315" width="2" style="157" customWidth="1"/>
    <col min="2316" max="2316" width="8.77734375" style="157"/>
    <col min="2317" max="2317" width="2.21875" style="157" customWidth="1"/>
    <col min="2318" max="2318" width="8.77734375" style="157"/>
    <col min="2319" max="2319" width="2" style="157" customWidth="1"/>
    <col min="2320" max="2320" width="13.77734375" style="157" bestFit="1" customWidth="1"/>
    <col min="2321" max="2561" width="8.77734375" style="157"/>
    <col min="2562" max="2562" width="2.77734375" style="157" customWidth="1"/>
    <col min="2563" max="2563" width="2.44140625" style="157" customWidth="1"/>
    <col min="2564" max="2564" width="3.109375" style="157" customWidth="1"/>
    <col min="2565" max="2565" width="2.77734375" style="157" customWidth="1"/>
    <col min="2566" max="2566" width="2.21875" style="157" customWidth="1"/>
    <col min="2567" max="2567" width="2" style="157" customWidth="1"/>
    <col min="2568" max="2568" width="4.21875" style="157" customWidth="1"/>
    <col min="2569" max="2569" width="19" style="157" customWidth="1"/>
    <col min="2570" max="2570" width="13.77734375" style="157" bestFit="1" customWidth="1"/>
    <col min="2571" max="2571" width="2" style="157" customWidth="1"/>
    <col min="2572" max="2572" width="8.77734375" style="157"/>
    <col min="2573" max="2573" width="2.21875" style="157" customWidth="1"/>
    <col min="2574" max="2574" width="8.77734375" style="157"/>
    <col min="2575" max="2575" width="2" style="157" customWidth="1"/>
    <col min="2576" max="2576" width="13.77734375" style="157" bestFit="1" customWidth="1"/>
    <col min="2577" max="2817" width="8.77734375" style="157"/>
    <col min="2818" max="2818" width="2.77734375" style="157" customWidth="1"/>
    <col min="2819" max="2819" width="2.44140625" style="157" customWidth="1"/>
    <col min="2820" max="2820" width="3.109375" style="157" customWidth="1"/>
    <col min="2821" max="2821" width="2.77734375" style="157" customWidth="1"/>
    <col min="2822" max="2822" width="2.21875" style="157" customWidth="1"/>
    <col min="2823" max="2823" width="2" style="157" customWidth="1"/>
    <col min="2824" max="2824" width="4.21875" style="157" customWidth="1"/>
    <col min="2825" max="2825" width="19" style="157" customWidth="1"/>
    <col min="2826" max="2826" width="13.77734375" style="157" bestFit="1" customWidth="1"/>
    <col min="2827" max="2827" width="2" style="157" customWidth="1"/>
    <col min="2828" max="2828" width="8.77734375" style="157"/>
    <col min="2829" max="2829" width="2.21875" style="157" customWidth="1"/>
    <col min="2830" max="2830" width="8.77734375" style="157"/>
    <col min="2831" max="2831" width="2" style="157" customWidth="1"/>
    <col min="2832" max="2832" width="13.77734375" style="157" bestFit="1" customWidth="1"/>
    <col min="2833" max="3073" width="8.77734375" style="157"/>
    <col min="3074" max="3074" width="2.77734375" style="157" customWidth="1"/>
    <col min="3075" max="3075" width="2.44140625" style="157" customWidth="1"/>
    <col min="3076" max="3076" width="3.109375" style="157" customWidth="1"/>
    <col min="3077" max="3077" width="2.77734375" style="157" customWidth="1"/>
    <col min="3078" max="3078" width="2.21875" style="157" customWidth="1"/>
    <col min="3079" max="3079" width="2" style="157" customWidth="1"/>
    <col min="3080" max="3080" width="4.21875" style="157" customWidth="1"/>
    <col min="3081" max="3081" width="19" style="157" customWidth="1"/>
    <col min="3082" max="3082" width="13.77734375" style="157" bestFit="1" customWidth="1"/>
    <col min="3083" max="3083" width="2" style="157" customWidth="1"/>
    <col min="3084" max="3084" width="8.77734375" style="157"/>
    <col min="3085" max="3085" width="2.21875" style="157" customWidth="1"/>
    <col min="3086" max="3086" width="8.77734375" style="157"/>
    <col min="3087" max="3087" width="2" style="157" customWidth="1"/>
    <col min="3088" max="3088" width="13.77734375" style="157" bestFit="1" customWidth="1"/>
    <col min="3089" max="3329" width="8.77734375" style="157"/>
    <col min="3330" max="3330" width="2.77734375" style="157" customWidth="1"/>
    <col min="3331" max="3331" width="2.44140625" style="157" customWidth="1"/>
    <col min="3332" max="3332" width="3.109375" style="157" customWidth="1"/>
    <col min="3333" max="3333" width="2.77734375" style="157" customWidth="1"/>
    <col min="3334" max="3334" width="2.21875" style="157" customWidth="1"/>
    <col min="3335" max="3335" width="2" style="157" customWidth="1"/>
    <col min="3336" max="3336" width="4.21875" style="157" customWidth="1"/>
    <col min="3337" max="3337" width="19" style="157" customWidth="1"/>
    <col min="3338" max="3338" width="13.77734375" style="157" bestFit="1" customWidth="1"/>
    <col min="3339" max="3339" width="2" style="157" customWidth="1"/>
    <col min="3340" max="3340" width="8.77734375" style="157"/>
    <col min="3341" max="3341" width="2.21875" style="157" customWidth="1"/>
    <col min="3342" max="3342" width="8.77734375" style="157"/>
    <col min="3343" max="3343" width="2" style="157" customWidth="1"/>
    <col min="3344" max="3344" width="13.77734375" style="157" bestFit="1" customWidth="1"/>
    <col min="3345" max="3585" width="8.77734375" style="157"/>
    <col min="3586" max="3586" width="2.77734375" style="157" customWidth="1"/>
    <col min="3587" max="3587" width="2.44140625" style="157" customWidth="1"/>
    <col min="3588" max="3588" width="3.109375" style="157" customWidth="1"/>
    <col min="3589" max="3589" width="2.77734375" style="157" customWidth="1"/>
    <col min="3590" max="3590" width="2.21875" style="157" customWidth="1"/>
    <col min="3591" max="3591" width="2" style="157" customWidth="1"/>
    <col min="3592" max="3592" width="4.21875" style="157" customWidth="1"/>
    <col min="3593" max="3593" width="19" style="157" customWidth="1"/>
    <col min="3594" max="3594" width="13.77734375" style="157" bestFit="1" customWidth="1"/>
    <col min="3595" max="3595" width="2" style="157" customWidth="1"/>
    <col min="3596" max="3596" width="8.77734375" style="157"/>
    <col min="3597" max="3597" width="2.21875" style="157" customWidth="1"/>
    <col min="3598" max="3598" width="8.77734375" style="157"/>
    <col min="3599" max="3599" width="2" style="157" customWidth="1"/>
    <col min="3600" max="3600" width="13.77734375" style="157" bestFit="1" customWidth="1"/>
    <col min="3601" max="3841" width="8.77734375" style="157"/>
    <col min="3842" max="3842" width="2.77734375" style="157" customWidth="1"/>
    <col min="3843" max="3843" width="2.44140625" style="157" customWidth="1"/>
    <col min="3844" max="3844" width="3.109375" style="157" customWidth="1"/>
    <col min="3845" max="3845" width="2.77734375" style="157" customWidth="1"/>
    <col min="3846" max="3846" width="2.21875" style="157" customWidth="1"/>
    <col min="3847" max="3847" width="2" style="157" customWidth="1"/>
    <col min="3848" max="3848" width="4.21875" style="157" customWidth="1"/>
    <col min="3849" max="3849" width="19" style="157" customWidth="1"/>
    <col min="3850" max="3850" width="13.77734375" style="157" bestFit="1" customWidth="1"/>
    <col min="3851" max="3851" width="2" style="157" customWidth="1"/>
    <col min="3852" max="3852" width="8.77734375" style="157"/>
    <col min="3853" max="3853" width="2.21875" style="157" customWidth="1"/>
    <col min="3854" max="3854" width="8.77734375" style="157"/>
    <col min="3855" max="3855" width="2" style="157" customWidth="1"/>
    <col min="3856" max="3856" width="13.77734375" style="157" bestFit="1" customWidth="1"/>
    <col min="3857" max="4097" width="8.77734375" style="157"/>
    <col min="4098" max="4098" width="2.77734375" style="157" customWidth="1"/>
    <col min="4099" max="4099" width="2.44140625" style="157" customWidth="1"/>
    <col min="4100" max="4100" width="3.109375" style="157" customWidth="1"/>
    <col min="4101" max="4101" width="2.77734375" style="157" customWidth="1"/>
    <col min="4102" max="4102" width="2.21875" style="157" customWidth="1"/>
    <col min="4103" max="4103" width="2" style="157" customWidth="1"/>
    <col min="4104" max="4104" width="4.21875" style="157" customWidth="1"/>
    <col min="4105" max="4105" width="19" style="157" customWidth="1"/>
    <col min="4106" max="4106" width="13.77734375" style="157" bestFit="1" customWidth="1"/>
    <col min="4107" max="4107" width="2" style="157" customWidth="1"/>
    <col min="4108" max="4108" width="8.77734375" style="157"/>
    <col min="4109" max="4109" width="2.21875" style="157" customWidth="1"/>
    <col min="4110" max="4110" width="8.77734375" style="157"/>
    <col min="4111" max="4111" width="2" style="157" customWidth="1"/>
    <col min="4112" max="4112" width="13.77734375" style="157" bestFit="1" customWidth="1"/>
    <col min="4113" max="4353" width="8.77734375" style="157"/>
    <col min="4354" max="4354" width="2.77734375" style="157" customWidth="1"/>
    <col min="4355" max="4355" width="2.44140625" style="157" customWidth="1"/>
    <col min="4356" max="4356" width="3.109375" style="157" customWidth="1"/>
    <col min="4357" max="4357" width="2.77734375" style="157" customWidth="1"/>
    <col min="4358" max="4358" width="2.21875" style="157" customWidth="1"/>
    <col min="4359" max="4359" width="2" style="157" customWidth="1"/>
    <col min="4360" max="4360" width="4.21875" style="157" customWidth="1"/>
    <col min="4361" max="4361" width="19" style="157" customWidth="1"/>
    <col min="4362" max="4362" width="13.77734375" style="157" bestFit="1" customWidth="1"/>
    <col min="4363" max="4363" width="2" style="157" customWidth="1"/>
    <col min="4364" max="4364" width="8.77734375" style="157"/>
    <col min="4365" max="4365" width="2.21875" style="157" customWidth="1"/>
    <col min="4366" max="4366" width="8.77734375" style="157"/>
    <col min="4367" max="4367" width="2" style="157" customWidth="1"/>
    <col min="4368" max="4368" width="13.77734375" style="157" bestFit="1" customWidth="1"/>
    <col min="4369" max="4609" width="8.77734375" style="157"/>
    <col min="4610" max="4610" width="2.77734375" style="157" customWidth="1"/>
    <col min="4611" max="4611" width="2.44140625" style="157" customWidth="1"/>
    <col min="4612" max="4612" width="3.109375" style="157" customWidth="1"/>
    <col min="4613" max="4613" width="2.77734375" style="157" customWidth="1"/>
    <col min="4614" max="4614" width="2.21875" style="157" customWidth="1"/>
    <col min="4615" max="4615" width="2" style="157" customWidth="1"/>
    <col min="4616" max="4616" width="4.21875" style="157" customWidth="1"/>
    <col min="4617" max="4617" width="19" style="157" customWidth="1"/>
    <col min="4618" max="4618" width="13.77734375" style="157" bestFit="1" customWidth="1"/>
    <col min="4619" max="4619" width="2" style="157" customWidth="1"/>
    <col min="4620" max="4620" width="8.77734375" style="157"/>
    <col min="4621" max="4621" width="2.21875" style="157" customWidth="1"/>
    <col min="4622" max="4622" width="8.77734375" style="157"/>
    <col min="4623" max="4623" width="2" style="157" customWidth="1"/>
    <col min="4624" max="4624" width="13.77734375" style="157" bestFit="1" customWidth="1"/>
    <col min="4625" max="4865" width="8.77734375" style="157"/>
    <col min="4866" max="4866" width="2.77734375" style="157" customWidth="1"/>
    <col min="4867" max="4867" width="2.44140625" style="157" customWidth="1"/>
    <col min="4868" max="4868" width="3.109375" style="157" customWidth="1"/>
    <col min="4869" max="4869" width="2.77734375" style="157" customWidth="1"/>
    <col min="4870" max="4870" width="2.21875" style="157" customWidth="1"/>
    <col min="4871" max="4871" width="2" style="157" customWidth="1"/>
    <col min="4872" max="4872" width="4.21875" style="157" customWidth="1"/>
    <col min="4873" max="4873" width="19" style="157" customWidth="1"/>
    <col min="4874" max="4874" width="13.77734375" style="157" bestFit="1" customWidth="1"/>
    <col min="4875" max="4875" width="2" style="157" customWidth="1"/>
    <col min="4876" max="4876" width="8.77734375" style="157"/>
    <col min="4877" max="4877" width="2.21875" style="157" customWidth="1"/>
    <col min="4878" max="4878" width="8.77734375" style="157"/>
    <col min="4879" max="4879" width="2" style="157" customWidth="1"/>
    <col min="4880" max="4880" width="13.77734375" style="157" bestFit="1" customWidth="1"/>
    <col min="4881" max="5121" width="8.77734375" style="157"/>
    <col min="5122" max="5122" width="2.77734375" style="157" customWidth="1"/>
    <col min="5123" max="5123" width="2.44140625" style="157" customWidth="1"/>
    <col min="5124" max="5124" width="3.109375" style="157" customWidth="1"/>
    <col min="5125" max="5125" width="2.77734375" style="157" customWidth="1"/>
    <col min="5126" max="5126" width="2.21875" style="157" customWidth="1"/>
    <col min="5127" max="5127" width="2" style="157" customWidth="1"/>
    <col min="5128" max="5128" width="4.21875" style="157" customWidth="1"/>
    <col min="5129" max="5129" width="19" style="157" customWidth="1"/>
    <col min="5130" max="5130" width="13.77734375" style="157" bestFit="1" customWidth="1"/>
    <col min="5131" max="5131" width="2" style="157" customWidth="1"/>
    <col min="5132" max="5132" width="8.77734375" style="157"/>
    <col min="5133" max="5133" width="2.21875" style="157" customWidth="1"/>
    <col min="5134" max="5134" width="8.77734375" style="157"/>
    <col min="5135" max="5135" width="2" style="157" customWidth="1"/>
    <col min="5136" max="5136" width="13.77734375" style="157" bestFit="1" customWidth="1"/>
    <col min="5137" max="5377" width="8.77734375" style="157"/>
    <col min="5378" max="5378" width="2.77734375" style="157" customWidth="1"/>
    <col min="5379" max="5379" width="2.44140625" style="157" customWidth="1"/>
    <col min="5380" max="5380" width="3.109375" style="157" customWidth="1"/>
    <col min="5381" max="5381" width="2.77734375" style="157" customWidth="1"/>
    <col min="5382" max="5382" width="2.21875" style="157" customWidth="1"/>
    <col min="5383" max="5383" width="2" style="157" customWidth="1"/>
    <col min="5384" max="5384" width="4.21875" style="157" customWidth="1"/>
    <col min="5385" max="5385" width="19" style="157" customWidth="1"/>
    <col min="5386" max="5386" width="13.77734375" style="157" bestFit="1" customWidth="1"/>
    <col min="5387" max="5387" width="2" style="157" customWidth="1"/>
    <col min="5388" max="5388" width="8.77734375" style="157"/>
    <col min="5389" max="5389" width="2.21875" style="157" customWidth="1"/>
    <col min="5390" max="5390" width="8.77734375" style="157"/>
    <col min="5391" max="5391" width="2" style="157" customWidth="1"/>
    <col min="5392" max="5392" width="13.77734375" style="157" bestFit="1" customWidth="1"/>
    <col min="5393" max="5633" width="8.77734375" style="157"/>
    <col min="5634" max="5634" width="2.77734375" style="157" customWidth="1"/>
    <col min="5635" max="5635" width="2.44140625" style="157" customWidth="1"/>
    <col min="5636" max="5636" width="3.109375" style="157" customWidth="1"/>
    <col min="5637" max="5637" width="2.77734375" style="157" customWidth="1"/>
    <col min="5638" max="5638" width="2.21875" style="157" customWidth="1"/>
    <col min="5639" max="5639" width="2" style="157" customWidth="1"/>
    <col min="5640" max="5640" width="4.21875" style="157" customWidth="1"/>
    <col min="5641" max="5641" width="19" style="157" customWidth="1"/>
    <col min="5642" max="5642" width="13.77734375" style="157" bestFit="1" customWidth="1"/>
    <col min="5643" max="5643" width="2" style="157" customWidth="1"/>
    <col min="5644" max="5644" width="8.77734375" style="157"/>
    <col min="5645" max="5645" width="2.21875" style="157" customWidth="1"/>
    <col min="5646" max="5646" width="8.77734375" style="157"/>
    <col min="5647" max="5647" width="2" style="157" customWidth="1"/>
    <col min="5648" max="5648" width="13.77734375" style="157" bestFit="1" customWidth="1"/>
    <col min="5649" max="5889" width="8.77734375" style="157"/>
    <col min="5890" max="5890" width="2.77734375" style="157" customWidth="1"/>
    <col min="5891" max="5891" width="2.44140625" style="157" customWidth="1"/>
    <col min="5892" max="5892" width="3.109375" style="157" customWidth="1"/>
    <col min="5893" max="5893" width="2.77734375" style="157" customWidth="1"/>
    <col min="5894" max="5894" width="2.21875" style="157" customWidth="1"/>
    <col min="5895" max="5895" width="2" style="157" customWidth="1"/>
    <col min="5896" max="5896" width="4.21875" style="157" customWidth="1"/>
    <col min="5897" max="5897" width="19" style="157" customWidth="1"/>
    <col min="5898" max="5898" width="13.77734375" style="157" bestFit="1" customWidth="1"/>
    <col min="5899" max="5899" width="2" style="157" customWidth="1"/>
    <col min="5900" max="5900" width="8.77734375" style="157"/>
    <col min="5901" max="5901" width="2.21875" style="157" customWidth="1"/>
    <col min="5902" max="5902" width="8.77734375" style="157"/>
    <col min="5903" max="5903" width="2" style="157" customWidth="1"/>
    <col min="5904" max="5904" width="13.77734375" style="157" bestFit="1" customWidth="1"/>
    <col min="5905" max="6145" width="8.77734375" style="157"/>
    <col min="6146" max="6146" width="2.77734375" style="157" customWidth="1"/>
    <col min="6147" max="6147" width="2.44140625" style="157" customWidth="1"/>
    <col min="6148" max="6148" width="3.109375" style="157" customWidth="1"/>
    <col min="6149" max="6149" width="2.77734375" style="157" customWidth="1"/>
    <col min="6150" max="6150" width="2.21875" style="157" customWidth="1"/>
    <col min="6151" max="6151" width="2" style="157" customWidth="1"/>
    <col min="6152" max="6152" width="4.21875" style="157" customWidth="1"/>
    <col min="6153" max="6153" width="19" style="157" customWidth="1"/>
    <col min="6154" max="6154" width="13.77734375" style="157" bestFit="1" customWidth="1"/>
    <col min="6155" max="6155" width="2" style="157" customWidth="1"/>
    <col min="6156" max="6156" width="8.77734375" style="157"/>
    <col min="6157" max="6157" width="2.21875" style="157" customWidth="1"/>
    <col min="6158" max="6158" width="8.77734375" style="157"/>
    <col min="6159" max="6159" width="2" style="157" customWidth="1"/>
    <col min="6160" max="6160" width="13.77734375" style="157" bestFit="1" customWidth="1"/>
    <col min="6161" max="6401" width="8.77734375" style="157"/>
    <col min="6402" max="6402" width="2.77734375" style="157" customWidth="1"/>
    <col min="6403" max="6403" width="2.44140625" style="157" customWidth="1"/>
    <col min="6404" max="6404" width="3.109375" style="157" customWidth="1"/>
    <col min="6405" max="6405" width="2.77734375" style="157" customWidth="1"/>
    <col min="6406" max="6406" width="2.21875" style="157" customWidth="1"/>
    <col min="6407" max="6407" width="2" style="157" customWidth="1"/>
    <col min="6408" max="6408" width="4.21875" style="157" customWidth="1"/>
    <col min="6409" max="6409" width="19" style="157" customWidth="1"/>
    <col min="6410" max="6410" width="13.77734375" style="157" bestFit="1" customWidth="1"/>
    <col min="6411" max="6411" width="2" style="157" customWidth="1"/>
    <col min="6412" max="6412" width="8.77734375" style="157"/>
    <col min="6413" max="6413" width="2.21875" style="157" customWidth="1"/>
    <col min="6414" max="6414" width="8.77734375" style="157"/>
    <col min="6415" max="6415" width="2" style="157" customWidth="1"/>
    <col min="6416" max="6416" width="13.77734375" style="157" bestFit="1" customWidth="1"/>
    <col min="6417" max="6657" width="8.77734375" style="157"/>
    <col min="6658" max="6658" width="2.77734375" style="157" customWidth="1"/>
    <col min="6659" max="6659" width="2.44140625" style="157" customWidth="1"/>
    <col min="6660" max="6660" width="3.109375" style="157" customWidth="1"/>
    <col min="6661" max="6661" width="2.77734375" style="157" customWidth="1"/>
    <col min="6662" max="6662" width="2.21875" style="157" customWidth="1"/>
    <col min="6663" max="6663" width="2" style="157" customWidth="1"/>
    <col min="6664" max="6664" width="4.21875" style="157" customWidth="1"/>
    <col min="6665" max="6665" width="19" style="157" customWidth="1"/>
    <col min="6666" max="6666" width="13.77734375" style="157" bestFit="1" customWidth="1"/>
    <col min="6667" max="6667" width="2" style="157" customWidth="1"/>
    <col min="6668" max="6668" width="8.77734375" style="157"/>
    <col min="6669" max="6669" width="2.21875" style="157" customWidth="1"/>
    <col min="6670" max="6670" width="8.77734375" style="157"/>
    <col min="6671" max="6671" width="2" style="157" customWidth="1"/>
    <col min="6672" max="6672" width="13.77734375" style="157" bestFit="1" customWidth="1"/>
    <col min="6673" max="6913" width="8.77734375" style="157"/>
    <col min="6914" max="6914" width="2.77734375" style="157" customWidth="1"/>
    <col min="6915" max="6915" width="2.44140625" style="157" customWidth="1"/>
    <col min="6916" max="6916" width="3.109375" style="157" customWidth="1"/>
    <col min="6917" max="6917" width="2.77734375" style="157" customWidth="1"/>
    <col min="6918" max="6918" width="2.21875" style="157" customWidth="1"/>
    <col min="6919" max="6919" width="2" style="157" customWidth="1"/>
    <col min="6920" max="6920" width="4.21875" style="157" customWidth="1"/>
    <col min="6921" max="6921" width="19" style="157" customWidth="1"/>
    <col min="6922" max="6922" width="13.77734375" style="157" bestFit="1" customWidth="1"/>
    <col min="6923" max="6923" width="2" style="157" customWidth="1"/>
    <col min="6924" max="6924" width="8.77734375" style="157"/>
    <col min="6925" max="6925" width="2.21875" style="157" customWidth="1"/>
    <col min="6926" max="6926" width="8.77734375" style="157"/>
    <col min="6927" max="6927" width="2" style="157" customWidth="1"/>
    <col min="6928" max="6928" width="13.77734375" style="157" bestFit="1" customWidth="1"/>
    <col min="6929" max="7169" width="8.77734375" style="157"/>
    <col min="7170" max="7170" width="2.77734375" style="157" customWidth="1"/>
    <col min="7171" max="7171" width="2.44140625" style="157" customWidth="1"/>
    <col min="7172" max="7172" width="3.109375" style="157" customWidth="1"/>
    <col min="7173" max="7173" width="2.77734375" style="157" customWidth="1"/>
    <col min="7174" max="7174" width="2.21875" style="157" customWidth="1"/>
    <col min="7175" max="7175" width="2" style="157" customWidth="1"/>
    <col min="7176" max="7176" width="4.21875" style="157" customWidth="1"/>
    <col min="7177" max="7177" width="19" style="157" customWidth="1"/>
    <col min="7178" max="7178" width="13.77734375" style="157" bestFit="1" customWidth="1"/>
    <col min="7179" max="7179" width="2" style="157" customWidth="1"/>
    <col min="7180" max="7180" width="8.77734375" style="157"/>
    <col min="7181" max="7181" width="2.21875" style="157" customWidth="1"/>
    <col min="7182" max="7182" width="8.77734375" style="157"/>
    <col min="7183" max="7183" width="2" style="157" customWidth="1"/>
    <col min="7184" max="7184" width="13.77734375" style="157" bestFit="1" customWidth="1"/>
    <col min="7185" max="7425" width="8.77734375" style="157"/>
    <col min="7426" max="7426" width="2.77734375" style="157" customWidth="1"/>
    <col min="7427" max="7427" width="2.44140625" style="157" customWidth="1"/>
    <col min="7428" max="7428" width="3.109375" style="157" customWidth="1"/>
    <col min="7429" max="7429" width="2.77734375" style="157" customWidth="1"/>
    <col min="7430" max="7430" width="2.21875" style="157" customWidth="1"/>
    <col min="7431" max="7431" width="2" style="157" customWidth="1"/>
    <col min="7432" max="7432" width="4.21875" style="157" customWidth="1"/>
    <col min="7433" max="7433" width="19" style="157" customWidth="1"/>
    <col min="7434" max="7434" width="13.77734375" style="157" bestFit="1" customWidth="1"/>
    <col min="7435" max="7435" width="2" style="157" customWidth="1"/>
    <col min="7436" max="7436" width="8.77734375" style="157"/>
    <col min="7437" max="7437" width="2.21875" style="157" customWidth="1"/>
    <col min="7438" max="7438" width="8.77734375" style="157"/>
    <col min="7439" max="7439" width="2" style="157" customWidth="1"/>
    <col min="7440" max="7440" width="13.77734375" style="157" bestFit="1" customWidth="1"/>
    <col min="7441" max="7681" width="8.77734375" style="157"/>
    <col min="7682" max="7682" width="2.77734375" style="157" customWidth="1"/>
    <col min="7683" max="7683" width="2.44140625" style="157" customWidth="1"/>
    <col min="7684" max="7684" width="3.109375" style="157" customWidth="1"/>
    <col min="7685" max="7685" width="2.77734375" style="157" customWidth="1"/>
    <col min="7686" max="7686" width="2.21875" style="157" customWidth="1"/>
    <col min="7687" max="7687" width="2" style="157" customWidth="1"/>
    <col min="7688" max="7688" width="4.21875" style="157" customWidth="1"/>
    <col min="7689" max="7689" width="19" style="157" customWidth="1"/>
    <col min="7690" max="7690" width="13.77734375" style="157" bestFit="1" customWidth="1"/>
    <col min="7691" max="7691" width="2" style="157" customWidth="1"/>
    <col min="7692" max="7692" width="8.77734375" style="157"/>
    <col min="7693" max="7693" width="2.21875" style="157" customWidth="1"/>
    <col min="7694" max="7694" width="8.77734375" style="157"/>
    <col min="7695" max="7695" width="2" style="157" customWidth="1"/>
    <col min="7696" max="7696" width="13.77734375" style="157" bestFit="1" customWidth="1"/>
    <col min="7697" max="7937" width="8.77734375" style="157"/>
    <col min="7938" max="7938" width="2.77734375" style="157" customWidth="1"/>
    <col min="7939" max="7939" width="2.44140625" style="157" customWidth="1"/>
    <col min="7940" max="7940" width="3.109375" style="157" customWidth="1"/>
    <col min="7941" max="7941" width="2.77734375" style="157" customWidth="1"/>
    <col min="7942" max="7942" width="2.21875" style="157" customWidth="1"/>
    <col min="7943" max="7943" width="2" style="157" customWidth="1"/>
    <col min="7944" max="7944" width="4.21875" style="157" customWidth="1"/>
    <col min="7945" max="7945" width="19" style="157" customWidth="1"/>
    <col min="7946" max="7946" width="13.77734375" style="157" bestFit="1" customWidth="1"/>
    <col min="7947" max="7947" width="2" style="157" customWidth="1"/>
    <col min="7948" max="7948" width="8.77734375" style="157"/>
    <col min="7949" max="7949" width="2.21875" style="157" customWidth="1"/>
    <col min="7950" max="7950" width="8.77734375" style="157"/>
    <col min="7951" max="7951" width="2" style="157" customWidth="1"/>
    <col min="7952" max="7952" width="13.77734375" style="157" bestFit="1" customWidth="1"/>
    <col min="7953" max="8193" width="8.77734375" style="157"/>
    <col min="8194" max="8194" width="2.77734375" style="157" customWidth="1"/>
    <col min="8195" max="8195" width="2.44140625" style="157" customWidth="1"/>
    <col min="8196" max="8196" width="3.109375" style="157" customWidth="1"/>
    <col min="8197" max="8197" width="2.77734375" style="157" customWidth="1"/>
    <col min="8198" max="8198" width="2.21875" style="157" customWidth="1"/>
    <col min="8199" max="8199" width="2" style="157" customWidth="1"/>
    <col min="8200" max="8200" width="4.21875" style="157" customWidth="1"/>
    <col min="8201" max="8201" width="19" style="157" customWidth="1"/>
    <col min="8202" max="8202" width="13.77734375" style="157" bestFit="1" customWidth="1"/>
    <col min="8203" max="8203" width="2" style="157" customWidth="1"/>
    <col min="8204" max="8204" width="8.77734375" style="157"/>
    <col min="8205" max="8205" width="2.21875" style="157" customWidth="1"/>
    <col min="8206" max="8206" width="8.77734375" style="157"/>
    <col min="8207" max="8207" width="2" style="157" customWidth="1"/>
    <col min="8208" max="8208" width="13.77734375" style="157" bestFit="1" customWidth="1"/>
    <col min="8209" max="8449" width="8.77734375" style="157"/>
    <col min="8450" max="8450" width="2.77734375" style="157" customWidth="1"/>
    <col min="8451" max="8451" width="2.44140625" style="157" customWidth="1"/>
    <col min="8452" max="8452" width="3.109375" style="157" customWidth="1"/>
    <col min="8453" max="8453" width="2.77734375" style="157" customWidth="1"/>
    <col min="8454" max="8454" width="2.21875" style="157" customWidth="1"/>
    <col min="8455" max="8455" width="2" style="157" customWidth="1"/>
    <col min="8456" max="8456" width="4.21875" style="157" customWidth="1"/>
    <col min="8457" max="8457" width="19" style="157" customWidth="1"/>
    <col min="8458" max="8458" width="13.77734375" style="157" bestFit="1" customWidth="1"/>
    <col min="8459" max="8459" width="2" style="157" customWidth="1"/>
    <col min="8460" max="8460" width="8.77734375" style="157"/>
    <col min="8461" max="8461" width="2.21875" style="157" customWidth="1"/>
    <col min="8462" max="8462" width="8.77734375" style="157"/>
    <col min="8463" max="8463" width="2" style="157" customWidth="1"/>
    <col min="8464" max="8464" width="13.77734375" style="157" bestFit="1" customWidth="1"/>
    <col min="8465" max="8705" width="8.77734375" style="157"/>
    <col min="8706" max="8706" width="2.77734375" style="157" customWidth="1"/>
    <col min="8707" max="8707" width="2.44140625" style="157" customWidth="1"/>
    <col min="8708" max="8708" width="3.109375" style="157" customWidth="1"/>
    <col min="8709" max="8709" width="2.77734375" style="157" customWidth="1"/>
    <col min="8710" max="8710" width="2.21875" style="157" customWidth="1"/>
    <col min="8711" max="8711" width="2" style="157" customWidth="1"/>
    <col min="8712" max="8712" width="4.21875" style="157" customWidth="1"/>
    <col min="8713" max="8713" width="19" style="157" customWidth="1"/>
    <col min="8714" max="8714" width="13.77734375" style="157" bestFit="1" customWidth="1"/>
    <col min="8715" max="8715" width="2" style="157" customWidth="1"/>
    <col min="8716" max="8716" width="8.77734375" style="157"/>
    <col min="8717" max="8717" width="2.21875" style="157" customWidth="1"/>
    <col min="8718" max="8718" width="8.77734375" style="157"/>
    <col min="8719" max="8719" width="2" style="157" customWidth="1"/>
    <col min="8720" max="8720" width="13.77734375" style="157" bestFit="1" customWidth="1"/>
    <col min="8721" max="8961" width="8.77734375" style="157"/>
    <col min="8962" max="8962" width="2.77734375" style="157" customWidth="1"/>
    <col min="8963" max="8963" width="2.44140625" style="157" customWidth="1"/>
    <col min="8964" max="8964" width="3.109375" style="157" customWidth="1"/>
    <col min="8965" max="8965" width="2.77734375" style="157" customWidth="1"/>
    <col min="8966" max="8966" width="2.21875" style="157" customWidth="1"/>
    <col min="8967" max="8967" width="2" style="157" customWidth="1"/>
    <col min="8968" max="8968" width="4.21875" style="157" customWidth="1"/>
    <col min="8969" max="8969" width="19" style="157" customWidth="1"/>
    <col min="8970" max="8970" width="13.77734375" style="157" bestFit="1" customWidth="1"/>
    <col min="8971" max="8971" width="2" style="157" customWidth="1"/>
    <col min="8972" max="8972" width="8.77734375" style="157"/>
    <col min="8973" max="8973" width="2.21875" style="157" customWidth="1"/>
    <col min="8974" max="8974" width="8.77734375" style="157"/>
    <col min="8975" max="8975" width="2" style="157" customWidth="1"/>
    <col min="8976" max="8976" width="13.77734375" style="157" bestFit="1" customWidth="1"/>
    <col min="8977" max="9217" width="8.77734375" style="157"/>
    <col min="9218" max="9218" width="2.77734375" style="157" customWidth="1"/>
    <col min="9219" max="9219" width="2.44140625" style="157" customWidth="1"/>
    <col min="9220" max="9220" width="3.109375" style="157" customWidth="1"/>
    <col min="9221" max="9221" width="2.77734375" style="157" customWidth="1"/>
    <col min="9222" max="9222" width="2.21875" style="157" customWidth="1"/>
    <col min="9223" max="9223" width="2" style="157" customWidth="1"/>
    <col min="9224" max="9224" width="4.21875" style="157" customWidth="1"/>
    <col min="9225" max="9225" width="19" style="157" customWidth="1"/>
    <col min="9226" max="9226" width="13.77734375" style="157" bestFit="1" customWidth="1"/>
    <col min="9227" max="9227" width="2" style="157" customWidth="1"/>
    <col min="9228" max="9228" width="8.77734375" style="157"/>
    <col min="9229" max="9229" width="2.21875" style="157" customWidth="1"/>
    <col min="9230" max="9230" width="8.77734375" style="157"/>
    <col min="9231" max="9231" width="2" style="157" customWidth="1"/>
    <col min="9232" max="9232" width="13.77734375" style="157" bestFit="1" customWidth="1"/>
    <col min="9233" max="9473" width="8.77734375" style="157"/>
    <col min="9474" max="9474" width="2.77734375" style="157" customWidth="1"/>
    <col min="9475" max="9475" width="2.44140625" style="157" customWidth="1"/>
    <col min="9476" max="9476" width="3.109375" style="157" customWidth="1"/>
    <col min="9477" max="9477" width="2.77734375" style="157" customWidth="1"/>
    <col min="9478" max="9478" width="2.21875" style="157" customWidth="1"/>
    <col min="9479" max="9479" width="2" style="157" customWidth="1"/>
    <col min="9480" max="9480" width="4.21875" style="157" customWidth="1"/>
    <col min="9481" max="9481" width="19" style="157" customWidth="1"/>
    <col min="9482" max="9482" width="13.77734375" style="157" bestFit="1" customWidth="1"/>
    <col min="9483" max="9483" width="2" style="157" customWidth="1"/>
    <col min="9484" max="9484" width="8.77734375" style="157"/>
    <col min="9485" max="9485" width="2.21875" style="157" customWidth="1"/>
    <col min="9486" max="9486" width="8.77734375" style="157"/>
    <col min="9487" max="9487" width="2" style="157" customWidth="1"/>
    <col min="9488" max="9488" width="13.77734375" style="157" bestFit="1" customWidth="1"/>
    <col min="9489" max="9729" width="8.77734375" style="157"/>
    <col min="9730" max="9730" width="2.77734375" style="157" customWidth="1"/>
    <col min="9731" max="9731" width="2.44140625" style="157" customWidth="1"/>
    <col min="9732" max="9732" width="3.109375" style="157" customWidth="1"/>
    <col min="9733" max="9733" width="2.77734375" style="157" customWidth="1"/>
    <col min="9734" max="9734" width="2.21875" style="157" customWidth="1"/>
    <col min="9735" max="9735" width="2" style="157" customWidth="1"/>
    <col min="9736" max="9736" width="4.21875" style="157" customWidth="1"/>
    <col min="9737" max="9737" width="19" style="157" customWidth="1"/>
    <col min="9738" max="9738" width="13.77734375" style="157" bestFit="1" customWidth="1"/>
    <col min="9739" max="9739" width="2" style="157" customWidth="1"/>
    <col min="9740" max="9740" width="8.77734375" style="157"/>
    <col min="9741" max="9741" width="2.21875" style="157" customWidth="1"/>
    <col min="9742" max="9742" width="8.77734375" style="157"/>
    <col min="9743" max="9743" width="2" style="157" customWidth="1"/>
    <col min="9744" max="9744" width="13.77734375" style="157" bestFit="1" customWidth="1"/>
    <col min="9745" max="9985" width="8.77734375" style="157"/>
    <col min="9986" max="9986" width="2.77734375" style="157" customWidth="1"/>
    <col min="9987" max="9987" width="2.44140625" style="157" customWidth="1"/>
    <col min="9988" max="9988" width="3.109375" style="157" customWidth="1"/>
    <col min="9989" max="9989" width="2.77734375" style="157" customWidth="1"/>
    <col min="9990" max="9990" width="2.21875" style="157" customWidth="1"/>
    <col min="9991" max="9991" width="2" style="157" customWidth="1"/>
    <col min="9992" max="9992" width="4.21875" style="157" customWidth="1"/>
    <col min="9993" max="9993" width="19" style="157" customWidth="1"/>
    <col min="9994" max="9994" width="13.77734375" style="157" bestFit="1" customWidth="1"/>
    <col min="9995" max="9995" width="2" style="157" customWidth="1"/>
    <col min="9996" max="9996" width="8.77734375" style="157"/>
    <col min="9997" max="9997" width="2.21875" style="157" customWidth="1"/>
    <col min="9998" max="9998" width="8.77734375" style="157"/>
    <col min="9999" max="9999" width="2" style="157" customWidth="1"/>
    <col min="10000" max="10000" width="13.77734375" style="157" bestFit="1" customWidth="1"/>
    <col min="10001" max="10241" width="8.77734375" style="157"/>
    <col min="10242" max="10242" width="2.77734375" style="157" customWidth="1"/>
    <col min="10243" max="10243" width="2.44140625" style="157" customWidth="1"/>
    <col min="10244" max="10244" width="3.109375" style="157" customWidth="1"/>
    <col min="10245" max="10245" width="2.77734375" style="157" customWidth="1"/>
    <col min="10246" max="10246" width="2.21875" style="157" customWidth="1"/>
    <col min="10247" max="10247" width="2" style="157" customWidth="1"/>
    <col min="10248" max="10248" width="4.21875" style="157" customWidth="1"/>
    <col min="10249" max="10249" width="19" style="157" customWidth="1"/>
    <col min="10250" max="10250" width="13.77734375" style="157" bestFit="1" customWidth="1"/>
    <col min="10251" max="10251" width="2" style="157" customWidth="1"/>
    <col min="10252" max="10252" width="8.77734375" style="157"/>
    <col min="10253" max="10253" width="2.21875" style="157" customWidth="1"/>
    <col min="10254" max="10254" width="8.77734375" style="157"/>
    <col min="10255" max="10255" width="2" style="157" customWidth="1"/>
    <col min="10256" max="10256" width="13.77734375" style="157" bestFit="1" customWidth="1"/>
    <col min="10257" max="10497" width="8.77734375" style="157"/>
    <col min="10498" max="10498" width="2.77734375" style="157" customWidth="1"/>
    <col min="10499" max="10499" width="2.44140625" style="157" customWidth="1"/>
    <col min="10500" max="10500" width="3.109375" style="157" customWidth="1"/>
    <col min="10501" max="10501" width="2.77734375" style="157" customWidth="1"/>
    <col min="10502" max="10502" width="2.21875" style="157" customWidth="1"/>
    <col min="10503" max="10503" width="2" style="157" customWidth="1"/>
    <col min="10504" max="10504" width="4.21875" style="157" customWidth="1"/>
    <col min="10505" max="10505" width="19" style="157" customWidth="1"/>
    <col min="10506" max="10506" width="13.77734375" style="157" bestFit="1" customWidth="1"/>
    <col min="10507" max="10507" width="2" style="157" customWidth="1"/>
    <col min="10508" max="10508" width="8.77734375" style="157"/>
    <col min="10509" max="10509" width="2.21875" style="157" customWidth="1"/>
    <col min="10510" max="10510" width="8.77734375" style="157"/>
    <col min="10511" max="10511" width="2" style="157" customWidth="1"/>
    <col min="10512" max="10512" width="13.77734375" style="157" bestFit="1" customWidth="1"/>
    <col min="10513" max="10753" width="8.77734375" style="157"/>
    <col min="10754" max="10754" width="2.77734375" style="157" customWidth="1"/>
    <col min="10755" max="10755" width="2.44140625" style="157" customWidth="1"/>
    <col min="10756" max="10756" width="3.109375" style="157" customWidth="1"/>
    <col min="10757" max="10757" width="2.77734375" style="157" customWidth="1"/>
    <col min="10758" max="10758" width="2.21875" style="157" customWidth="1"/>
    <col min="10759" max="10759" width="2" style="157" customWidth="1"/>
    <col min="10760" max="10760" width="4.21875" style="157" customWidth="1"/>
    <col min="10761" max="10761" width="19" style="157" customWidth="1"/>
    <col min="10762" max="10762" width="13.77734375" style="157" bestFit="1" customWidth="1"/>
    <col min="10763" max="10763" width="2" style="157" customWidth="1"/>
    <col min="10764" max="10764" width="8.77734375" style="157"/>
    <col min="10765" max="10765" width="2.21875" style="157" customWidth="1"/>
    <col min="10766" max="10766" width="8.77734375" style="157"/>
    <col min="10767" max="10767" width="2" style="157" customWidth="1"/>
    <col min="10768" max="10768" width="13.77734375" style="157" bestFit="1" customWidth="1"/>
    <col min="10769" max="11009" width="8.77734375" style="157"/>
    <col min="11010" max="11010" width="2.77734375" style="157" customWidth="1"/>
    <col min="11011" max="11011" width="2.44140625" style="157" customWidth="1"/>
    <col min="11012" max="11012" width="3.109375" style="157" customWidth="1"/>
    <col min="11013" max="11013" width="2.77734375" style="157" customWidth="1"/>
    <col min="11014" max="11014" width="2.21875" style="157" customWidth="1"/>
    <col min="11015" max="11015" width="2" style="157" customWidth="1"/>
    <col min="11016" max="11016" width="4.21875" style="157" customWidth="1"/>
    <col min="11017" max="11017" width="19" style="157" customWidth="1"/>
    <col min="11018" max="11018" width="13.77734375" style="157" bestFit="1" customWidth="1"/>
    <col min="11019" max="11019" width="2" style="157" customWidth="1"/>
    <col min="11020" max="11020" width="8.77734375" style="157"/>
    <col min="11021" max="11021" width="2.21875" style="157" customWidth="1"/>
    <col min="11022" max="11022" width="8.77734375" style="157"/>
    <col min="11023" max="11023" width="2" style="157" customWidth="1"/>
    <col min="11024" max="11024" width="13.77734375" style="157" bestFit="1" customWidth="1"/>
    <col min="11025" max="11265" width="8.77734375" style="157"/>
    <col min="11266" max="11266" width="2.77734375" style="157" customWidth="1"/>
    <col min="11267" max="11267" width="2.44140625" style="157" customWidth="1"/>
    <col min="11268" max="11268" width="3.109375" style="157" customWidth="1"/>
    <col min="11269" max="11269" width="2.77734375" style="157" customWidth="1"/>
    <col min="11270" max="11270" width="2.21875" style="157" customWidth="1"/>
    <col min="11271" max="11271" width="2" style="157" customWidth="1"/>
    <col min="11272" max="11272" width="4.21875" style="157" customWidth="1"/>
    <col min="11273" max="11273" width="19" style="157" customWidth="1"/>
    <col min="11274" max="11274" width="13.77734375" style="157" bestFit="1" customWidth="1"/>
    <col min="11275" max="11275" width="2" style="157" customWidth="1"/>
    <col min="11276" max="11276" width="8.77734375" style="157"/>
    <col min="11277" max="11277" width="2.21875" style="157" customWidth="1"/>
    <col min="11278" max="11278" width="8.77734375" style="157"/>
    <col min="11279" max="11279" width="2" style="157" customWidth="1"/>
    <col min="11280" max="11280" width="13.77734375" style="157" bestFit="1" customWidth="1"/>
    <col min="11281" max="11521" width="8.77734375" style="157"/>
    <col min="11522" max="11522" width="2.77734375" style="157" customWidth="1"/>
    <col min="11523" max="11523" width="2.44140625" style="157" customWidth="1"/>
    <col min="11524" max="11524" width="3.109375" style="157" customWidth="1"/>
    <col min="11525" max="11525" width="2.77734375" style="157" customWidth="1"/>
    <col min="11526" max="11526" width="2.21875" style="157" customWidth="1"/>
    <col min="11527" max="11527" width="2" style="157" customWidth="1"/>
    <col min="11528" max="11528" width="4.21875" style="157" customWidth="1"/>
    <col min="11529" max="11529" width="19" style="157" customWidth="1"/>
    <col min="11530" max="11530" width="13.77734375" style="157" bestFit="1" customWidth="1"/>
    <col min="11531" max="11531" width="2" style="157" customWidth="1"/>
    <col min="11532" max="11532" width="8.77734375" style="157"/>
    <col min="11533" max="11533" width="2.21875" style="157" customWidth="1"/>
    <col min="11534" max="11534" width="8.77734375" style="157"/>
    <col min="11535" max="11535" width="2" style="157" customWidth="1"/>
    <col min="11536" max="11536" width="13.77734375" style="157" bestFit="1" customWidth="1"/>
    <col min="11537" max="11777" width="8.77734375" style="157"/>
    <col min="11778" max="11778" width="2.77734375" style="157" customWidth="1"/>
    <col min="11779" max="11779" width="2.44140625" style="157" customWidth="1"/>
    <col min="11780" max="11780" width="3.109375" style="157" customWidth="1"/>
    <col min="11781" max="11781" width="2.77734375" style="157" customWidth="1"/>
    <col min="11782" max="11782" width="2.21875" style="157" customWidth="1"/>
    <col min="11783" max="11783" width="2" style="157" customWidth="1"/>
    <col min="11784" max="11784" width="4.21875" style="157" customWidth="1"/>
    <col min="11785" max="11785" width="19" style="157" customWidth="1"/>
    <col min="11786" max="11786" width="13.77734375" style="157" bestFit="1" customWidth="1"/>
    <col min="11787" max="11787" width="2" style="157" customWidth="1"/>
    <col min="11788" max="11788" width="8.77734375" style="157"/>
    <col min="11789" max="11789" width="2.21875" style="157" customWidth="1"/>
    <col min="11790" max="11790" width="8.77734375" style="157"/>
    <col min="11791" max="11791" width="2" style="157" customWidth="1"/>
    <col min="11792" max="11792" width="13.77734375" style="157" bestFit="1" customWidth="1"/>
    <col min="11793" max="12033" width="8.77734375" style="157"/>
    <col min="12034" max="12034" width="2.77734375" style="157" customWidth="1"/>
    <col min="12035" max="12035" width="2.44140625" style="157" customWidth="1"/>
    <col min="12036" max="12036" width="3.109375" style="157" customWidth="1"/>
    <col min="12037" max="12037" width="2.77734375" style="157" customWidth="1"/>
    <col min="12038" max="12038" width="2.21875" style="157" customWidth="1"/>
    <col min="12039" max="12039" width="2" style="157" customWidth="1"/>
    <col min="12040" max="12040" width="4.21875" style="157" customWidth="1"/>
    <col min="12041" max="12041" width="19" style="157" customWidth="1"/>
    <col min="12042" max="12042" width="13.77734375" style="157" bestFit="1" customWidth="1"/>
    <col min="12043" max="12043" width="2" style="157" customWidth="1"/>
    <col min="12044" max="12044" width="8.77734375" style="157"/>
    <col min="12045" max="12045" width="2.21875" style="157" customWidth="1"/>
    <col min="12046" max="12046" width="8.77734375" style="157"/>
    <col min="12047" max="12047" width="2" style="157" customWidth="1"/>
    <col min="12048" max="12048" width="13.77734375" style="157" bestFit="1" customWidth="1"/>
    <col min="12049" max="12289" width="8.77734375" style="157"/>
    <col min="12290" max="12290" width="2.77734375" style="157" customWidth="1"/>
    <col min="12291" max="12291" width="2.44140625" style="157" customWidth="1"/>
    <col min="12292" max="12292" width="3.109375" style="157" customWidth="1"/>
    <col min="12293" max="12293" width="2.77734375" style="157" customWidth="1"/>
    <col min="12294" max="12294" width="2.21875" style="157" customWidth="1"/>
    <col min="12295" max="12295" width="2" style="157" customWidth="1"/>
    <col min="12296" max="12296" width="4.21875" style="157" customWidth="1"/>
    <col min="12297" max="12297" width="19" style="157" customWidth="1"/>
    <col min="12298" max="12298" width="13.77734375" style="157" bestFit="1" customWidth="1"/>
    <col min="12299" max="12299" width="2" style="157" customWidth="1"/>
    <col min="12300" max="12300" width="8.77734375" style="157"/>
    <col min="12301" max="12301" width="2.21875" style="157" customWidth="1"/>
    <col min="12302" max="12302" width="8.77734375" style="157"/>
    <col min="12303" max="12303" width="2" style="157" customWidth="1"/>
    <col min="12304" max="12304" width="13.77734375" style="157" bestFit="1" customWidth="1"/>
    <col min="12305" max="12545" width="8.77734375" style="157"/>
    <col min="12546" max="12546" width="2.77734375" style="157" customWidth="1"/>
    <col min="12547" max="12547" width="2.44140625" style="157" customWidth="1"/>
    <col min="12548" max="12548" width="3.109375" style="157" customWidth="1"/>
    <col min="12549" max="12549" width="2.77734375" style="157" customWidth="1"/>
    <col min="12550" max="12550" width="2.21875" style="157" customWidth="1"/>
    <col min="12551" max="12551" width="2" style="157" customWidth="1"/>
    <col min="12552" max="12552" width="4.21875" style="157" customWidth="1"/>
    <col min="12553" max="12553" width="19" style="157" customWidth="1"/>
    <col min="12554" max="12554" width="13.77734375" style="157" bestFit="1" customWidth="1"/>
    <col min="12555" max="12555" width="2" style="157" customWidth="1"/>
    <col min="12556" max="12556" width="8.77734375" style="157"/>
    <col min="12557" max="12557" width="2.21875" style="157" customWidth="1"/>
    <col min="12558" max="12558" width="8.77734375" style="157"/>
    <col min="12559" max="12559" width="2" style="157" customWidth="1"/>
    <col min="12560" max="12560" width="13.77734375" style="157" bestFit="1" customWidth="1"/>
    <col min="12561" max="12801" width="8.77734375" style="157"/>
    <col min="12802" max="12802" width="2.77734375" style="157" customWidth="1"/>
    <col min="12803" max="12803" width="2.44140625" style="157" customWidth="1"/>
    <col min="12804" max="12804" width="3.109375" style="157" customWidth="1"/>
    <col min="12805" max="12805" width="2.77734375" style="157" customWidth="1"/>
    <col min="12806" max="12806" width="2.21875" style="157" customWidth="1"/>
    <col min="12807" max="12807" width="2" style="157" customWidth="1"/>
    <col min="12808" max="12808" width="4.21875" style="157" customWidth="1"/>
    <col min="12809" max="12809" width="19" style="157" customWidth="1"/>
    <col min="12810" max="12810" width="13.77734375" style="157" bestFit="1" customWidth="1"/>
    <col min="12811" max="12811" width="2" style="157" customWidth="1"/>
    <col min="12812" max="12812" width="8.77734375" style="157"/>
    <col min="12813" max="12813" width="2.21875" style="157" customWidth="1"/>
    <col min="12814" max="12814" width="8.77734375" style="157"/>
    <col min="12815" max="12815" width="2" style="157" customWidth="1"/>
    <col min="12816" max="12816" width="13.77734375" style="157" bestFit="1" customWidth="1"/>
    <col min="12817" max="13057" width="8.77734375" style="157"/>
    <col min="13058" max="13058" width="2.77734375" style="157" customWidth="1"/>
    <col min="13059" max="13059" width="2.44140625" style="157" customWidth="1"/>
    <col min="13060" max="13060" width="3.109375" style="157" customWidth="1"/>
    <col min="13061" max="13061" width="2.77734375" style="157" customWidth="1"/>
    <col min="13062" max="13062" width="2.21875" style="157" customWidth="1"/>
    <col min="13063" max="13063" width="2" style="157" customWidth="1"/>
    <col min="13064" max="13064" width="4.21875" style="157" customWidth="1"/>
    <col min="13065" max="13065" width="19" style="157" customWidth="1"/>
    <col min="13066" max="13066" width="13.77734375" style="157" bestFit="1" customWidth="1"/>
    <col min="13067" max="13067" width="2" style="157" customWidth="1"/>
    <col min="13068" max="13068" width="8.77734375" style="157"/>
    <col min="13069" max="13069" width="2.21875" style="157" customWidth="1"/>
    <col min="13070" max="13070" width="8.77734375" style="157"/>
    <col min="13071" max="13071" width="2" style="157" customWidth="1"/>
    <col min="13072" max="13072" width="13.77734375" style="157" bestFit="1" customWidth="1"/>
    <col min="13073" max="13313" width="8.77734375" style="157"/>
    <col min="13314" max="13314" width="2.77734375" style="157" customWidth="1"/>
    <col min="13315" max="13315" width="2.44140625" style="157" customWidth="1"/>
    <col min="13316" max="13316" width="3.109375" style="157" customWidth="1"/>
    <col min="13317" max="13317" width="2.77734375" style="157" customWidth="1"/>
    <col min="13318" max="13318" width="2.21875" style="157" customWidth="1"/>
    <col min="13319" max="13319" width="2" style="157" customWidth="1"/>
    <col min="13320" max="13320" width="4.21875" style="157" customWidth="1"/>
    <col min="13321" max="13321" width="19" style="157" customWidth="1"/>
    <col min="13322" max="13322" width="13.77734375" style="157" bestFit="1" customWidth="1"/>
    <col min="13323" max="13323" width="2" style="157" customWidth="1"/>
    <col min="13324" max="13324" width="8.77734375" style="157"/>
    <col min="13325" max="13325" width="2.21875" style="157" customWidth="1"/>
    <col min="13326" max="13326" width="8.77734375" style="157"/>
    <col min="13327" max="13327" width="2" style="157" customWidth="1"/>
    <col min="13328" max="13328" width="13.77734375" style="157" bestFit="1" customWidth="1"/>
    <col min="13329" max="13569" width="8.77734375" style="157"/>
    <col min="13570" max="13570" width="2.77734375" style="157" customWidth="1"/>
    <col min="13571" max="13571" width="2.44140625" style="157" customWidth="1"/>
    <col min="13572" max="13572" width="3.109375" style="157" customWidth="1"/>
    <col min="13573" max="13573" width="2.77734375" style="157" customWidth="1"/>
    <col min="13574" max="13574" width="2.21875" style="157" customWidth="1"/>
    <col min="13575" max="13575" width="2" style="157" customWidth="1"/>
    <col min="13576" max="13576" width="4.21875" style="157" customWidth="1"/>
    <col min="13577" max="13577" width="19" style="157" customWidth="1"/>
    <col min="13578" max="13578" width="13.77734375" style="157" bestFit="1" customWidth="1"/>
    <col min="13579" max="13579" width="2" style="157" customWidth="1"/>
    <col min="13580" max="13580" width="8.77734375" style="157"/>
    <col min="13581" max="13581" width="2.21875" style="157" customWidth="1"/>
    <col min="13582" max="13582" width="8.77734375" style="157"/>
    <col min="13583" max="13583" width="2" style="157" customWidth="1"/>
    <col min="13584" max="13584" width="13.77734375" style="157" bestFit="1" customWidth="1"/>
    <col min="13585" max="13825" width="8.77734375" style="157"/>
    <col min="13826" max="13826" width="2.77734375" style="157" customWidth="1"/>
    <col min="13827" max="13827" width="2.44140625" style="157" customWidth="1"/>
    <col min="13828" max="13828" width="3.109375" style="157" customWidth="1"/>
    <col min="13829" max="13829" width="2.77734375" style="157" customWidth="1"/>
    <col min="13830" max="13830" width="2.21875" style="157" customWidth="1"/>
    <col min="13831" max="13831" width="2" style="157" customWidth="1"/>
    <col min="13832" max="13832" width="4.21875" style="157" customWidth="1"/>
    <col min="13833" max="13833" width="19" style="157" customWidth="1"/>
    <col min="13834" max="13834" width="13.77734375" style="157" bestFit="1" customWidth="1"/>
    <col min="13835" max="13835" width="2" style="157" customWidth="1"/>
    <col min="13836" max="13836" width="8.77734375" style="157"/>
    <col min="13837" max="13837" width="2.21875" style="157" customWidth="1"/>
    <col min="13838" max="13838" width="8.77734375" style="157"/>
    <col min="13839" max="13839" width="2" style="157" customWidth="1"/>
    <col min="13840" max="13840" width="13.77734375" style="157" bestFit="1" customWidth="1"/>
    <col min="13841" max="14081" width="8.77734375" style="157"/>
    <col min="14082" max="14082" width="2.77734375" style="157" customWidth="1"/>
    <col min="14083" max="14083" width="2.44140625" style="157" customWidth="1"/>
    <col min="14084" max="14084" width="3.109375" style="157" customWidth="1"/>
    <col min="14085" max="14085" width="2.77734375" style="157" customWidth="1"/>
    <col min="14086" max="14086" width="2.21875" style="157" customWidth="1"/>
    <col min="14087" max="14087" width="2" style="157" customWidth="1"/>
    <col min="14088" max="14088" width="4.21875" style="157" customWidth="1"/>
    <col min="14089" max="14089" width="19" style="157" customWidth="1"/>
    <col min="14090" max="14090" width="13.77734375" style="157" bestFit="1" customWidth="1"/>
    <col min="14091" max="14091" width="2" style="157" customWidth="1"/>
    <col min="14092" max="14092" width="8.77734375" style="157"/>
    <col min="14093" max="14093" width="2.21875" style="157" customWidth="1"/>
    <col min="14094" max="14094" width="8.77734375" style="157"/>
    <col min="14095" max="14095" width="2" style="157" customWidth="1"/>
    <col min="14096" max="14096" width="13.77734375" style="157" bestFit="1" customWidth="1"/>
    <col min="14097" max="14337" width="8.77734375" style="157"/>
    <col min="14338" max="14338" width="2.77734375" style="157" customWidth="1"/>
    <col min="14339" max="14339" width="2.44140625" style="157" customWidth="1"/>
    <col min="14340" max="14340" width="3.109375" style="157" customWidth="1"/>
    <col min="14341" max="14341" width="2.77734375" style="157" customWidth="1"/>
    <col min="14342" max="14342" width="2.21875" style="157" customWidth="1"/>
    <col min="14343" max="14343" width="2" style="157" customWidth="1"/>
    <col min="14344" max="14344" width="4.21875" style="157" customWidth="1"/>
    <col min="14345" max="14345" width="19" style="157" customWidth="1"/>
    <col min="14346" max="14346" width="13.77734375" style="157" bestFit="1" customWidth="1"/>
    <col min="14347" max="14347" width="2" style="157" customWidth="1"/>
    <col min="14348" max="14348" width="8.77734375" style="157"/>
    <col min="14349" max="14349" width="2.21875" style="157" customWidth="1"/>
    <col min="14350" max="14350" width="8.77734375" style="157"/>
    <col min="14351" max="14351" width="2" style="157" customWidth="1"/>
    <col min="14352" max="14352" width="13.77734375" style="157" bestFit="1" customWidth="1"/>
    <col min="14353" max="14593" width="8.77734375" style="157"/>
    <col min="14594" max="14594" width="2.77734375" style="157" customWidth="1"/>
    <col min="14595" max="14595" width="2.44140625" style="157" customWidth="1"/>
    <col min="14596" max="14596" width="3.109375" style="157" customWidth="1"/>
    <col min="14597" max="14597" width="2.77734375" style="157" customWidth="1"/>
    <col min="14598" max="14598" width="2.21875" style="157" customWidth="1"/>
    <col min="14599" max="14599" width="2" style="157" customWidth="1"/>
    <col min="14600" max="14600" width="4.21875" style="157" customWidth="1"/>
    <col min="14601" max="14601" width="19" style="157" customWidth="1"/>
    <col min="14602" max="14602" width="13.77734375" style="157" bestFit="1" customWidth="1"/>
    <col min="14603" max="14603" width="2" style="157" customWidth="1"/>
    <col min="14604" max="14604" width="8.77734375" style="157"/>
    <col min="14605" max="14605" width="2.21875" style="157" customWidth="1"/>
    <col min="14606" max="14606" width="8.77734375" style="157"/>
    <col min="14607" max="14607" width="2" style="157" customWidth="1"/>
    <col min="14608" max="14608" width="13.77734375" style="157" bestFit="1" customWidth="1"/>
    <col min="14609" max="14849" width="8.77734375" style="157"/>
    <col min="14850" max="14850" width="2.77734375" style="157" customWidth="1"/>
    <col min="14851" max="14851" width="2.44140625" style="157" customWidth="1"/>
    <col min="14852" max="14852" width="3.109375" style="157" customWidth="1"/>
    <col min="14853" max="14853" width="2.77734375" style="157" customWidth="1"/>
    <col min="14854" max="14854" width="2.21875" style="157" customWidth="1"/>
    <col min="14855" max="14855" width="2" style="157" customWidth="1"/>
    <col min="14856" max="14856" width="4.21875" style="157" customWidth="1"/>
    <col min="14857" max="14857" width="19" style="157" customWidth="1"/>
    <col min="14858" max="14858" width="13.77734375" style="157" bestFit="1" customWidth="1"/>
    <col min="14859" max="14859" width="2" style="157" customWidth="1"/>
    <col min="14860" max="14860" width="8.77734375" style="157"/>
    <col min="14861" max="14861" width="2.21875" style="157" customWidth="1"/>
    <col min="14862" max="14862" width="8.77734375" style="157"/>
    <col min="14863" max="14863" width="2" style="157" customWidth="1"/>
    <col min="14864" max="14864" width="13.77734375" style="157" bestFit="1" customWidth="1"/>
    <col min="14865" max="15105" width="8.77734375" style="157"/>
    <col min="15106" max="15106" width="2.77734375" style="157" customWidth="1"/>
    <col min="15107" max="15107" width="2.44140625" style="157" customWidth="1"/>
    <col min="15108" max="15108" width="3.109375" style="157" customWidth="1"/>
    <col min="15109" max="15109" width="2.77734375" style="157" customWidth="1"/>
    <col min="15110" max="15110" width="2.21875" style="157" customWidth="1"/>
    <col min="15111" max="15111" width="2" style="157" customWidth="1"/>
    <col min="15112" max="15112" width="4.21875" style="157" customWidth="1"/>
    <col min="15113" max="15113" width="19" style="157" customWidth="1"/>
    <col min="15114" max="15114" width="13.77734375" style="157" bestFit="1" customWidth="1"/>
    <col min="15115" max="15115" width="2" style="157" customWidth="1"/>
    <col min="15116" max="15116" width="8.77734375" style="157"/>
    <col min="15117" max="15117" width="2.21875" style="157" customWidth="1"/>
    <col min="15118" max="15118" width="8.77734375" style="157"/>
    <col min="15119" max="15119" width="2" style="157" customWidth="1"/>
    <col min="15120" max="15120" width="13.77734375" style="157" bestFit="1" customWidth="1"/>
    <col min="15121" max="15361" width="8.77734375" style="157"/>
    <col min="15362" max="15362" width="2.77734375" style="157" customWidth="1"/>
    <col min="15363" max="15363" width="2.44140625" style="157" customWidth="1"/>
    <col min="15364" max="15364" width="3.109375" style="157" customWidth="1"/>
    <col min="15365" max="15365" width="2.77734375" style="157" customWidth="1"/>
    <col min="15366" max="15366" width="2.21875" style="157" customWidth="1"/>
    <col min="15367" max="15367" width="2" style="157" customWidth="1"/>
    <col min="15368" max="15368" width="4.21875" style="157" customWidth="1"/>
    <col min="15369" max="15369" width="19" style="157" customWidth="1"/>
    <col min="15370" max="15370" width="13.77734375" style="157" bestFit="1" customWidth="1"/>
    <col min="15371" max="15371" width="2" style="157" customWidth="1"/>
    <col min="15372" max="15372" width="8.77734375" style="157"/>
    <col min="15373" max="15373" width="2.21875" style="157" customWidth="1"/>
    <col min="15374" max="15374" width="8.77734375" style="157"/>
    <col min="15375" max="15375" width="2" style="157" customWidth="1"/>
    <col min="15376" max="15376" width="13.77734375" style="157" bestFit="1" customWidth="1"/>
    <col min="15377" max="15617" width="8.77734375" style="157"/>
    <col min="15618" max="15618" width="2.77734375" style="157" customWidth="1"/>
    <col min="15619" max="15619" width="2.44140625" style="157" customWidth="1"/>
    <col min="15620" max="15620" width="3.109375" style="157" customWidth="1"/>
    <col min="15621" max="15621" width="2.77734375" style="157" customWidth="1"/>
    <col min="15622" max="15622" width="2.21875" style="157" customWidth="1"/>
    <col min="15623" max="15623" width="2" style="157" customWidth="1"/>
    <col min="15624" max="15624" width="4.21875" style="157" customWidth="1"/>
    <col min="15625" max="15625" width="19" style="157" customWidth="1"/>
    <col min="15626" max="15626" width="13.77734375" style="157" bestFit="1" customWidth="1"/>
    <col min="15627" max="15627" width="2" style="157" customWidth="1"/>
    <col min="15628" max="15628" width="8.77734375" style="157"/>
    <col min="15629" max="15629" width="2.21875" style="157" customWidth="1"/>
    <col min="15630" max="15630" width="8.77734375" style="157"/>
    <col min="15631" max="15631" width="2" style="157" customWidth="1"/>
    <col min="15632" max="15632" width="13.77734375" style="157" bestFit="1" customWidth="1"/>
    <col min="15633" max="15873" width="8.77734375" style="157"/>
    <col min="15874" max="15874" width="2.77734375" style="157" customWidth="1"/>
    <col min="15875" max="15875" width="2.44140625" style="157" customWidth="1"/>
    <col min="15876" max="15876" width="3.109375" style="157" customWidth="1"/>
    <col min="15877" max="15877" width="2.77734375" style="157" customWidth="1"/>
    <col min="15878" max="15878" width="2.21875" style="157" customWidth="1"/>
    <col min="15879" max="15879" width="2" style="157" customWidth="1"/>
    <col min="15880" max="15880" width="4.21875" style="157" customWidth="1"/>
    <col min="15881" max="15881" width="19" style="157" customWidth="1"/>
    <col min="15882" max="15882" width="13.77734375" style="157" bestFit="1" customWidth="1"/>
    <col min="15883" max="15883" width="2" style="157" customWidth="1"/>
    <col min="15884" max="15884" width="8.77734375" style="157"/>
    <col min="15885" max="15885" width="2.21875" style="157" customWidth="1"/>
    <col min="15886" max="15886" width="8.77734375" style="157"/>
    <col min="15887" max="15887" width="2" style="157" customWidth="1"/>
    <col min="15888" max="15888" width="13.77734375" style="157" bestFit="1" customWidth="1"/>
    <col min="15889" max="16129" width="8.77734375" style="157"/>
    <col min="16130" max="16130" width="2.77734375" style="157" customWidth="1"/>
    <col min="16131" max="16131" width="2.44140625" style="157" customWidth="1"/>
    <col min="16132" max="16132" width="3.109375" style="157" customWidth="1"/>
    <col min="16133" max="16133" width="2.77734375" style="157" customWidth="1"/>
    <col min="16134" max="16134" width="2.21875" style="157" customWidth="1"/>
    <col min="16135" max="16135" width="2" style="157" customWidth="1"/>
    <col min="16136" max="16136" width="4.21875" style="157" customWidth="1"/>
    <col min="16137" max="16137" width="19" style="157" customWidth="1"/>
    <col min="16138" max="16138" width="13.77734375" style="157" bestFit="1" customWidth="1"/>
    <col min="16139" max="16139" width="2" style="157" customWidth="1"/>
    <col min="16140" max="16140" width="8.77734375" style="157"/>
    <col min="16141" max="16141" width="2.21875" style="157" customWidth="1"/>
    <col min="16142" max="16142" width="8.77734375" style="157"/>
    <col min="16143" max="16143" width="2" style="157" customWidth="1"/>
    <col min="16144" max="16144" width="13.77734375" style="157" bestFit="1" customWidth="1"/>
    <col min="16145" max="16384" width="8.77734375" style="157"/>
  </cols>
  <sheetData>
    <row r="1" spans="2:17" s="16" customFormat="1" ht="15.6">
      <c r="B1" s="13" t="s">
        <v>989</v>
      </c>
      <c r="C1" s="100"/>
      <c r="D1" s="19"/>
      <c r="I1" s="80"/>
      <c r="J1" s="1747"/>
      <c r="K1" s="372"/>
      <c r="L1" s="372"/>
      <c r="M1" s="372"/>
      <c r="N1" s="372"/>
      <c r="O1" s="372"/>
      <c r="P1" s="1747"/>
    </row>
    <row r="2" spans="2:17" s="12" customFormat="1" ht="18">
      <c r="C2" s="101"/>
      <c r="D2" s="10"/>
      <c r="E2" s="41"/>
      <c r="F2" s="10"/>
      <c r="G2" s="10"/>
      <c r="H2" s="10"/>
      <c r="I2" s="10"/>
      <c r="J2" s="1748"/>
      <c r="K2" s="373"/>
      <c r="L2" s="373"/>
      <c r="M2" s="373"/>
      <c r="N2" s="373"/>
      <c r="O2" s="373"/>
      <c r="P2" s="1748"/>
    </row>
    <row r="3" spans="2:17" s="12" customFormat="1" ht="18">
      <c r="C3" s="101"/>
      <c r="D3" s="10"/>
      <c r="E3" s="41"/>
      <c r="F3" s="10"/>
      <c r="G3" s="10"/>
      <c r="H3" s="10"/>
      <c r="I3" s="10"/>
      <c r="J3" s="1748"/>
      <c r="K3" s="373"/>
      <c r="L3" s="373"/>
      <c r="M3" s="373"/>
      <c r="N3" s="373"/>
      <c r="O3" s="373"/>
      <c r="P3" s="1748"/>
    </row>
    <row r="4" spans="2:17" s="12" customFormat="1" ht="17.399999999999999">
      <c r="B4" s="1984" t="s">
        <v>200</v>
      </c>
      <c r="C4" s="1984"/>
      <c r="D4" s="1984"/>
      <c r="E4" s="1984"/>
      <c r="F4" s="1984"/>
      <c r="G4" s="1984"/>
      <c r="H4" s="1984"/>
      <c r="I4" s="1984"/>
      <c r="J4" s="1984"/>
      <c r="K4" s="1984"/>
      <c r="L4" s="1984"/>
      <c r="M4" s="1984"/>
      <c r="N4" s="1984"/>
      <c r="O4" s="1984"/>
      <c r="P4" s="1984"/>
      <c r="Q4" s="66"/>
    </row>
    <row r="5" spans="2:17" s="12" customFormat="1" ht="17.399999999999999">
      <c r="B5" s="1984" t="s">
        <v>103</v>
      </c>
      <c r="C5" s="1984"/>
      <c r="D5" s="1984"/>
      <c r="E5" s="1984"/>
      <c r="F5" s="1984"/>
      <c r="G5" s="1984"/>
      <c r="H5" s="1984"/>
      <c r="I5" s="1984"/>
      <c r="J5" s="1984"/>
      <c r="K5" s="1984"/>
      <c r="L5" s="1984"/>
      <c r="M5" s="1984"/>
      <c r="N5" s="1984"/>
      <c r="O5" s="1984"/>
      <c r="P5" s="1984"/>
    </row>
    <row r="6" spans="2:17" s="12" customFormat="1" ht="17.399999999999999">
      <c r="B6" s="1985" t="str">
        <f>SUMMARY!A7</f>
        <v>YEAR ENDING DECEMBER 31, 2021</v>
      </c>
      <c r="C6" s="1985"/>
      <c r="D6" s="1985"/>
      <c r="E6" s="1985"/>
      <c r="F6" s="1985"/>
      <c r="G6" s="1985"/>
      <c r="H6" s="1985"/>
      <c r="I6" s="1985"/>
      <c r="J6" s="1985"/>
      <c r="K6" s="1985"/>
      <c r="L6" s="1985"/>
      <c r="M6" s="1985"/>
      <c r="N6" s="1985"/>
      <c r="O6" s="1985"/>
      <c r="P6" s="1985"/>
    </row>
    <row r="7" spans="2:17" s="12" customFormat="1" ht="12" customHeight="1">
      <c r="B7" s="10"/>
      <c r="C7" s="58"/>
      <c r="D7" s="10"/>
      <c r="E7" s="39"/>
      <c r="F7" s="10"/>
      <c r="G7" s="10"/>
      <c r="H7" s="10"/>
      <c r="I7" s="10"/>
      <c r="J7" s="1748"/>
      <c r="K7" s="373"/>
      <c r="L7" s="373"/>
      <c r="M7" s="373"/>
      <c r="N7" s="373"/>
      <c r="O7" s="373"/>
      <c r="P7" s="1748"/>
    </row>
    <row r="8" spans="2:17" s="12" customFormat="1" ht="17.399999999999999">
      <c r="B8" s="1986" t="s">
        <v>990</v>
      </c>
      <c r="C8" s="1986"/>
      <c r="D8" s="1986"/>
      <c r="E8" s="1986"/>
      <c r="F8" s="1986"/>
      <c r="G8" s="1986"/>
      <c r="H8" s="1986"/>
      <c r="I8" s="1986"/>
      <c r="J8" s="1986"/>
      <c r="K8" s="1986"/>
      <c r="L8" s="1986"/>
      <c r="M8" s="1986"/>
      <c r="N8" s="1986"/>
      <c r="O8" s="1986"/>
      <c r="P8" s="1986"/>
      <c r="Q8" s="1986"/>
    </row>
    <row r="9" spans="2:17" s="12" customFormat="1" ht="17.399999999999999">
      <c r="B9" s="1984" t="s">
        <v>759</v>
      </c>
      <c r="C9" s="1984"/>
      <c r="D9" s="1984"/>
      <c r="E9" s="1984"/>
      <c r="F9" s="1984"/>
      <c r="G9" s="1984"/>
      <c r="H9" s="1984"/>
      <c r="I9" s="1984"/>
      <c r="J9" s="1984"/>
      <c r="K9" s="1984"/>
      <c r="L9" s="1984"/>
      <c r="M9" s="1984"/>
      <c r="N9" s="1984"/>
      <c r="O9" s="1984"/>
      <c r="P9" s="1984"/>
      <c r="Q9" s="1984"/>
    </row>
    <row r="13" spans="2:17" s="432" customFormat="1" ht="15.6">
      <c r="B13" s="429" t="s">
        <v>721</v>
      </c>
      <c r="C13" s="430"/>
      <c r="D13" s="430"/>
      <c r="E13" s="430"/>
      <c r="F13" s="430"/>
      <c r="G13" s="430"/>
      <c r="H13" s="430"/>
      <c r="I13" s="430"/>
      <c r="J13" s="431"/>
      <c r="K13" s="431"/>
      <c r="L13" s="431"/>
      <c r="M13" s="431"/>
      <c r="N13" s="431"/>
      <c r="O13" s="431"/>
      <c r="P13" s="431"/>
      <c r="Q13" s="430"/>
    </row>
    <row r="14" spans="2:17" s="432" customFormat="1" ht="15.6">
      <c r="B14" s="429" t="s">
        <v>722</v>
      </c>
      <c r="C14" s="430"/>
      <c r="D14" s="430"/>
      <c r="E14" s="430"/>
      <c r="F14" s="430"/>
      <c r="G14" s="430"/>
      <c r="H14" s="430"/>
      <c r="I14" s="430"/>
      <c r="J14" s="431"/>
      <c r="K14" s="431"/>
      <c r="L14" s="431"/>
      <c r="M14" s="431"/>
      <c r="N14" s="431"/>
      <c r="O14" s="431"/>
      <c r="P14" s="431"/>
      <c r="Q14" s="430"/>
    </row>
    <row r="15" spans="2:17" s="432" customFormat="1" ht="15.6">
      <c r="B15" s="1978" t="s">
        <v>2050</v>
      </c>
      <c r="C15" s="733"/>
      <c r="D15" s="733"/>
      <c r="E15" s="733"/>
      <c r="F15" s="733"/>
      <c r="G15" s="733"/>
      <c r="H15" s="430"/>
      <c r="I15" s="430"/>
      <c r="J15" s="431"/>
      <c r="K15" s="431"/>
      <c r="L15" s="431"/>
      <c r="M15" s="431"/>
      <c r="N15" s="431"/>
      <c r="O15" s="431"/>
      <c r="P15" s="431"/>
      <c r="Q15" s="430"/>
    </row>
    <row r="16" spans="2:17" s="432" customFormat="1" ht="15.6">
      <c r="B16" s="430"/>
      <c r="C16" s="430"/>
      <c r="D16" s="430"/>
      <c r="E16" s="430"/>
      <c r="F16" s="430"/>
      <c r="G16" s="430"/>
      <c r="H16" s="430"/>
      <c r="I16" s="430"/>
      <c r="J16" s="1407">
        <v>44196</v>
      </c>
      <c r="K16" s="433"/>
      <c r="L16" s="433"/>
      <c r="M16" s="433"/>
      <c r="N16" s="433"/>
      <c r="O16" s="433"/>
      <c r="P16" s="1407">
        <v>44561</v>
      </c>
      <c r="Q16" s="430"/>
    </row>
    <row r="17" spans="1:23" s="432" customFormat="1" ht="15.6">
      <c r="B17" s="434"/>
      <c r="C17" s="434"/>
      <c r="D17" s="434"/>
      <c r="E17" s="434"/>
      <c r="F17" s="434"/>
      <c r="G17" s="434"/>
      <c r="H17" s="434"/>
      <c r="I17" s="434"/>
      <c r="J17" s="1749" t="s">
        <v>187</v>
      </c>
      <c r="K17" s="436"/>
      <c r="L17" s="435"/>
      <c r="M17" s="436"/>
      <c r="N17" s="435"/>
      <c r="O17" s="436"/>
      <c r="P17" s="1749" t="s">
        <v>187</v>
      </c>
      <c r="Q17" s="430"/>
    </row>
    <row r="18" spans="1:23" s="432" customFormat="1" ht="15.6">
      <c r="B18" s="434"/>
      <c r="C18" s="434"/>
      <c r="D18" s="434"/>
      <c r="E18" s="434"/>
      <c r="F18" s="434"/>
      <c r="G18" s="434"/>
      <c r="H18" s="434"/>
      <c r="I18" s="437"/>
      <c r="J18" s="1750" t="s">
        <v>723</v>
      </c>
      <c r="K18" s="436"/>
      <c r="L18" s="438" t="s">
        <v>724</v>
      </c>
      <c r="M18" s="436"/>
      <c r="N18" s="438" t="s">
        <v>725</v>
      </c>
      <c r="O18" s="436"/>
      <c r="P18" s="1750" t="s">
        <v>723</v>
      </c>
      <c r="Q18" s="430"/>
    </row>
    <row r="19" spans="1:23" s="432" customFormat="1" ht="15.6">
      <c r="B19" s="434"/>
      <c r="C19" s="434"/>
      <c r="D19" s="434"/>
      <c r="E19" s="642" t="s">
        <v>192</v>
      </c>
      <c r="F19" s="439"/>
      <c r="G19" s="642"/>
      <c r="H19" s="439"/>
      <c r="I19" s="642"/>
      <c r="J19" s="1704" t="s">
        <v>193</v>
      </c>
      <c r="K19" s="642"/>
      <c r="L19" s="642" t="s">
        <v>194</v>
      </c>
      <c r="M19" s="439"/>
      <c r="N19" s="642" t="s">
        <v>195</v>
      </c>
      <c r="O19" s="439"/>
      <c r="P19" s="1704" t="s">
        <v>196</v>
      </c>
      <c r="Q19" s="430"/>
    </row>
    <row r="20" spans="1:23" s="432" customFormat="1" ht="15.6">
      <c r="B20" s="434"/>
      <c r="C20" s="434"/>
      <c r="D20" s="434"/>
      <c r="E20" s="434"/>
      <c r="F20" s="434"/>
      <c r="G20" s="434"/>
      <c r="H20" s="434"/>
      <c r="I20" s="437"/>
      <c r="J20" s="1704"/>
      <c r="K20" s="439"/>
      <c r="L20" s="642"/>
      <c r="M20" s="439"/>
      <c r="N20" s="642"/>
      <c r="O20" s="439"/>
      <c r="P20" s="1704"/>
      <c r="Q20" s="430"/>
    </row>
    <row r="21" spans="1:23" s="432" customFormat="1" ht="15">
      <c r="A21" s="645">
        <v>1</v>
      </c>
      <c r="B21" s="434" t="s">
        <v>620</v>
      </c>
      <c r="C21" s="434"/>
      <c r="D21" s="434"/>
      <c r="E21" s="434"/>
      <c r="F21" s="434"/>
      <c r="G21" s="434"/>
      <c r="H21" s="434"/>
      <c r="I21" s="437"/>
      <c r="J21" s="431"/>
      <c r="K21" s="436"/>
      <c r="L21" s="436"/>
      <c r="M21" s="436"/>
      <c r="N21" s="436"/>
      <c r="O21" s="436"/>
      <c r="P21" s="431"/>
      <c r="Q21" s="430"/>
    </row>
    <row r="22" spans="1:23" s="432" customFormat="1" ht="15.6">
      <c r="A22" s="643" t="s">
        <v>471</v>
      </c>
      <c r="B22" s="434"/>
      <c r="C22" s="434"/>
      <c r="D22" s="434" t="s">
        <v>608</v>
      </c>
      <c r="E22" s="434"/>
      <c r="F22" s="434"/>
      <c r="G22" s="434"/>
      <c r="H22" s="434"/>
      <c r="I22" s="437"/>
      <c r="J22" s="1412">
        <v>164</v>
      </c>
      <c r="K22" s="1214"/>
      <c r="L22" s="1214">
        <v>0</v>
      </c>
      <c r="M22" s="1214"/>
      <c r="N22" s="1214">
        <v>0</v>
      </c>
      <c r="O22" s="440"/>
      <c r="P22" s="1751">
        <f>SUM(J22:N22)</f>
        <v>164</v>
      </c>
      <c r="Q22" s="430"/>
      <c r="R22" s="441"/>
      <c r="S22" s="441"/>
      <c r="T22" s="441"/>
      <c r="U22" s="441"/>
      <c r="V22" s="441"/>
      <c r="W22" s="441"/>
    </row>
    <row r="23" spans="1:23" s="432" customFormat="1" ht="15.6">
      <c r="A23" s="643" t="s">
        <v>473</v>
      </c>
      <c r="B23" s="434"/>
      <c r="C23" s="434"/>
      <c r="D23" s="434" t="s">
        <v>609</v>
      </c>
      <c r="E23" s="434"/>
      <c r="F23" s="434"/>
      <c r="G23" s="434"/>
      <c r="H23" s="434"/>
      <c r="I23" s="437"/>
      <c r="J23" s="1412">
        <v>637</v>
      </c>
      <c r="K23" s="1214"/>
      <c r="L23" s="1214">
        <v>655</v>
      </c>
      <c r="M23" s="1214"/>
      <c r="N23" s="1214">
        <v>-579</v>
      </c>
      <c r="O23" s="440"/>
      <c r="P23" s="1751">
        <f>SUM(J23:N23)</f>
        <v>713</v>
      </c>
      <c r="Q23" s="430"/>
      <c r="R23" s="441"/>
      <c r="S23" s="441"/>
      <c r="T23" s="441"/>
      <c r="U23" s="441"/>
      <c r="V23" s="441"/>
      <c r="W23" s="441"/>
    </row>
    <row r="24" spans="1:23" s="432" customFormat="1" ht="15.6">
      <c r="A24" s="643" t="s">
        <v>494</v>
      </c>
      <c r="B24" s="434"/>
      <c r="C24" s="434"/>
      <c r="D24" s="434" t="s">
        <v>1964</v>
      </c>
      <c r="E24" s="434"/>
      <c r="F24" s="434"/>
      <c r="G24" s="434"/>
      <c r="H24" s="434"/>
      <c r="I24" s="437"/>
      <c r="J24" s="1410">
        <v>29</v>
      </c>
      <c r="K24" s="1214"/>
      <c r="L24" s="1214">
        <v>0</v>
      </c>
      <c r="M24" s="1214"/>
      <c r="N24" s="1214">
        <v>0</v>
      </c>
      <c r="O24" s="440"/>
      <c r="P24" s="1751">
        <f t="shared" ref="P24:P25" si="0">SUM(J24:N24)</f>
        <v>29</v>
      </c>
      <c r="Q24" s="430"/>
      <c r="R24" s="441"/>
      <c r="S24" s="441"/>
      <c r="T24" s="441"/>
      <c r="U24" s="441"/>
      <c r="V24" s="441"/>
      <c r="W24" s="441"/>
    </row>
    <row r="25" spans="1:23" s="432" customFormat="1" ht="15.6">
      <c r="A25" s="643" t="s">
        <v>495</v>
      </c>
      <c r="B25" s="434"/>
      <c r="C25" s="434"/>
      <c r="D25" s="434" t="s">
        <v>1965</v>
      </c>
      <c r="E25" s="434"/>
      <c r="F25" s="434"/>
      <c r="G25" s="434"/>
      <c r="H25" s="434"/>
      <c r="I25" s="437"/>
      <c r="J25" s="1410">
        <v>154</v>
      </c>
      <c r="K25" s="1214"/>
      <c r="L25" s="1214">
        <v>36</v>
      </c>
      <c r="M25" s="1214"/>
      <c r="N25" s="1214">
        <v>-117</v>
      </c>
      <c r="O25" s="440"/>
      <c r="P25" s="1751">
        <f t="shared" si="0"/>
        <v>73</v>
      </c>
      <c r="Q25" s="430"/>
      <c r="R25" s="441"/>
      <c r="S25" s="441"/>
      <c r="T25" s="441"/>
      <c r="U25" s="441"/>
      <c r="V25" s="441"/>
      <c r="W25" s="441"/>
    </row>
    <row r="26" spans="1:23" s="432" customFormat="1" ht="15.6">
      <c r="A26" s="643" t="s">
        <v>541</v>
      </c>
      <c r="B26" s="646"/>
      <c r="C26" s="434"/>
      <c r="D26" s="1409" t="s">
        <v>1165</v>
      </c>
      <c r="E26" s="1408"/>
      <c r="F26" s="1408"/>
      <c r="G26" s="1408"/>
      <c r="H26" s="434"/>
      <c r="I26" s="437"/>
      <c r="J26" s="1410"/>
      <c r="K26" s="1214"/>
      <c r="L26" s="1411"/>
      <c r="M26" s="1214"/>
      <c r="N26" s="1411"/>
      <c r="O26" s="440"/>
      <c r="P26" s="1751">
        <v>0</v>
      </c>
      <c r="Q26" s="430"/>
      <c r="R26" s="441"/>
      <c r="S26" s="441"/>
      <c r="T26" s="441"/>
      <c r="U26" s="441"/>
      <c r="V26" s="441"/>
      <c r="W26" s="441"/>
    </row>
    <row r="27" spans="1:23" s="432" customFormat="1" ht="15">
      <c r="A27" s="645">
        <v>2</v>
      </c>
      <c r="B27" s="434"/>
      <c r="C27" s="434"/>
      <c r="D27" s="434"/>
      <c r="E27" s="434"/>
      <c r="F27" s="434"/>
      <c r="G27" s="434" t="s">
        <v>621</v>
      </c>
      <c r="H27" s="434"/>
      <c r="I27" s="437"/>
      <c r="J27" s="1752">
        <f>+J23+J22+J24+J25+J26</f>
        <v>984</v>
      </c>
      <c r="K27" s="440"/>
      <c r="L27" s="442">
        <f>+L23+L22+L24+L25+L26</f>
        <v>691</v>
      </c>
      <c r="M27" s="440"/>
      <c r="N27" s="442">
        <f>+N23+N22+N24+N25+N26</f>
        <v>-696</v>
      </c>
      <c r="O27" s="440"/>
      <c r="P27" s="1752">
        <f>+P23+P22+P24+P25+P26</f>
        <v>979</v>
      </c>
      <c r="Q27" s="430"/>
    </row>
    <row r="28" spans="1:23" s="432" customFormat="1" ht="15">
      <c r="A28" s="643"/>
      <c r="B28" s="434"/>
      <c r="C28" s="434"/>
      <c r="D28" s="434"/>
      <c r="E28" s="434"/>
      <c r="F28" s="434"/>
      <c r="G28" s="434"/>
      <c r="H28" s="434"/>
      <c r="I28" s="437"/>
      <c r="J28" s="1753"/>
      <c r="K28" s="440"/>
      <c r="L28" s="443"/>
      <c r="M28" s="440"/>
      <c r="N28" s="443"/>
      <c r="O28" s="440"/>
      <c r="P28" s="1753"/>
      <c r="Q28" s="430"/>
    </row>
    <row r="29" spans="1:23" s="432" customFormat="1" ht="15">
      <c r="A29" s="645">
        <v>3</v>
      </c>
      <c r="B29" s="434" t="s">
        <v>622</v>
      </c>
      <c r="C29" s="434"/>
      <c r="D29" s="434"/>
      <c r="E29" s="434"/>
      <c r="F29" s="434"/>
      <c r="G29" s="434"/>
      <c r="H29" s="434"/>
      <c r="I29" s="437"/>
      <c r="J29" s="1751"/>
      <c r="K29" s="440"/>
      <c r="L29" s="440"/>
      <c r="M29" s="440"/>
      <c r="N29" s="440"/>
      <c r="O29" s="440"/>
      <c r="P29" s="1751"/>
      <c r="Q29" s="430"/>
    </row>
    <row r="30" spans="1:23" s="432" customFormat="1" ht="15">
      <c r="A30" s="643" t="s">
        <v>1276</v>
      </c>
      <c r="B30" s="434"/>
      <c r="C30" s="434"/>
      <c r="D30" s="434" t="s">
        <v>726</v>
      </c>
      <c r="E30" s="434"/>
      <c r="F30" s="434"/>
      <c r="G30" s="434"/>
      <c r="H30" s="434"/>
      <c r="I30" s="437"/>
      <c r="J30" s="1412">
        <v>2313</v>
      </c>
      <c r="K30" s="1214"/>
      <c r="L30" s="1214">
        <v>114</v>
      </c>
      <c r="M30" s="1412"/>
      <c r="N30" s="1214">
        <v>0</v>
      </c>
      <c r="O30" s="440"/>
      <c r="P30" s="1751">
        <f>SUM(J30:N30)</f>
        <v>2427</v>
      </c>
      <c r="Q30" s="430"/>
      <c r="S30" s="445"/>
    </row>
    <row r="31" spans="1:23" s="432" customFormat="1" ht="15">
      <c r="A31" s="643" t="s">
        <v>1277</v>
      </c>
      <c r="B31" s="434"/>
      <c r="C31" s="434"/>
      <c r="D31" s="434" t="s">
        <v>727</v>
      </c>
      <c r="E31" s="434"/>
      <c r="F31" s="434"/>
      <c r="G31" s="434"/>
      <c r="H31" s="434"/>
      <c r="I31" s="437"/>
      <c r="J31" s="1751"/>
      <c r="K31" s="440"/>
      <c r="L31" s="440"/>
      <c r="M31" s="440"/>
      <c r="N31" s="440"/>
      <c r="O31" s="440"/>
      <c r="P31" s="1751"/>
      <c r="Q31" s="430"/>
    </row>
    <row r="32" spans="1:23" s="432" customFormat="1" ht="15">
      <c r="A32" s="643" t="s">
        <v>1278</v>
      </c>
      <c r="B32" s="434"/>
      <c r="C32" s="434"/>
      <c r="D32" s="434"/>
      <c r="E32" s="434" t="s">
        <v>728</v>
      </c>
      <c r="F32" s="434"/>
      <c r="G32" s="434"/>
      <c r="H32" s="434"/>
      <c r="I32" s="1428"/>
      <c r="J32" s="1412">
        <v>2385</v>
      </c>
      <c r="K32" s="1412"/>
      <c r="L32" s="1214">
        <v>13</v>
      </c>
      <c r="M32" s="1412"/>
      <c r="N32" s="1214">
        <v>0</v>
      </c>
      <c r="O32" s="440"/>
      <c r="P32" s="1751">
        <f>SUM(J32:N32)</f>
        <v>2398</v>
      </c>
      <c r="Q32" s="430"/>
      <c r="R32" s="1507"/>
    </row>
    <row r="33" spans="1:23" s="432" customFormat="1" ht="15">
      <c r="A33" s="643" t="s">
        <v>1279</v>
      </c>
      <c r="B33" s="434"/>
      <c r="C33" s="434"/>
      <c r="D33" s="434" t="s">
        <v>34</v>
      </c>
      <c r="E33" s="434"/>
      <c r="F33" s="434"/>
      <c r="G33" s="434"/>
      <c r="H33" s="434"/>
      <c r="I33" s="437"/>
      <c r="J33" s="1412">
        <v>2551</v>
      </c>
      <c r="K33" s="1412"/>
      <c r="L33" s="1214">
        <v>370</v>
      </c>
      <c r="M33" s="1412"/>
      <c r="N33" s="1214">
        <v>-6</v>
      </c>
      <c r="O33" s="440"/>
      <c r="P33" s="1751">
        <f>SUM(J33:N33)</f>
        <v>2915</v>
      </c>
      <c r="Q33" s="430"/>
    </row>
    <row r="34" spans="1:23" s="432" customFormat="1" ht="15">
      <c r="A34" s="643" t="s">
        <v>1280</v>
      </c>
      <c r="B34" s="434"/>
      <c r="C34" s="434"/>
      <c r="D34" s="434" t="s">
        <v>107</v>
      </c>
      <c r="E34" s="434"/>
      <c r="F34" s="434"/>
      <c r="G34" s="434"/>
      <c r="H34" s="434"/>
      <c r="I34" s="437"/>
      <c r="J34" s="1412">
        <v>1405</v>
      </c>
      <c r="K34" s="1412"/>
      <c r="L34" s="1214">
        <v>114</v>
      </c>
      <c r="M34" s="1412"/>
      <c r="N34" s="1214">
        <v>-5</v>
      </c>
      <c r="O34" s="440"/>
      <c r="P34" s="1751">
        <f>SUM(J34:N34)</f>
        <v>1514</v>
      </c>
      <c r="Q34" s="430"/>
    </row>
    <row r="35" spans="1:23" s="432" customFormat="1" ht="15">
      <c r="A35" s="643" t="s">
        <v>1312</v>
      </c>
      <c r="B35" s="434"/>
      <c r="C35" s="434"/>
      <c r="D35" s="434" t="s">
        <v>1966</v>
      </c>
      <c r="E35" s="753"/>
      <c r="F35" s="753"/>
      <c r="G35" s="753"/>
      <c r="H35" s="753"/>
      <c r="I35" s="754"/>
      <c r="J35" s="1410">
        <v>802</v>
      </c>
      <c r="K35" s="1412"/>
      <c r="L35" s="1214">
        <v>117</v>
      </c>
      <c r="M35" s="1412"/>
      <c r="N35" s="1214">
        <v>0</v>
      </c>
      <c r="O35" s="440"/>
      <c r="P35" s="1751">
        <f>SUM(J35:N35)</f>
        <v>919</v>
      </c>
      <c r="Q35" s="430"/>
    </row>
    <row r="36" spans="1:23" s="432" customFormat="1" ht="15.6">
      <c r="A36" s="643" t="s">
        <v>541</v>
      </c>
      <c r="B36" s="646"/>
      <c r="C36" s="434"/>
      <c r="D36" s="1409" t="s">
        <v>1165</v>
      </c>
      <c r="E36" s="1408"/>
      <c r="F36" s="1408"/>
      <c r="G36" s="1408"/>
      <c r="H36" s="434"/>
      <c r="I36" s="437"/>
      <c r="J36" s="1410"/>
      <c r="K36" s="1214"/>
      <c r="L36" s="1411"/>
      <c r="M36" s="1214"/>
      <c r="N36" s="1411"/>
      <c r="O36" s="440"/>
      <c r="P36" s="1751">
        <v>0</v>
      </c>
      <c r="Q36" s="430"/>
      <c r="R36" s="441"/>
      <c r="S36" s="441"/>
      <c r="T36" s="441"/>
      <c r="U36" s="441"/>
      <c r="V36" s="441"/>
      <c r="W36" s="441"/>
    </row>
    <row r="37" spans="1:23" s="432" customFormat="1" ht="15">
      <c r="A37" s="643"/>
      <c r="B37" s="434"/>
      <c r="C37" s="434"/>
      <c r="D37" s="434"/>
      <c r="E37" s="434"/>
      <c r="F37" s="434"/>
      <c r="G37" s="434"/>
      <c r="H37" s="434"/>
      <c r="I37" s="437"/>
      <c r="J37" s="1751"/>
      <c r="K37" s="440"/>
      <c r="L37" s="440"/>
      <c r="M37" s="440"/>
      <c r="N37" s="440"/>
      <c r="O37" s="440"/>
      <c r="P37" s="1751"/>
      <c r="Q37" s="430"/>
    </row>
    <row r="38" spans="1:23" s="432" customFormat="1" ht="15">
      <c r="A38" s="645">
        <v>4</v>
      </c>
      <c r="B38" s="434"/>
      <c r="C38" s="434"/>
      <c r="D38" s="434"/>
      <c r="E38" s="434"/>
      <c r="F38" s="434"/>
      <c r="G38" s="434" t="s">
        <v>1071</v>
      </c>
      <c r="H38" s="434"/>
      <c r="I38" s="437"/>
      <c r="J38" s="1413">
        <f>+J34+J33+J32+J30+J35+J36</f>
        <v>9456</v>
      </c>
      <c r="K38" s="1412"/>
      <c r="L38" s="1413">
        <f>+L34+L33+L32+L30+L35</f>
        <v>728</v>
      </c>
      <c r="M38" s="1412"/>
      <c r="N38" s="1413">
        <f>+N34+N33+N32+N30+N35</f>
        <v>-11</v>
      </c>
      <c r="O38" s="440"/>
      <c r="P38" s="1413">
        <f>+P34+P33+P32+P30+P35+P36</f>
        <v>10173</v>
      </c>
      <c r="Q38" s="1506"/>
      <c r="R38" s="445"/>
      <c r="T38" s="445"/>
    </row>
    <row r="39" spans="1:23" s="432" customFormat="1" ht="15">
      <c r="A39" s="643"/>
      <c r="B39" s="434"/>
      <c r="C39" s="434"/>
      <c r="D39" s="434"/>
      <c r="E39" s="434"/>
      <c r="F39" s="434"/>
      <c r="G39" s="434"/>
      <c r="H39" s="434"/>
      <c r="I39" s="437"/>
      <c r="J39" s="1751"/>
      <c r="K39" s="440"/>
      <c r="L39" s="440"/>
      <c r="M39" s="440"/>
      <c r="N39" s="440"/>
      <c r="O39" s="440"/>
      <c r="P39" s="1751"/>
      <c r="Q39" s="430"/>
    </row>
    <row r="40" spans="1:23" s="432" customFormat="1" ht="15.6">
      <c r="A40" s="645">
        <v>5</v>
      </c>
      <c r="B40" s="434" t="s">
        <v>1122</v>
      </c>
      <c r="C40" s="434"/>
      <c r="D40" s="434"/>
      <c r="E40" s="434"/>
      <c r="F40" s="434"/>
      <c r="G40" s="434"/>
      <c r="H40" s="434"/>
      <c r="I40" s="437"/>
      <c r="J40" s="1751"/>
      <c r="K40" s="440"/>
      <c r="L40" s="440"/>
      <c r="M40" s="440"/>
      <c r="N40" s="440"/>
      <c r="O40" s="440"/>
      <c r="P40" s="1751"/>
      <c r="Q40" s="1791"/>
      <c r="R40" s="1792"/>
      <c r="S40" s="1793"/>
      <c r="T40" s="1794"/>
      <c r="U40" s="1794"/>
      <c r="V40" s="441"/>
    </row>
    <row r="41" spans="1:23" s="432" customFormat="1" ht="15">
      <c r="A41" s="643" t="s">
        <v>1273</v>
      </c>
      <c r="B41" s="434"/>
      <c r="C41" s="434"/>
      <c r="D41" s="434" t="s">
        <v>726</v>
      </c>
      <c r="E41" s="434"/>
      <c r="F41" s="434"/>
      <c r="G41" s="434"/>
      <c r="H41" s="434"/>
      <c r="I41" s="437"/>
      <c r="J41" s="1412">
        <v>924</v>
      </c>
      <c r="K41" s="1412"/>
      <c r="L41" s="1214">
        <v>47</v>
      </c>
      <c r="M41" s="1412"/>
      <c r="N41" s="1214">
        <v>0</v>
      </c>
      <c r="O41" s="440"/>
      <c r="P41" s="1751">
        <f>SUM(J41:N41)</f>
        <v>971</v>
      </c>
      <c r="Q41" s="1788"/>
      <c r="R41" s="1789"/>
      <c r="T41" s="701"/>
      <c r="U41" s="444"/>
    </row>
    <row r="42" spans="1:23" s="432" customFormat="1" ht="15">
      <c r="A42" s="643" t="s">
        <v>1274</v>
      </c>
      <c r="B42" s="434"/>
      <c r="C42" s="434"/>
      <c r="D42" s="434" t="s">
        <v>727</v>
      </c>
      <c r="E42" s="434"/>
      <c r="F42" s="434"/>
      <c r="G42" s="434"/>
      <c r="H42" s="434"/>
      <c r="I42" s="437"/>
      <c r="J42" s="1751"/>
      <c r="K42" s="440"/>
      <c r="L42" s="440"/>
      <c r="M42" s="440"/>
      <c r="N42" s="440"/>
      <c r="O42" s="440"/>
      <c r="P42" s="1751"/>
      <c r="Q42" s="430"/>
    </row>
    <row r="43" spans="1:23" s="432" customFormat="1" ht="15">
      <c r="A43" s="643" t="s">
        <v>1275</v>
      </c>
      <c r="B43" s="434"/>
      <c r="C43" s="434"/>
      <c r="D43" s="434"/>
      <c r="E43" s="434" t="s">
        <v>728</v>
      </c>
      <c r="F43" s="434"/>
      <c r="G43" s="434"/>
      <c r="H43" s="434"/>
      <c r="I43" s="437"/>
      <c r="J43" s="1412">
        <v>1381</v>
      </c>
      <c r="K43" s="1412"/>
      <c r="L43" s="1214">
        <v>87</v>
      </c>
      <c r="M43" s="1412"/>
      <c r="N43" s="1214">
        <v>0</v>
      </c>
      <c r="O43" s="440"/>
      <c r="P43" s="1751">
        <f>SUM(J43:N43)</f>
        <v>1468</v>
      </c>
      <c r="Q43" s="1788"/>
      <c r="R43" s="1789"/>
    </row>
    <row r="44" spans="1:23" s="432" customFormat="1" ht="15">
      <c r="A44" s="643" t="s">
        <v>1281</v>
      </c>
      <c r="B44" s="434"/>
      <c r="C44" s="434"/>
      <c r="D44" s="434" t="s">
        <v>34</v>
      </c>
      <c r="E44" s="434"/>
      <c r="F44" s="434"/>
      <c r="G44" s="434"/>
      <c r="H44" s="434"/>
      <c r="I44" s="437"/>
      <c r="J44" s="1412">
        <v>1371</v>
      </c>
      <c r="K44" s="1412"/>
      <c r="L44" s="1214">
        <v>42</v>
      </c>
      <c r="M44" s="1412"/>
      <c r="N44" s="1214">
        <v>-6</v>
      </c>
      <c r="O44" s="440"/>
      <c r="P44" s="1751">
        <f>SUM(J44:N44)</f>
        <v>1407</v>
      </c>
      <c r="Q44" s="1788"/>
      <c r="R44" s="1789"/>
      <c r="T44" s="701"/>
    </row>
    <row r="45" spans="1:23" s="432" customFormat="1" ht="15">
      <c r="A45" s="643" t="s">
        <v>1282</v>
      </c>
      <c r="B45" s="434"/>
      <c r="C45" s="434"/>
      <c r="D45" s="434" t="s">
        <v>107</v>
      </c>
      <c r="E45" s="434"/>
      <c r="F45" s="434"/>
      <c r="G45" s="434"/>
      <c r="H45" s="434"/>
      <c r="I45" s="437"/>
      <c r="J45" s="1412">
        <v>492</v>
      </c>
      <c r="K45" s="1412"/>
      <c r="L45" s="1214">
        <v>57</v>
      </c>
      <c r="M45" s="1412"/>
      <c r="N45" s="1214">
        <v>-4</v>
      </c>
      <c r="O45" s="440"/>
      <c r="P45" s="1751">
        <f>SUM(J45:N45)</f>
        <v>545</v>
      </c>
      <c r="Q45" s="1788"/>
      <c r="R45" s="1789"/>
      <c r="S45" s="1508"/>
      <c r="T45" s="1508"/>
    </row>
    <row r="46" spans="1:23" s="432" customFormat="1" ht="15">
      <c r="A46" s="643" t="s">
        <v>1572</v>
      </c>
      <c r="B46" s="434"/>
      <c r="C46" s="434"/>
      <c r="D46" s="434" t="s">
        <v>1966</v>
      </c>
      <c r="E46" s="753"/>
      <c r="F46" s="753"/>
      <c r="G46" s="753"/>
      <c r="H46" s="753"/>
      <c r="I46" s="754"/>
      <c r="J46" s="1410">
        <v>240</v>
      </c>
      <c r="K46" s="1412"/>
      <c r="L46" s="1214">
        <v>33</v>
      </c>
      <c r="M46" s="1412"/>
      <c r="N46" s="1214">
        <v>0</v>
      </c>
      <c r="O46" s="440"/>
      <c r="P46" s="1751">
        <f t="shared" ref="P46" si="1">SUM(J46:N46)</f>
        <v>273</v>
      </c>
      <c r="Q46" s="1788"/>
      <c r="R46" s="1789"/>
      <c r="S46" s="1790"/>
    </row>
    <row r="47" spans="1:23" s="432" customFormat="1" ht="15.6">
      <c r="A47" s="643" t="s">
        <v>541</v>
      </c>
      <c r="B47" s="646"/>
      <c r="C47" s="434"/>
      <c r="D47" s="1409" t="s">
        <v>1165</v>
      </c>
      <c r="E47" s="1408"/>
      <c r="F47" s="1408"/>
      <c r="G47" s="1408"/>
      <c r="H47" s="434"/>
      <c r="I47" s="437"/>
      <c r="J47" s="1410"/>
      <c r="K47" s="1214"/>
      <c r="L47" s="1411"/>
      <c r="M47" s="1214"/>
      <c r="N47" s="1411"/>
      <c r="O47" s="440"/>
      <c r="P47" s="1751">
        <v>0</v>
      </c>
      <c r="S47" s="441"/>
      <c r="T47" s="441"/>
      <c r="U47" s="441"/>
      <c r="V47" s="441"/>
      <c r="W47" s="441"/>
    </row>
    <row r="48" spans="1:23" s="432" customFormat="1" ht="15">
      <c r="A48" s="645">
        <v>6</v>
      </c>
      <c r="B48" s="434"/>
      <c r="C48" s="434"/>
      <c r="D48" s="434"/>
      <c r="E48" s="434"/>
      <c r="F48" s="434"/>
      <c r="G48" s="434" t="s">
        <v>1072</v>
      </c>
      <c r="H48" s="434"/>
      <c r="I48" s="446"/>
      <c r="J48" s="1752">
        <f>+J45+J44+J43+J41+J46+J47</f>
        <v>4408</v>
      </c>
      <c r="K48" s="447"/>
      <c r="L48" s="442">
        <f>+L45+L44+L43+L41+L46+L47</f>
        <v>266</v>
      </c>
      <c r="M48" s="447"/>
      <c r="N48" s="442">
        <f>+N45+N44+N43+N41+N46+N47</f>
        <v>-10</v>
      </c>
      <c r="O48" s="447"/>
      <c r="P48" s="1752">
        <f>+P45+P44+P43+P41+P46+P47</f>
        <v>4664</v>
      </c>
      <c r="R48" s="445"/>
    </row>
    <row r="49" spans="1:19" s="432" customFormat="1" ht="15">
      <c r="A49" s="643"/>
      <c r="B49" s="434"/>
      <c r="C49" s="434"/>
      <c r="D49" s="434"/>
      <c r="E49" s="434"/>
      <c r="F49" s="434"/>
      <c r="H49" s="434"/>
      <c r="I49" s="437"/>
      <c r="J49" s="1751"/>
      <c r="K49" s="440"/>
      <c r="L49" s="440"/>
      <c r="M49" s="440"/>
      <c r="N49" s="440"/>
      <c r="O49" s="440"/>
      <c r="P49" s="1751"/>
      <c r="Q49" s="430"/>
      <c r="R49" s="445"/>
    </row>
    <row r="50" spans="1:19" s="432" customFormat="1" ht="15">
      <c r="A50" s="645">
        <v>7</v>
      </c>
      <c r="B50" s="434"/>
      <c r="C50" s="434"/>
      <c r="D50" s="434"/>
      <c r="E50" s="434"/>
      <c r="F50" s="434"/>
      <c r="G50" s="434" t="s">
        <v>1073</v>
      </c>
      <c r="H50" s="434"/>
      <c r="I50" s="437"/>
      <c r="J50" s="1752">
        <f>+J38-J48</f>
        <v>5048</v>
      </c>
      <c r="K50" s="440"/>
      <c r="L50" s="442">
        <f>+L38-L48</f>
        <v>462</v>
      </c>
      <c r="M50" s="440"/>
      <c r="N50" s="442">
        <f>+N38-N48</f>
        <v>-1</v>
      </c>
      <c r="O50" s="440"/>
      <c r="P50" s="1752">
        <f>IF(SUM(J50:N50)=(P38-P48),SUM(J50:N50),"Off")</f>
        <v>5509</v>
      </c>
      <c r="Q50" s="444"/>
      <c r="R50" s="445"/>
      <c r="S50" s="445"/>
    </row>
    <row r="51" spans="1:19" s="432" customFormat="1" ht="15">
      <c r="A51" s="643"/>
      <c r="B51" s="434"/>
      <c r="C51" s="434"/>
      <c r="D51" s="434"/>
      <c r="E51" s="434"/>
      <c r="F51" s="434"/>
      <c r="G51" s="434"/>
      <c r="H51" s="434"/>
      <c r="I51" s="437"/>
      <c r="J51" s="1751"/>
      <c r="K51" s="440"/>
      <c r="L51" s="440"/>
      <c r="M51" s="440"/>
      <c r="N51" s="440"/>
      <c r="O51" s="440"/>
      <c r="P51" s="1751"/>
      <c r="Q51" s="444"/>
      <c r="R51" s="445"/>
    </row>
    <row r="52" spans="1:19" s="432" customFormat="1" ht="15.6" thickBot="1">
      <c r="A52" s="645">
        <v>8</v>
      </c>
      <c r="B52" s="434"/>
      <c r="C52" s="434"/>
      <c r="D52" s="434"/>
      <c r="E52" s="434"/>
      <c r="F52" s="434"/>
      <c r="G52" s="434" t="s">
        <v>1074</v>
      </c>
      <c r="H52" s="434"/>
      <c r="I52" s="437"/>
      <c r="J52" s="1754">
        <f>+J50+J27</f>
        <v>6032</v>
      </c>
      <c r="K52" s="447"/>
      <c r="L52" s="448">
        <f>+L50+L27</f>
        <v>1153</v>
      </c>
      <c r="M52" s="447"/>
      <c r="N52" s="448">
        <f>+N50+N27</f>
        <v>-697</v>
      </c>
      <c r="O52" s="447"/>
      <c r="P52" s="1754">
        <f>+P50+P27</f>
        <v>6488</v>
      </c>
      <c r="Q52" s="444"/>
      <c r="R52" s="445"/>
    </row>
    <row r="53" spans="1:19" ht="16.2" thickTop="1">
      <c r="A53" s="644"/>
      <c r="B53" s="158"/>
      <c r="C53" s="158"/>
      <c r="D53" s="158"/>
      <c r="E53" s="158"/>
      <c r="F53" s="158"/>
      <c r="G53" s="158"/>
      <c r="H53" s="158"/>
      <c r="I53" s="158"/>
      <c r="J53" s="374"/>
      <c r="K53" s="374"/>
      <c r="L53" s="374"/>
      <c r="M53" s="374"/>
      <c r="N53" s="374"/>
      <c r="O53" s="374"/>
      <c r="P53" s="374"/>
      <c r="Q53" s="158"/>
      <c r="R53" s="159"/>
    </row>
    <row r="54" spans="1:19" s="1756" customFormat="1">
      <c r="J54" s="1758"/>
      <c r="K54" s="1757"/>
      <c r="L54" s="1757"/>
      <c r="M54" s="1757"/>
      <c r="N54" s="1757"/>
      <c r="O54" s="1757"/>
      <c r="P54" s="1758"/>
      <c r="S54" s="1759"/>
    </row>
    <row r="55" spans="1:19" s="1756" customFormat="1">
      <c r="J55" s="1758"/>
      <c r="K55" s="1757"/>
      <c r="L55" s="1757"/>
      <c r="M55" s="1757"/>
      <c r="N55" s="1757"/>
      <c r="O55" s="1757"/>
      <c r="P55" s="1758"/>
    </row>
  </sheetData>
  <customSheetViews>
    <customSheetView guid="{B321D76C-CDE5-48BB-9CDE-80FF97D58FCF}" scale="70" showPageBreaks="1" printArea="1" view="pageBreakPreview">
      <selection activeCell="D33" sqref="D33"/>
      <pageMargins left="0.25" right="0.25" top="0.5" bottom="0.5" header="0.05" footer="0.05"/>
      <printOptions horizontalCentered="1"/>
      <pageSetup scale="63" orientation="portrait" cellComments="asDisplayed" r:id="rId1"/>
    </customSheetView>
  </customSheetViews>
  <mergeCells count="5">
    <mergeCell ref="B9:Q9"/>
    <mergeCell ref="B5:P5"/>
    <mergeCell ref="B4:P4"/>
    <mergeCell ref="B6:P6"/>
    <mergeCell ref="B8:Q8"/>
  </mergeCells>
  <printOptions horizontalCentered="1"/>
  <pageMargins left="0.25" right="0.25" top="0.5" bottom="0.5" header="0.05" footer="0.05"/>
  <pageSetup scale="63" orientation="portrait" cellComments="asDisplayed" r:id="rId2"/>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1F30-0D0C-45DC-A8A3-36CD85DE605D}">
  <sheetPr>
    <tabColor theme="6"/>
  </sheetPr>
  <dimension ref="A1:T135"/>
  <sheetViews>
    <sheetView view="pageBreakPreview" zoomScale="80" zoomScaleNormal="100" zoomScaleSheetLayoutView="80" workbookViewId="0">
      <selection activeCell="L81" sqref="L81"/>
    </sheetView>
  </sheetViews>
  <sheetFormatPr defaultColWidth="9" defaultRowHeight="13.8"/>
  <cols>
    <col min="1" max="1" width="8" style="385" customWidth="1"/>
    <col min="2" max="2" width="5.109375" style="385" customWidth="1"/>
    <col min="3" max="3" width="11.77734375" style="385" customWidth="1"/>
    <col min="4" max="6" width="9" style="382"/>
    <col min="7" max="7" width="13.77734375" style="1429" customWidth="1"/>
    <col min="8" max="13" width="14.109375" style="1429" customWidth="1"/>
    <col min="14" max="15" width="14.109375" style="382" customWidth="1"/>
    <col min="16" max="16384" width="9" style="382"/>
  </cols>
  <sheetData>
    <row r="1" spans="1:20" s="380" customFormat="1" ht="15.6">
      <c r="A1" s="1443" t="s">
        <v>992</v>
      </c>
      <c r="B1" s="386"/>
      <c r="C1" s="1442"/>
      <c r="G1" s="1430"/>
      <c r="H1" s="1441"/>
      <c r="I1" s="1430"/>
      <c r="J1" s="1430"/>
      <c r="K1" s="1430"/>
      <c r="L1" s="1430"/>
      <c r="M1" s="1430"/>
      <c r="N1" s="381"/>
      <c r="O1" s="381"/>
    </row>
    <row r="2" spans="1:20" ht="18">
      <c r="B2" s="1530"/>
      <c r="C2" s="1440"/>
      <c r="D2" s="383"/>
      <c r="E2" s="1438"/>
      <c r="F2" s="1438"/>
      <c r="G2" s="1437"/>
      <c r="H2" s="1437"/>
      <c r="N2" s="384"/>
      <c r="O2" s="384"/>
    </row>
    <row r="3" spans="1:20" ht="18">
      <c r="B3" s="1530"/>
      <c r="C3" s="1440"/>
      <c r="D3" s="383"/>
      <c r="E3" s="1438"/>
      <c r="F3" s="1438"/>
      <c r="G3" s="1437"/>
      <c r="H3" s="1437"/>
      <c r="N3" s="384"/>
      <c r="O3" s="384"/>
    </row>
    <row r="4" spans="1:20" ht="18">
      <c r="A4" s="2074" t="s">
        <v>200</v>
      </c>
      <c r="B4" s="2074"/>
      <c r="C4" s="2074"/>
      <c r="D4" s="2074"/>
      <c r="E4" s="2074"/>
      <c r="F4" s="2074"/>
      <c r="G4" s="2074"/>
      <c r="H4" s="2074"/>
      <c r="I4" s="2074"/>
      <c r="J4" s="2074"/>
      <c r="K4" s="2074"/>
      <c r="L4" s="2074"/>
      <c r="M4" s="2074"/>
      <c r="N4" s="2074"/>
      <c r="O4" s="2074"/>
      <c r="P4" s="1436"/>
    </row>
    <row r="5" spans="1:20" ht="18">
      <c r="A5" s="2074" t="s">
        <v>103</v>
      </c>
      <c r="B5" s="2074"/>
      <c r="C5" s="2074"/>
      <c r="D5" s="2074"/>
      <c r="E5" s="2074"/>
      <c r="F5" s="2074"/>
      <c r="G5" s="2074"/>
      <c r="H5" s="2074"/>
      <c r="I5" s="2074"/>
      <c r="J5" s="2074"/>
      <c r="K5" s="2074"/>
      <c r="L5" s="2074"/>
      <c r="M5" s="2074"/>
      <c r="N5" s="2074"/>
      <c r="O5" s="2074"/>
    </row>
    <row r="6" spans="1:20" ht="18">
      <c r="A6" s="2075" t="str">
        <f>SUMMARY!A7</f>
        <v>YEAR ENDING DECEMBER 31, 2021</v>
      </c>
      <c r="B6" s="2075"/>
      <c r="C6" s="2075"/>
      <c r="D6" s="2075"/>
      <c r="E6" s="2075"/>
      <c r="F6" s="2075"/>
      <c r="G6" s="2075"/>
      <c r="H6" s="2075"/>
      <c r="I6" s="2075"/>
      <c r="J6" s="2075"/>
      <c r="K6" s="2075"/>
      <c r="L6" s="2075"/>
      <c r="M6" s="2075"/>
      <c r="N6" s="2075"/>
      <c r="O6" s="2075"/>
    </row>
    <row r="7" spans="1:20" ht="12" customHeight="1">
      <c r="A7" s="1440"/>
      <c r="C7" s="1440"/>
      <c r="D7" s="1439"/>
      <c r="E7" s="1438"/>
      <c r="F7" s="1438"/>
      <c r="G7" s="1437"/>
      <c r="H7" s="1437"/>
      <c r="N7" s="384"/>
      <c r="O7" s="384"/>
    </row>
    <row r="8" spans="1:20" ht="18">
      <c r="A8" s="2074" t="s">
        <v>991</v>
      </c>
      <c r="B8" s="2074"/>
      <c r="C8" s="2074"/>
      <c r="D8" s="2074"/>
      <c r="E8" s="2074"/>
      <c r="F8" s="2074"/>
      <c r="G8" s="2074"/>
      <c r="H8" s="2074"/>
      <c r="I8" s="2074"/>
      <c r="J8" s="2074"/>
      <c r="K8" s="2074"/>
      <c r="L8" s="2074"/>
      <c r="M8" s="2074"/>
      <c r="N8" s="2074"/>
      <c r="O8" s="2074"/>
      <c r="P8" s="2074"/>
    </row>
    <row r="9" spans="1:20" ht="18">
      <c r="A9" s="2074" t="s">
        <v>857</v>
      </c>
      <c r="B9" s="2074"/>
      <c r="C9" s="2074"/>
      <c r="D9" s="2074"/>
      <c r="E9" s="2074"/>
      <c r="F9" s="2074"/>
      <c r="G9" s="2074"/>
      <c r="H9" s="2074"/>
      <c r="I9" s="2074"/>
      <c r="J9" s="2074"/>
      <c r="K9" s="2074"/>
      <c r="L9" s="2074"/>
      <c r="M9" s="2074"/>
      <c r="N9" s="2074"/>
      <c r="O9" s="2074"/>
      <c r="P9" s="2074"/>
    </row>
    <row r="10" spans="1:20" s="451" customFormat="1" ht="13.2">
      <c r="A10" s="1505" t="s">
        <v>58</v>
      </c>
      <c r="B10" s="450"/>
      <c r="C10" s="450"/>
      <c r="G10" s="1472"/>
      <c r="H10" s="1472"/>
      <c r="I10" s="1472"/>
      <c r="J10" s="1472"/>
      <c r="K10" s="1472"/>
      <c r="L10" s="1472"/>
      <c r="M10" s="1472"/>
    </row>
    <row r="11" spans="1:20" s="451" customFormat="1" ht="18" customHeight="1">
      <c r="A11" s="1503" t="s">
        <v>59</v>
      </c>
      <c r="B11" s="450"/>
      <c r="C11" s="450"/>
      <c r="E11" s="460"/>
      <c r="F11" s="450"/>
      <c r="G11" s="1497"/>
      <c r="H11" s="2071">
        <v>2021</v>
      </c>
      <c r="I11" s="2076"/>
      <c r="J11" s="2072"/>
      <c r="K11" s="1472"/>
      <c r="L11" s="1472"/>
      <c r="M11" s="1472"/>
      <c r="P11" s="1432"/>
      <c r="Q11" s="2073"/>
      <c r="R11" s="2073"/>
      <c r="S11" s="2073"/>
      <c r="T11" s="2073"/>
    </row>
    <row r="12" spans="1:20" s="451" customFormat="1" ht="18" customHeight="1">
      <c r="A12" s="1503"/>
      <c r="B12" s="450"/>
      <c r="C12" s="1504" t="s">
        <v>192</v>
      </c>
      <c r="E12" s="460"/>
      <c r="F12" s="450"/>
      <c r="G12" s="1497"/>
      <c r="H12" s="1502" t="s">
        <v>193</v>
      </c>
      <c r="I12" s="1502" t="s">
        <v>194</v>
      </c>
      <c r="J12" s="1502" t="s">
        <v>195</v>
      </c>
      <c r="K12" s="1502" t="s">
        <v>196</v>
      </c>
      <c r="L12" s="1502" t="s">
        <v>371</v>
      </c>
      <c r="M12" s="1502" t="s">
        <v>372</v>
      </c>
      <c r="N12" s="642" t="s">
        <v>900</v>
      </c>
      <c r="O12" s="642" t="s">
        <v>901</v>
      </c>
      <c r="P12" s="1432"/>
      <c r="Q12" s="1471"/>
      <c r="R12" s="1471"/>
      <c r="S12" s="1471"/>
      <c r="T12" s="1471"/>
    </row>
    <row r="13" spans="1:20" s="451" customFormat="1" ht="18" customHeight="1">
      <c r="A13" s="1503"/>
      <c r="B13" s="450"/>
      <c r="C13" s="642"/>
      <c r="E13" s="460"/>
      <c r="F13" s="450"/>
      <c r="G13" s="1497"/>
      <c r="H13" s="1502"/>
      <c r="I13" s="1502"/>
      <c r="J13" s="1502"/>
      <c r="K13" s="1472"/>
      <c r="L13" s="1472"/>
      <c r="M13" s="1472"/>
      <c r="P13" s="1432"/>
      <c r="Q13" s="1471"/>
      <c r="R13" s="1471"/>
      <c r="S13" s="1471"/>
      <c r="T13" s="1471"/>
    </row>
    <row r="14" spans="1:20" s="451" customFormat="1" ht="13.5" customHeight="1">
      <c r="B14" s="1529">
        <v>1</v>
      </c>
      <c r="C14" s="1492" t="s">
        <v>864</v>
      </c>
      <c r="E14" s="460"/>
      <c r="F14" s="450"/>
      <c r="G14" s="1497"/>
      <c r="H14" s="1480"/>
      <c r="I14" s="1480"/>
      <c r="J14" s="1480"/>
      <c r="K14" s="1480"/>
      <c r="L14" s="1497"/>
      <c r="M14" s="1497"/>
      <c r="P14" s="1432"/>
      <c r="Q14" s="1432"/>
      <c r="R14" s="1432"/>
      <c r="T14" s="1471"/>
    </row>
    <row r="15" spans="1:20" s="451" customFormat="1" ht="13.5" customHeight="1">
      <c r="A15" s="450"/>
      <c r="B15" s="450"/>
      <c r="E15" s="460"/>
      <c r="F15" s="450"/>
      <c r="G15" s="1497"/>
      <c r="H15" s="1501" t="s">
        <v>628</v>
      </c>
      <c r="I15" s="1501" t="s">
        <v>629</v>
      </c>
      <c r="J15" s="1501" t="s">
        <v>869</v>
      </c>
      <c r="K15" s="1497"/>
      <c r="L15" s="1497"/>
      <c r="M15" s="1497"/>
      <c r="P15" s="1432"/>
      <c r="Q15" s="1432"/>
      <c r="R15" s="1432"/>
      <c r="T15" s="1471"/>
    </row>
    <row r="16" spans="1:20" s="451" customFormat="1" ht="13.5" customHeight="1">
      <c r="A16" s="450"/>
      <c r="B16" s="450"/>
      <c r="E16" s="460"/>
      <c r="F16" s="450"/>
      <c r="G16" s="1497"/>
      <c r="H16" s="1497"/>
      <c r="I16" s="1500"/>
      <c r="J16" s="1500"/>
      <c r="K16" s="1500"/>
      <c r="L16" s="1497"/>
      <c r="M16" s="1497"/>
      <c r="P16" s="1432"/>
      <c r="Q16" s="1432"/>
      <c r="R16" s="1432"/>
      <c r="T16" s="1471"/>
    </row>
    <row r="17" spans="1:20" s="451" customFormat="1" ht="13.5" customHeight="1">
      <c r="A17" s="450" t="s">
        <v>471</v>
      </c>
      <c r="B17" s="450"/>
      <c r="C17" s="453" t="s">
        <v>870</v>
      </c>
      <c r="E17" s="460"/>
      <c r="F17" s="450"/>
      <c r="G17" s="1497"/>
      <c r="H17" s="1497">
        <f>'WP-AR-IS'!G28</f>
        <v>572</v>
      </c>
      <c r="I17" s="1497">
        <f>'WP-AR-IS'!G29</f>
        <v>171</v>
      </c>
      <c r="J17" s="1497">
        <f>H17+I17</f>
        <v>743</v>
      </c>
      <c r="K17" s="1480"/>
      <c r="L17" s="1497"/>
      <c r="M17" s="1497"/>
      <c r="P17" s="1432"/>
      <c r="Q17" s="1432"/>
      <c r="R17" s="1432"/>
      <c r="T17" s="1471"/>
    </row>
    <row r="18" spans="1:20" s="451" customFormat="1" ht="13.5" customHeight="1">
      <c r="A18" s="450" t="s">
        <v>473</v>
      </c>
      <c r="B18" s="450"/>
      <c r="C18" s="453" t="s">
        <v>867</v>
      </c>
      <c r="G18" s="1497"/>
      <c r="H18" s="1497"/>
      <c r="I18" s="1497"/>
      <c r="J18" s="1497"/>
      <c r="K18" s="1497"/>
      <c r="L18" s="1497"/>
      <c r="M18" s="1497"/>
      <c r="P18" s="1432"/>
      <c r="Q18" s="1432"/>
      <c r="R18" s="1432"/>
      <c r="T18" s="1471"/>
    </row>
    <row r="19" spans="1:20" s="451" customFormat="1" ht="13.5" customHeight="1">
      <c r="A19" s="450" t="s">
        <v>494</v>
      </c>
      <c r="B19" s="450"/>
      <c r="C19" s="454" t="s">
        <v>451</v>
      </c>
      <c r="G19" s="1497"/>
      <c r="H19" s="1497">
        <f>-SUM('WP-AA'!C19:C26)/10^6</f>
        <v>-93.759510580000011</v>
      </c>
      <c r="I19" s="1497">
        <f>-SUM('WP-AA'!C53:C63)/10^6</f>
        <v>-108.1521199</v>
      </c>
      <c r="J19" s="1497">
        <f t="shared" ref="J19:J37" si="0">H19+I19</f>
        <v>-201.91163048000001</v>
      </c>
      <c r="K19" s="1497"/>
      <c r="L19" s="1497"/>
      <c r="M19" s="1497"/>
      <c r="P19" s="1432"/>
      <c r="Q19" s="1432"/>
      <c r="R19" s="1432"/>
      <c r="T19" s="1471"/>
    </row>
    <row r="20" spans="1:20" s="451" customFormat="1" ht="13.5" customHeight="1">
      <c r="A20" s="450" t="s">
        <v>495</v>
      </c>
      <c r="B20" s="450"/>
      <c r="C20" s="454" t="s">
        <v>1124</v>
      </c>
      <c r="G20" s="1497"/>
      <c r="H20" s="1497">
        <f>-'WP-AA'!E26/10^6</f>
        <v>-7.1651146299999997</v>
      </c>
      <c r="I20" s="1497">
        <v>0</v>
      </c>
      <c r="J20" s="1497">
        <f t="shared" si="0"/>
        <v>-7.1651146299999997</v>
      </c>
      <c r="K20" s="1497"/>
      <c r="L20" s="1497"/>
      <c r="M20" s="1497"/>
      <c r="P20" s="1432"/>
      <c r="Q20" s="1432"/>
      <c r="R20" s="1432"/>
      <c r="T20" s="1471"/>
    </row>
    <row r="21" spans="1:20" s="451" customFormat="1" ht="13.5" customHeight="1">
      <c r="A21" s="450" t="s">
        <v>496</v>
      </c>
      <c r="B21" s="450"/>
      <c r="C21" s="454" t="s">
        <v>1141</v>
      </c>
      <c r="G21" s="1497"/>
      <c r="H21" s="1497">
        <f>-'WP-AA'!F31/10^6-'WP-AA'!F32/10^6</f>
        <v>-138.74778699000001</v>
      </c>
      <c r="I21" s="1497">
        <v>0</v>
      </c>
      <c r="J21" s="1497">
        <f t="shared" si="0"/>
        <v>-138.74778699000001</v>
      </c>
      <c r="K21" s="1497"/>
      <c r="L21" s="1497"/>
      <c r="M21" s="1497"/>
      <c r="P21" s="1432"/>
      <c r="Q21" s="1432"/>
      <c r="R21" s="1432"/>
      <c r="T21" s="1471"/>
    </row>
    <row r="22" spans="1:20" s="451" customFormat="1" ht="13.5" customHeight="1">
      <c r="A22" s="450" t="s">
        <v>497</v>
      </c>
      <c r="B22" s="450"/>
      <c r="C22" s="454" t="s">
        <v>1085</v>
      </c>
      <c r="G22" s="1497"/>
      <c r="H22" s="1497">
        <f>-'WP-AA'!F33/10^6</f>
        <v>-22.442985199999999</v>
      </c>
      <c r="I22" s="1497">
        <v>0</v>
      </c>
      <c r="J22" s="1497">
        <f t="shared" si="0"/>
        <v>-22.442985199999999</v>
      </c>
      <c r="K22" s="1497"/>
      <c r="L22" s="1497"/>
      <c r="M22" s="1497"/>
      <c r="P22" s="1432"/>
      <c r="Q22" s="1432"/>
      <c r="R22" s="1432"/>
      <c r="T22" s="1471"/>
    </row>
    <row r="23" spans="1:20" s="451" customFormat="1" ht="13.5" customHeight="1">
      <c r="A23" s="450" t="s">
        <v>498</v>
      </c>
      <c r="B23" s="450"/>
      <c r="C23" s="454" t="s">
        <v>861</v>
      </c>
      <c r="G23" s="1497"/>
      <c r="H23" s="1497">
        <f>-(SUM('WP-AA'!F34:F52)/10^6+H25+H26+H28)*'WP-EA'!H38</f>
        <v>-170.03596843376576</v>
      </c>
      <c r="I23" s="1497">
        <v>0</v>
      </c>
      <c r="J23" s="1497">
        <f t="shared" si="0"/>
        <v>-170.03596843376576</v>
      </c>
      <c r="K23" s="1497"/>
      <c r="L23" s="1497"/>
      <c r="M23" s="1497"/>
      <c r="P23" s="1432"/>
      <c r="Q23" s="1432"/>
      <c r="R23" s="1432"/>
      <c r="T23" s="1471"/>
    </row>
    <row r="24" spans="1:20" s="451" customFormat="1" ht="13.5" customHeight="1">
      <c r="A24" s="450" t="s">
        <v>499</v>
      </c>
      <c r="B24" s="450"/>
      <c r="C24" s="453" t="s">
        <v>183</v>
      </c>
      <c r="G24" s="1497"/>
      <c r="H24" s="1497"/>
      <c r="I24" s="1497"/>
      <c r="J24" s="1497">
        <f t="shared" si="0"/>
        <v>0</v>
      </c>
      <c r="K24" s="1497"/>
      <c r="L24" s="1497"/>
      <c r="M24" s="1497"/>
      <c r="P24" s="1432"/>
      <c r="Q24" s="1432"/>
      <c r="R24" s="1432"/>
      <c r="T24" s="1471"/>
    </row>
    <row r="25" spans="1:20" s="451" customFormat="1" ht="13.5" customHeight="1">
      <c r="A25" s="450" t="s">
        <v>500</v>
      </c>
      <c r="B25" s="450"/>
      <c r="C25" s="454" t="s">
        <v>862</v>
      </c>
      <c r="G25" s="1497"/>
      <c r="H25" s="1497">
        <f>-'WP-AA'!F38/10^6</f>
        <v>-6.8768467800000002</v>
      </c>
      <c r="I25" s="1497">
        <v>0</v>
      </c>
      <c r="J25" s="1497">
        <f t="shared" si="0"/>
        <v>-6.8768467800000002</v>
      </c>
      <c r="K25" s="1497"/>
      <c r="L25" s="1497"/>
      <c r="M25" s="1497"/>
      <c r="P25" s="1432"/>
      <c r="Q25" s="1432"/>
      <c r="R25" s="1432"/>
      <c r="T25" s="1471"/>
    </row>
    <row r="26" spans="1:20" s="451" customFormat="1" ht="13.5" customHeight="1">
      <c r="A26" s="450" t="s">
        <v>501</v>
      </c>
      <c r="B26" s="450"/>
      <c r="C26" s="454" t="s">
        <v>863</v>
      </c>
      <c r="G26" s="1497"/>
      <c r="H26" s="1497">
        <f>-'WP-AA'!F39/10^6</f>
        <v>-6.99850306</v>
      </c>
      <c r="I26" s="1497">
        <v>0</v>
      </c>
      <c r="J26" s="1497">
        <f t="shared" si="0"/>
        <v>-6.99850306</v>
      </c>
      <c r="K26" s="1497"/>
      <c r="L26" s="1497"/>
      <c r="M26" s="1497"/>
      <c r="P26" s="1432"/>
      <c r="Q26" s="1432"/>
      <c r="R26" s="1432"/>
      <c r="T26" s="1471"/>
    </row>
    <row r="27" spans="1:20" s="451" customFormat="1" ht="13.5" customHeight="1">
      <c r="A27" s="450" t="s">
        <v>502</v>
      </c>
      <c r="B27" s="450"/>
      <c r="C27" s="454" t="s">
        <v>743</v>
      </c>
      <c r="G27" s="1497"/>
      <c r="H27" s="1497">
        <f>'A2-A&amp;G'!H34/10^6</f>
        <v>0</v>
      </c>
      <c r="I27" s="1497">
        <v>0</v>
      </c>
      <c r="J27" s="1497">
        <f t="shared" si="0"/>
        <v>0</v>
      </c>
      <c r="K27" s="1497"/>
      <c r="L27" s="1497"/>
      <c r="M27" s="1497"/>
      <c r="P27" s="1432"/>
      <c r="Q27" s="1432"/>
      <c r="R27" s="1432"/>
      <c r="T27" s="1471"/>
    </row>
    <row r="28" spans="1:20" s="451" customFormat="1" ht="13.5" customHeight="1">
      <c r="A28" s="450" t="s">
        <v>503</v>
      </c>
      <c r="B28" s="450"/>
      <c r="C28" s="454" t="s">
        <v>1123</v>
      </c>
      <c r="G28" s="1497"/>
      <c r="H28" s="1497">
        <f>-'WP-AA'!F42/10^6</f>
        <v>-5.9752799999999997</v>
      </c>
      <c r="I28" s="1497">
        <v>0</v>
      </c>
      <c r="J28" s="1497">
        <f t="shared" si="0"/>
        <v>-5.9752799999999997</v>
      </c>
      <c r="K28" s="1497"/>
      <c r="L28" s="1497"/>
      <c r="M28" s="1497"/>
      <c r="P28" s="1432"/>
      <c r="Q28" s="1432"/>
      <c r="R28" s="1432"/>
      <c r="T28" s="1471"/>
    </row>
    <row r="29" spans="1:20" s="451" customFormat="1" ht="13.5" customHeight="1">
      <c r="A29" s="450" t="s">
        <v>505</v>
      </c>
      <c r="B29" s="450"/>
      <c r="C29" s="454" t="s">
        <v>746</v>
      </c>
      <c r="G29" s="1497"/>
      <c r="H29" s="1497">
        <f>'WP-AF'!H21/10^6</f>
        <v>66.578693999999999</v>
      </c>
      <c r="I29" s="1497">
        <v>0</v>
      </c>
      <c r="J29" s="1497">
        <f t="shared" si="0"/>
        <v>66.578693999999999</v>
      </c>
      <c r="K29" s="1497"/>
      <c r="L29" s="1497"/>
      <c r="M29" s="1497"/>
      <c r="P29" s="1432"/>
      <c r="Q29" s="1432"/>
      <c r="R29" s="1432"/>
      <c r="T29" s="1471"/>
    </row>
    <row r="30" spans="1:20" s="451" customFormat="1" ht="13.5" customHeight="1">
      <c r="A30" s="450" t="s">
        <v>504</v>
      </c>
      <c r="B30" s="450"/>
      <c r="C30" s="454" t="s">
        <v>860</v>
      </c>
      <c r="E30" s="790"/>
      <c r="F30" s="790"/>
      <c r="G30" s="1497"/>
      <c r="H30" s="1497">
        <f>'A2-A&amp;G'!J20/10^6</f>
        <v>1.76166247624322</v>
      </c>
      <c r="I30" s="1497">
        <v>0</v>
      </c>
      <c r="J30" s="1497">
        <f t="shared" si="0"/>
        <v>1.76166247624322</v>
      </c>
      <c r="K30" s="1497"/>
      <c r="L30" s="1497"/>
      <c r="M30" s="1497"/>
      <c r="P30" s="1432"/>
      <c r="Q30" s="1432"/>
      <c r="R30" s="1432"/>
      <c r="T30" s="1471"/>
    </row>
    <row r="31" spans="1:20" s="451" customFormat="1" ht="13.5" customHeight="1">
      <c r="A31" s="450" t="s">
        <v>506</v>
      </c>
      <c r="B31" s="450"/>
      <c r="C31" s="454" t="s">
        <v>859</v>
      </c>
      <c r="E31" s="790"/>
      <c r="F31" s="790"/>
      <c r="G31" s="1497"/>
      <c r="H31" s="1497">
        <f>'A2-A&amp;G'!J21/10^6</f>
        <v>2.9479029745470928</v>
      </c>
      <c r="I31" s="1497">
        <v>0</v>
      </c>
      <c r="J31" s="1497">
        <f t="shared" si="0"/>
        <v>2.9479029745470928</v>
      </c>
      <c r="K31" s="1497"/>
      <c r="L31" s="1497"/>
      <c r="M31" s="1497"/>
      <c r="P31" s="1432"/>
      <c r="Q31" s="1432"/>
      <c r="R31" s="1432"/>
      <c r="T31" s="1471"/>
    </row>
    <row r="32" spans="1:20" s="451" customFormat="1" ht="13.5" customHeight="1">
      <c r="A32" s="450" t="s">
        <v>1168</v>
      </c>
      <c r="B32" s="450"/>
      <c r="C32" s="454" t="s">
        <v>145</v>
      </c>
      <c r="E32" s="790"/>
      <c r="F32" s="790"/>
      <c r="G32" s="1497"/>
      <c r="H32" s="1497">
        <v>0</v>
      </c>
      <c r="I32" s="1497">
        <f>'A1-O&amp;M'!J33/10^6</f>
        <v>-1.705279623645688</v>
      </c>
      <c r="J32" s="1497">
        <f t="shared" si="0"/>
        <v>-1.705279623645688</v>
      </c>
      <c r="K32" s="1497"/>
      <c r="L32" s="1497"/>
      <c r="M32" s="1497"/>
      <c r="P32" s="1432"/>
      <c r="Q32" s="1432"/>
      <c r="R32" s="1432"/>
      <c r="T32" s="1471"/>
    </row>
    <row r="33" spans="1:20" s="451" customFormat="1" ht="13.5" customHeight="1">
      <c r="A33" s="450" t="s">
        <v>1169</v>
      </c>
      <c r="B33" s="450"/>
      <c r="C33" s="454" t="s">
        <v>146</v>
      </c>
      <c r="E33" s="460"/>
      <c r="F33" s="450"/>
      <c r="G33" s="1497"/>
      <c r="H33" s="1497">
        <v>0</v>
      </c>
      <c r="I33" s="1497">
        <f>'A1-O&amp;M'!J34/10^6</f>
        <v>-1.0057677968906531</v>
      </c>
      <c r="J33" s="1497">
        <f t="shared" si="0"/>
        <v>-1.0057677968906531</v>
      </c>
      <c r="K33" s="1497"/>
      <c r="L33" s="1497"/>
      <c r="M33" s="1497"/>
      <c r="P33" s="1432"/>
      <c r="Q33" s="1432"/>
      <c r="R33" s="1432"/>
      <c r="T33" s="1471"/>
    </row>
    <row r="34" spans="1:20" s="451" customFormat="1" ht="13.5" customHeight="1">
      <c r="A34" s="450" t="s">
        <v>1170</v>
      </c>
      <c r="B34" s="450"/>
      <c r="C34" s="454" t="s">
        <v>756</v>
      </c>
      <c r="E34" s="460"/>
      <c r="F34" s="450"/>
      <c r="G34" s="1497"/>
      <c r="H34" s="1497">
        <v>0</v>
      </c>
      <c r="I34" s="1497">
        <f>'A1-O&amp;M'!J35/10^6</f>
        <v>-0.16282007000000001</v>
      </c>
      <c r="J34" s="1497">
        <f t="shared" si="0"/>
        <v>-0.16282007000000001</v>
      </c>
      <c r="K34" s="1497"/>
      <c r="L34" s="1497"/>
      <c r="M34" s="1497"/>
      <c r="P34" s="1432"/>
      <c r="Q34" s="1432"/>
      <c r="R34" s="1432"/>
      <c r="T34" s="1471"/>
    </row>
    <row r="35" spans="1:20" s="451" customFormat="1" ht="13.5" customHeight="1">
      <c r="A35" s="450" t="s">
        <v>1171</v>
      </c>
      <c r="B35" s="450"/>
      <c r="C35" s="454" t="s">
        <v>1140</v>
      </c>
      <c r="E35" s="790"/>
      <c r="F35" s="790"/>
      <c r="G35" s="1497"/>
      <c r="H35" s="1497">
        <v>0</v>
      </c>
      <c r="I35" s="1497">
        <f>-H35</f>
        <v>0</v>
      </c>
      <c r="J35" s="1497">
        <f t="shared" si="0"/>
        <v>0</v>
      </c>
      <c r="K35" s="1497"/>
      <c r="L35" s="1497"/>
      <c r="M35" s="1497"/>
      <c r="P35" s="1432"/>
      <c r="Q35" s="1432"/>
      <c r="R35" s="1432"/>
      <c r="T35" s="1471"/>
    </row>
    <row r="36" spans="1:20" s="451" customFormat="1" ht="13.5" customHeight="1" thickBot="1">
      <c r="A36" s="450"/>
      <c r="B36" s="450"/>
      <c r="C36" s="453" t="s">
        <v>871</v>
      </c>
      <c r="E36" s="790"/>
      <c r="F36" s="790"/>
      <c r="G36" s="1497"/>
      <c r="H36" s="1488">
        <f>H17+SUM(H19:H23)+SUM(H25:H35)</f>
        <v>191.28626377702452</v>
      </c>
      <c r="I36" s="1488">
        <f>I17+SUM(I19:I23)+SUM(I25:I35)</f>
        <v>59.974012609463657</v>
      </c>
      <c r="J36" s="1488">
        <f t="shared" si="0"/>
        <v>251.26027638648816</v>
      </c>
      <c r="K36" s="1497"/>
      <c r="L36" s="1497"/>
      <c r="M36" s="1497"/>
      <c r="P36" s="1432"/>
      <c r="Q36" s="1432"/>
      <c r="R36" s="1432"/>
      <c r="T36" s="1471"/>
    </row>
    <row r="37" spans="1:20" s="466" customFormat="1" ht="13.5" customHeight="1" thickTop="1">
      <c r="A37" s="450"/>
      <c r="B37" s="456"/>
      <c r="C37" s="457" t="s">
        <v>576</v>
      </c>
      <c r="E37" s="1435"/>
      <c r="F37" s="1435"/>
      <c r="G37" s="1499"/>
      <c r="H37" s="1499">
        <f>('A1-O&amp;M'!H20+'A2-A&amp;G'!J40)/10^6-H36</f>
        <v>-80.534035436232273</v>
      </c>
      <c r="I37" s="1499">
        <f>('A1-O&amp;M'!H29+'A1-O&amp;M'!J33+'A1-O&amp;M'!J34+'A1-O&amp;M'!J35)/10^6-I36</f>
        <v>0.2917138800000032</v>
      </c>
      <c r="J37" s="1499">
        <f t="shared" si="0"/>
        <v>-80.24232155623227</v>
      </c>
      <c r="K37" s="1499"/>
      <c r="L37" s="1499"/>
      <c r="M37" s="1499"/>
      <c r="P37" s="1434"/>
      <c r="Q37" s="1434"/>
      <c r="R37" s="1434"/>
      <c r="T37" s="1433"/>
    </row>
    <row r="38" spans="1:20" s="451" customFormat="1" ht="13.5" customHeight="1">
      <c r="A38" s="450"/>
      <c r="B38" s="450"/>
      <c r="C38" s="450"/>
      <c r="E38" s="460"/>
      <c r="F38" s="450"/>
      <c r="G38" s="1489"/>
      <c r="H38" s="1489"/>
      <c r="I38" s="1489"/>
      <c r="J38" s="1489"/>
      <c r="K38" s="1480"/>
      <c r="L38" s="1489"/>
      <c r="M38" s="1489"/>
      <c r="P38" s="1432"/>
      <c r="Q38" s="1432"/>
      <c r="R38" s="1432"/>
      <c r="T38" s="1471"/>
    </row>
    <row r="39" spans="1:20" s="451" customFormat="1" ht="13.5" customHeight="1">
      <c r="A39" s="450"/>
      <c r="B39" s="1529">
        <v>2</v>
      </c>
      <c r="C39" s="458" t="s">
        <v>1147</v>
      </c>
      <c r="E39" s="460"/>
      <c r="F39" s="450"/>
      <c r="G39" s="1497"/>
      <c r="H39" s="1497"/>
      <c r="I39" s="1497"/>
      <c r="J39" s="1497"/>
      <c r="K39" s="1480"/>
      <c r="L39" s="1497"/>
      <c r="M39" s="1497"/>
      <c r="P39" s="1432"/>
      <c r="Q39" s="1432"/>
      <c r="R39" s="1432"/>
      <c r="T39" s="1471"/>
    </row>
    <row r="40" spans="1:20" s="451" customFormat="1" ht="18" customHeight="1">
      <c r="A40" s="450"/>
      <c r="B40" s="450"/>
      <c r="C40" s="450"/>
      <c r="E40" s="460"/>
      <c r="F40" s="450"/>
      <c r="G40" s="1497"/>
      <c r="H40" s="2071">
        <v>2021</v>
      </c>
      <c r="I40" s="2076"/>
      <c r="J40" s="2076"/>
      <c r="K40" s="2072"/>
      <c r="L40" s="2077">
        <v>2020</v>
      </c>
      <c r="M40" s="2078"/>
      <c r="N40" s="2078"/>
      <c r="O40" s="2079"/>
      <c r="P40" s="1432"/>
      <c r="Q40" s="1432"/>
      <c r="R40" s="1432"/>
      <c r="T40" s="1471"/>
    </row>
    <row r="41" spans="1:20" s="451" customFormat="1" ht="18" customHeight="1">
      <c r="A41" s="450"/>
      <c r="B41" s="1498"/>
      <c r="C41" s="450"/>
      <c r="E41" s="460"/>
      <c r="F41" s="450"/>
      <c r="G41" s="1497"/>
      <c r="H41" s="1496" t="s">
        <v>1142</v>
      </c>
      <c r="I41" s="1496" t="s">
        <v>150</v>
      </c>
      <c r="J41" s="1496" t="s">
        <v>1142</v>
      </c>
      <c r="K41" s="1496" t="s">
        <v>68</v>
      </c>
      <c r="L41" s="1496" t="s">
        <v>1142</v>
      </c>
      <c r="M41" s="1496" t="s">
        <v>150</v>
      </c>
      <c r="N41" s="1471" t="s">
        <v>1142</v>
      </c>
      <c r="O41" s="1471" t="s">
        <v>68</v>
      </c>
      <c r="P41" s="1432"/>
      <c r="Q41" s="1471"/>
      <c r="R41" s="1471"/>
      <c r="S41" s="1432"/>
      <c r="T41" s="1471"/>
    </row>
    <row r="42" spans="1:20" s="451" customFormat="1" ht="18" customHeight="1">
      <c r="A42" s="450"/>
      <c r="B42" s="1495"/>
      <c r="C42" s="450"/>
      <c r="E42" s="460"/>
      <c r="F42" s="459"/>
      <c r="G42" s="1494"/>
      <c r="H42" s="1493" t="s">
        <v>791</v>
      </c>
      <c r="I42" s="1493" t="s">
        <v>280</v>
      </c>
      <c r="J42" s="1493" t="s">
        <v>848</v>
      </c>
      <c r="K42" s="1493" t="s">
        <v>793</v>
      </c>
      <c r="L42" s="1493" t="s">
        <v>791</v>
      </c>
      <c r="M42" s="1493" t="s">
        <v>280</v>
      </c>
      <c r="N42" s="459" t="s">
        <v>848</v>
      </c>
      <c r="O42" s="459" t="s">
        <v>793</v>
      </c>
      <c r="P42" s="1492"/>
      <c r="Q42" s="459"/>
      <c r="R42" s="459"/>
      <c r="S42" s="459"/>
      <c r="T42" s="459"/>
    </row>
    <row r="43" spans="1:20" s="451" customFormat="1" ht="13.5" customHeight="1">
      <c r="A43" s="450"/>
      <c r="B43" s="450"/>
      <c r="C43" s="450"/>
      <c r="D43" s="1492"/>
      <c r="E43" s="460"/>
      <c r="F43" s="450"/>
      <c r="G43" s="1472"/>
      <c r="H43" s="1472"/>
      <c r="I43" s="1472"/>
      <c r="J43" s="1472"/>
      <c r="K43" s="1472"/>
      <c r="L43" s="1472"/>
      <c r="M43" s="1472"/>
    </row>
    <row r="44" spans="1:20" s="451" customFormat="1" ht="13.5" customHeight="1">
      <c r="A44" s="450" t="s">
        <v>1265</v>
      </c>
      <c r="B44" s="450"/>
      <c r="C44" s="451" t="s">
        <v>858</v>
      </c>
      <c r="E44" s="460"/>
      <c r="F44" s="450"/>
      <c r="G44" s="1472"/>
      <c r="H44" s="1472"/>
      <c r="I44" s="1472"/>
      <c r="J44" s="1472"/>
      <c r="K44" s="1472"/>
      <c r="L44" s="1472"/>
      <c r="M44" s="1472"/>
    </row>
    <row r="45" spans="1:20" s="451" customFormat="1" ht="13.5" customHeight="1">
      <c r="A45" s="450" t="s">
        <v>1266</v>
      </c>
      <c r="B45" s="450"/>
      <c r="C45" s="454" t="s">
        <v>851</v>
      </c>
      <c r="E45" s="460"/>
      <c r="F45" s="450"/>
      <c r="G45" s="1472"/>
      <c r="H45" s="1489">
        <f>'WP-AR-Cap Assets'!P27</f>
        <v>979</v>
      </c>
      <c r="I45" s="1489">
        <v>0</v>
      </c>
      <c r="J45" s="1489">
        <f>H45-I45</f>
        <v>979</v>
      </c>
      <c r="K45" s="1489">
        <v>0</v>
      </c>
      <c r="L45" s="1489">
        <f>'WP-AR-Cap Assets'!J27</f>
        <v>984</v>
      </c>
      <c r="M45" s="1489">
        <v>0</v>
      </c>
      <c r="N45" s="461">
        <f>L45-M45</f>
        <v>984</v>
      </c>
      <c r="O45" s="461">
        <v>0</v>
      </c>
    </row>
    <row r="46" spans="1:20" s="451" customFormat="1" ht="13.5" customHeight="1">
      <c r="A46" s="450" t="s">
        <v>1267</v>
      </c>
      <c r="B46" s="450"/>
      <c r="C46" s="454" t="s">
        <v>852</v>
      </c>
      <c r="E46" s="460"/>
      <c r="F46" s="450"/>
      <c r="G46" s="1472"/>
      <c r="H46" s="1491">
        <f>'WP-AR-Cap Assets'!P38</f>
        <v>10173</v>
      </c>
      <c r="I46" s="1491">
        <f>'WP-AR-Cap Assets'!P48</f>
        <v>4664</v>
      </c>
      <c r="J46" s="1491">
        <f>H46-I46</f>
        <v>5509</v>
      </c>
      <c r="K46" s="1491">
        <f>'WP-AR-IS'!G30</f>
        <v>281</v>
      </c>
      <c r="L46" s="1491">
        <f>'WP-AR-Cap Assets'!J38</f>
        <v>9456</v>
      </c>
      <c r="M46" s="1491">
        <f>'WP-AR-Cap Assets'!J48</f>
        <v>4408</v>
      </c>
      <c r="N46" s="462">
        <f>L46-M46</f>
        <v>5048</v>
      </c>
      <c r="O46" s="462">
        <f>'WP-AR-IS'!H30</f>
        <v>258</v>
      </c>
    </row>
    <row r="47" spans="1:20" s="451" customFormat="1" ht="13.5" customHeight="1">
      <c r="A47" s="450" t="s">
        <v>1268</v>
      </c>
      <c r="B47" s="450"/>
      <c r="C47" s="454" t="s">
        <v>844</v>
      </c>
      <c r="E47" s="460"/>
      <c r="F47" s="450"/>
      <c r="G47" s="1472"/>
      <c r="H47" s="1489">
        <f t="shared" ref="H47:O47" si="1">SUM(H45:H46)</f>
        <v>11152</v>
      </c>
      <c r="I47" s="1489">
        <f t="shared" si="1"/>
        <v>4664</v>
      </c>
      <c r="J47" s="1489">
        <f t="shared" si="1"/>
        <v>6488</v>
      </c>
      <c r="K47" s="1489">
        <f t="shared" si="1"/>
        <v>281</v>
      </c>
      <c r="L47" s="1489">
        <f t="shared" si="1"/>
        <v>10440</v>
      </c>
      <c r="M47" s="1489">
        <f t="shared" si="1"/>
        <v>4408</v>
      </c>
      <c r="N47" s="461">
        <f t="shared" si="1"/>
        <v>6032</v>
      </c>
      <c r="O47" s="461">
        <f t="shared" si="1"/>
        <v>258</v>
      </c>
    </row>
    <row r="48" spans="1:20" s="451" customFormat="1" ht="13.5" customHeight="1">
      <c r="A48" s="450" t="s">
        <v>1269</v>
      </c>
      <c r="B48" s="450"/>
      <c r="C48" s="454" t="s">
        <v>845</v>
      </c>
      <c r="E48" s="460"/>
      <c r="F48" s="450"/>
      <c r="G48" s="1472"/>
      <c r="H48" s="1491">
        <f>-'WP-AR-Cap Assets'!P23</f>
        <v>-713</v>
      </c>
      <c r="I48" s="1491">
        <v>0</v>
      </c>
      <c r="J48" s="1491">
        <f>H48-I48</f>
        <v>-713</v>
      </c>
      <c r="K48" s="1491">
        <v>0</v>
      </c>
      <c r="L48" s="1491">
        <f>-'WP-AR-Cap Assets'!J23</f>
        <v>-637</v>
      </c>
      <c r="M48" s="1491">
        <v>0</v>
      </c>
      <c r="N48" s="462">
        <f>L48-M48</f>
        <v>-637</v>
      </c>
      <c r="O48" s="462">
        <f>-'WP-BC'!N60</f>
        <v>0</v>
      </c>
    </row>
    <row r="49" spans="1:16" s="451" customFormat="1" ht="13.5" customHeight="1">
      <c r="A49" s="450" t="s">
        <v>1270</v>
      </c>
      <c r="B49" s="450"/>
      <c r="C49" s="454" t="s">
        <v>846</v>
      </c>
      <c r="E49" s="460"/>
      <c r="F49" s="450"/>
      <c r="G49" s="1472"/>
      <c r="H49" s="1489">
        <f t="shared" ref="H49:O49" si="2">SUM(H47:H48)</f>
        <v>10439</v>
      </c>
      <c r="I49" s="1489">
        <f t="shared" si="2"/>
        <v>4664</v>
      </c>
      <c r="J49" s="1489">
        <f t="shared" si="2"/>
        <v>5775</v>
      </c>
      <c r="K49" s="1489">
        <f t="shared" si="2"/>
        <v>281</v>
      </c>
      <c r="L49" s="1489">
        <f t="shared" si="2"/>
        <v>9803</v>
      </c>
      <c r="M49" s="1489">
        <f t="shared" si="2"/>
        <v>4408</v>
      </c>
      <c r="N49" s="461">
        <f t="shared" si="2"/>
        <v>5395</v>
      </c>
      <c r="O49" s="461">
        <f t="shared" si="2"/>
        <v>258</v>
      </c>
    </row>
    <row r="50" spans="1:16" s="451" customFormat="1" ht="13.5" customHeight="1">
      <c r="A50" s="450" t="s">
        <v>1271</v>
      </c>
      <c r="B50" s="450"/>
      <c r="C50" s="453" t="s">
        <v>853</v>
      </c>
      <c r="E50" s="460"/>
      <c r="F50" s="450"/>
      <c r="G50" s="1472"/>
      <c r="H50" s="1489"/>
      <c r="I50" s="1489"/>
      <c r="J50" s="1489"/>
      <c r="K50" s="1489"/>
      <c r="L50" s="1489"/>
      <c r="M50" s="1489"/>
      <c r="N50" s="461"/>
      <c r="O50" s="461"/>
    </row>
    <row r="51" spans="1:16" s="451" customFormat="1" ht="13.5" customHeight="1">
      <c r="A51" s="450" t="s">
        <v>1272</v>
      </c>
      <c r="B51" s="450"/>
      <c r="C51" s="454" t="s">
        <v>854</v>
      </c>
      <c r="F51" s="450"/>
      <c r="G51" s="1472"/>
      <c r="H51" s="1489"/>
      <c r="I51" s="1489"/>
      <c r="J51" s="1489"/>
      <c r="K51" s="1489"/>
      <c r="L51" s="1489"/>
      <c r="M51" s="1489"/>
      <c r="N51" s="461"/>
      <c r="O51" s="461"/>
    </row>
    <row r="52" spans="1:16" s="451" customFormat="1" ht="13.5" customHeight="1">
      <c r="A52" s="450" t="s">
        <v>1576</v>
      </c>
      <c r="B52" s="450"/>
      <c r="C52" s="463" t="s">
        <v>34</v>
      </c>
      <c r="E52" s="460"/>
      <c r="F52" s="450"/>
      <c r="G52" s="1472"/>
      <c r="H52" s="1489">
        <f>'B2-Plant'!I28/10^6</f>
        <v>0</v>
      </c>
      <c r="I52" s="1489">
        <f>'B2-Plant'!J28/10^6</f>
        <v>143.88651999999999</v>
      </c>
      <c r="J52" s="1489">
        <f>H52-I52</f>
        <v>-143.88651999999999</v>
      </c>
      <c r="K52" s="1489">
        <f>'B2-Plant'!L28/10^6</f>
        <v>0</v>
      </c>
      <c r="L52" s="1489">
        <f>'B2-Plant'!M28/10^6</f>
        <v>0</v>
      </c>
      <c r="M52" s="1489">
        <f>'B2-Plant'!N28/10^6</f>
        <v>135.51368805999999</v>
      </c>
      <c r="N52" s="461">
        <f>L52-M52</f>
        <v>-135.51368805999999</v>
      </c>
      <c r="O52" s="461">
        <f>'B2-Plant'!P28/10^6</f>
        <v>0</v>
      </c>
    </row>
    <row r="53" spans="1:16" s="451" customFormat="1" ht="13.5" customHeight="1">
      <c r="A53" s="450" t="s">
        <v>1577</v>
      </c>
      <c r="B53" s="450"/>
      <c r="C53" s="463" t="s">
        <v>107</v>
      </c>
      <c r="E53" s="460"/>
      <c r="F53" s="450"/>
      <c r="G53" s="1472"/>
      <c r="H53" s="1491">
        <f>'B2-Plant'!I49/10^6</f>
        <v>0</v>
      </c>
      <c r="I53" s="1491">
        <f>'B2-Plant'!J49/10^6</f>
        <v>3.6919870000000001</v>
      </c>
      <c r="J53" s="1491">
        <f>H53-I53</f>
        <v>-3.6919870000000001</v>
      </c>
      <c r="K53" s="1491">
        <f>'B2-Plant'!L49/10^6</f>
        <v>0</v>
      </c>
      <c r="L53" s="1491">
        <f>'B2-Plant'!M49/10^6</f>
        <v>0</v>
      </c>
      <c r="M53" s="1491">
        <f>'B2-Plant'!N49/10^6</f>
        <v>3.800611</v>
      </c>
      <c r="N53" s="462">
        <f>L53-M53</f>
        <v>-3.800611</v>
      </c>
      <c r="O53" s="462">
        <f>'B2-Plant'!P49/10^6</f>
        <v>0</v>
      </c>
    </row>
    <row r="54" spans="1:16" s="451" customFormat="1" ht="13.5" customHeight="1">
      <c r="A54" s="450" t="s">
        <v>1578</v>
      </c>
      <c r="B54" s="450"/>
      <c r="C54" s="463" t="s">
        <v>4</v>
      </c>
      <c r="E54" s="460"/>
      <c r="F54" s="450"/>
      <c r="G54" s="1472"/>
      <c r="H54" s="1489">
        <f>SUM(H52:H53)</f>
        <v>0</v>
      </c>
      <c r="I54" s="1489">
        <f>SUM(I52:I53)</f>
        <v>147.578507</v>
      </c>
      <c r="J54" s="1489">
        <f>H54-I54</f>
        <v>-147.578507</v>
      </c>
      <c r="K54" s="1489">
        <f>SUM(K52:K53)</f>
        <v>0</v>
      </c>
      <c r="L54" s="1489">
        <f>SUM(L52:L53)</f>
        <v>0</v>
      </c>
      <c r="M54" s="1489">
        <f>SUM(M52:M53)</f>
        <v>139.31429906</v>
      </c>
      <c r="N54" s="461">
        <f>L54-M54</f>
        <v>-139.31429906</v>
      </c>
      <c r="O54" s="461">
        <f>SUM(O52:O53)</f>
        <v>0</v>
      </c>
    </row>
    <row r="55" spans="1:16" s="451" customFormat="1" ht="13.5" customHeight="1">
      <c r="A55" s="450" t="s">
        <v>1579</v>
      </c>
      <c r="B55" s="450"/>
      <c r="C55" s="454" t="s">
        <v>855</v>
      </c>
      <c r="E55" s="460"/>
      <c r="F55" s="450"/>
      <c r="G55" s="1472"/>
      <c r="H55" s="1489"/>
      <c r="I55" s="1489"/>
      <c r="J55" s="1489"/>
      <c r="K55" s="1489"/>
      <c r="L55" s="1489"/>
      <c r="M55" s="1489"/>
      <c r="N55" s="461"/>
      <c r="O55" s="461"/>
    </row>
    <row r="56" spans="1:16" s="451" customFormat="1" ht="13.5" customHeight="1">
      <c r="A56" s="450" t="s">
        <v>1580</v>
      </c>
      <c r="B56" s="450"/>
      <c r="C56" s="463" t="s">
        <v>34</v>
      </c>
      <c r="E56" s="460"/>
      <c r="F56" s="450"/>
      <c r="G56" s="1472"/>
      <c r="H56" s="1489">
        <f>'B2-Plant'!I30/10^6</f>
        <v>-362.39266938999998</v>
      </c>
      <c r="I56" s="1489">
        <f>'B2-Plant'!J30/10^6</f>
        <v>-243.05563728999996</v>
      </c>
      <c r="J56" s="1489">
        <f>H56-I56</f>
        <v>-119.33703210000002</v>
      </c>
      <c r="K56" s="1489">
        <f>'B2-Plant'!L30/10^6</f>
        <v>-8.7499880000000001</v>
      </c>
      <c r="L56" s="1489">
        <f>'B2-Plant'!M30/10^6</f>
        <v>-362.39266938999998</v>
      </c>
      <c r="M56" s="1489">
        <f>'B2-Plant'!N30/10^6</f>
        <v>-234.30564928999996</v>
      </c>
      <c r="N56" s="461">
        <f>L56-M56</f>
        <v>-128.08702010000002</v>
      </c>
      <c r="O56" s="461">
        <f>'B2-Plant'!P30/10^6</f>
        <v>-8.7481180600000013</v>
      </c>
    </row>
    <row r="57" spans="1:16" s="451" customFormat="1" ht="13.5" customHeight="1">
      <c r="A57" s="450" t="s">
        <v>1581</v>
      </c>
      <c r="B57" s="450"/>
      <c r="C57" s="463" t="s">
        <v>107</v>
      </c>
      <c r="E57" s="460"/>
      <c r="F57" s="450"/>
      <c r="G57" s="1472"/>
      <c r="H57" s="1491">
        <f>'B2-Plant'!I51/10^6</f>
        <v>-39.971173625800006</v>
      </c>
      <c r="I57" s="1491">
        <f>'B2-Plant'!J51/10^6</f>
        <v>-17.852236615799999</v>
      </c>
      <c r="J57" s="1491">
        <f>H57-I57</f>
        <v>-22.118937010000007</v>
      </c>
      <c r="K57" s="1491">
        <f>'B2-Plant'!L51/10^6</f>
        <v>-1.4931080799999998</v>
      </c>
      <c r="L57" s="1491">
        <f>'B2-Plant'!M51/10^6</f>
        <v>-22.528440285799999</v>
      </c>
      <c r="M57" s="1491">
        <f>'B2-Plant'!N51/10^6</f>
        <v>-16.3591285358</v>
      </c>
      <c r="N57" s="462">
        <f>L57-M57</f>
        <v>-6.1693117499999985</v>
      </c>
      <c r="O57" s="462">
        <f>'B2-Plant'!P51/10^6</f>
        <v>-0.7037069292</v>
      </c>
      <c r="P57" s="1432"/>
    </row>
    <row r="58" spans="1:16" s="451" customFormat="1" ht="13.5" customHeight="1">
      <c r="A58" s="450" t="s">
        <v>1582</v>
      </c>
      <c r="B58" s="450"/>
      <c r="C58" s="463" t="s">
        <v>4</v>
      </c>
      <c r="E58" s="460"/>
      <c r="F58" s="450"/>
      <c r="G58" s="1472"/>
      <c r="H58" s="1489">
        <f>SUM(H56:H57)</f>
        <v>-402.3638430158</v>
      </c>
      <c r="I58" s="1489">
        <f>SUM(I56:I57)</f>
        <v>-260.90787390579999</v>
      </c>
      <c r="J58" s="1489">
        <f>H58-I58</f>
        <v>-141.45596911000001</v>
      </c>
      <c r="K58" s="1489">
        <f>SUM(K56:K57)</f>
        <v>-10.243096080000001</v>
      </c>
      <c r="L58" s="1489">
        <f>SUM(L56:L57)</f>
        <v>-384.92110967579998</v>
      </c>
      <c r="M58" s="1489">
        <f>SUM(M56:M57)</f>
        <v>-250.66477782579997</v>
      </c>
      <c r="N58" s="461">
        <f>L58-M58</f>
        <v>-134.25633185000001</v>
      </c>
      <c r="O58" s="461">
        <f>SUM(O56:O57)</f>
        <v>-9.4518249892000021</v>
      </c>
      <c r="P58" s="1432"/>
    </row>
    <row r="59" spans="1:16" s="451" customFormat="1" ht="13.5" customHeight="1">
      <c r="A59" s="450" t="s">
        <v>1583</v>
      </c>
      <c r="B59" s="450"/>
      <c r="C59" s="454" t="s">
        <v>856</v>
      </c>
      <c r="E59" s="460"/>
      <c r="F59" s="450"/>
      <c r="G59" s="1472"/>
      <c r="H59" s="1489"/>
      <c r="I59" s="1489"/>
      <c r="J59" s="1489"/>
      <c r="K59" s="1489"/>
      <c r="L59" s="1489"/>
      <c r="M59" s="1489"/>
      <c r="N59" s="461"/>
      <c r="O59" s="461"/>
    </row>
    <row r="60" spans="1:16" s="451" customFormat="1" ht="13.5" customHeight="1">
      <c r="A60" s="450" t="s">
        <v>1584</v>
      </c>
      <c r="B60" s="450"/>
      <c r="C60" s="463" t="s">
        <v>34</v>
      </c>
      <c r="E60" s="460"/>
      <c r="F60" s="450"/>
      <c r="G60" s="1472"/>
      <c r="H60" s="1489">
        <f>'B2-Plant'!I38/10^6</f>
        <v>-173.43865615999999</v>
      </c>
      <c r="I60" s="1489">
        <f>'B2-Plant'!J38/10^6</f>
        <v>-58.224437159999994</v>
      </c>
      <c r="J60" s="1489">
        <f>H60-I60</f>
        <v>-115.214219</v>
      </c>
      <c r="K60" s="1489">
        <f>'B2-Plant'!L38/10^6</f>
        <v>-1.8968717799999999</v>
      </c>
      <c r="L60" s="1489">
        <f>'B2-Plant'!M38/10^6</f>
        <v>-174.02212803999998</v>
      </c>
      <c r="M60" s="1489">
        <f>'B2-Plant'!N38/10^6</f>
        <v>-50.513372039999993</v>
      </c>
      <c r="N60" s="461">
        <f>L60-M60</f>
        <v>-123.50875599999999</v>
      </c>
      <c r="O60" s="461">
        <f>'B2-Plant'!P38/10^6</f>
        <v>-1.7269953300000001</v>
      </c>
    </row>
    <row r="61" spans="1:16" s="451" customFormat="1" ht="13.5" customHeight="1">
      <c r="A61" s="450" t="s">
        <v>1585</v>
      </c>
      <c r="B61" s="450"/>
      <c r="C61" s="463" t="s">
        <v>107</v>
      </c>
      <c r="E61" s="460"/>
      <c r="F61" s="450"/>
      <c r="G61" s="1472"/>
      <c r="H61" s="1491">
        <f>'B2-Plant'!I52/10^6-H53-H57</f>
        <v>-722.53877603000001</v>
      </c>
      <c r="I61" s="1491">
        <f>'B2-Plant'!J52/10^6-I53-I57</f>
        <v>-231.99761603000002</v>
      </c>
      <c r="J61" s="1491">
        <f>H61-I61</f>
        <v>-490.54115999999999</v>
      </c>
      <c r="K61" s="1491">
        <f>'B2-Plant'!L52/10^6-K53-K57</f>
        <v>-16.879753529999995</v>
      </c>
      <c r="L61" s="1491">
        <f>'B2-Plant'!M52/10^6-L53-L57</f>
        <v>-713.77372649999995</v>
      </c>
      <c r="M61" s="1491">
        <f>'B2-Plant'!N52/10^6-M53-M57</f>
        <v>-215.11786250000003</v>
      </c>
      <c r="N61" s="462">
        <f>L61-M61</f>
        <v>-498.65586399999995</v>
      </c>
      <c r="O61" s="462">
        <f>'B2-Plant'!P52/10^6-O53-O57</f>
        <v>-16.741647590000003</v>
      </c>
    </row>
    <row r="62" spans="1:16" s="451" customFormat="1" ht="13.5" customHeight="1">
      <c r="A62" s="450" t="s">
        <v>1586</v>
      </c>
      <c r="B62" s="450"/>
      <c r="C62" s="463" t="s">
        <v>4</v>
      </c>
      <c r="E62" s="460"/>
      <c r="F62" s="450"/>
      <c r="G62" s="1472"/>
      <c r="H62" s="1489">
        <f>SUM(H60:H61)</f>
        <v>-895.97743218999994</v>
      </c>
      <c r="I62" s="1489">
        <f>SUM(I60:I61)</f>
        <v>-290.22205319</v>
      </c>
      <c r="J62" s="1489">
        <f>H62-I62</f>
        <v>-605.75537899999995</v>
      </c>
      <c r="K62" s="1489">
        <f>SUM(K60:K61)</f>
        <v>-18.776625309999996</v>
      </c>
      <c r="L62" s="1489">
        <f>SUM(L60:L61)</f>
        <v>-887.79585453999994</v>
      </c>
      <c r="M62" s="1489">
        <f>SUM(M60:M61)</f>
        <v>-265.63123454000004</v>
      </c>
      <c r="N62" s="461">
        <f>L62-M62</f>
        <v>-622.1646199999999</v>
      </c>
      <c r="O62" s="461">
        <f>SUM(O60:O61)</f>
        <v>-18.468642920000004</v>
      </c>
    </row>
    <row r="63" spans="1:16" s="451" customFormat="1" ht="13.5" customHeight="1">
      <c r="A63" s="450" t="s">
        <v>1587</v>
      </c>
      <c r="B63" s="450"/>
      <c r="C63" s="454"/>
      <c r="E63" s="460"/>
      <c r="F63" s="450"/>
      <c r="G63" s="1472"/>
      <c r="H63" s="1489"/>
      <c r="I63" s="1489"/>
      <c r="J63" s="1489"/>
      <c r="K63" s="1489"/>
      <c r="L63" s="1489"/>
      <c r="M63" s="1489"/>
      <c r="N63" s="461"/>
      <c r="O63" s="461"/>
    </row>
    <row r="64" spans="1:16" s="451" customFormat="1" ht="13.5" customHeight="1" thickBot="1">
      <c r="A64" s="450" t="s">
        <v>1588</v>
      </c>
      <c r="B64" s="450"/>
      <c r="C64" s="451" t="s">
        <v>850</v>
      </c>
      <c r="E64" s="460"/>
      <c r="F64" s="450"/>
      <c r="G64" s="1472"/>
      <c r="H64" s="1490">
        <f>H49+H54+H58+H62</f>
        <v>9140.6587247941989</v>
      </c>
      <c r="I64" s="1490">
        <f>I49+I54+I58+I62</f>
        <v>4260.4485799041995</v>
      </c>
      <c r="J64" s="1490">
        <f>H64-I64</f>
        <v>4880.2101448899994</v>
      </c>
      <c r="K64" s="1490">
        <f>K49+K54+K58+K62</f>
        <v>251.98027861000003</v>
      </c>
      <c r="L64" s="1490">
        <f>L49+L54+L58+L62</f>
        <v>8530.2830357841995</v>
      </c>
      <c r="M64" s="1490">
        <f>M49+M54+M58+M62</f>
        <v>4031.0182866941996</v>
      </c>
      <c r="N64" s="464">
        <f>L64-M64</f>
        <v>4499.2647490899999</v>
      </c>
      <c r="O64" s="464">
        <f>O49+O54+O58+O62</f>
        <v>230.0795320908</v>
      </c>
    </row>
    <row r="65" spans="1:15" s="451" customFormat="1" ht="13.5" customHeight="1" thickTop="1">
      <c r="A65" s="450" t="s">
        <v>1589</v>
      </c>
      <c r="B65" s="450"/>
      <c r="C65" s="451" t="s">
        <v>847</v>
      </c>
      <c r="E65" s="460"/>
      <c r="F65" s="450"/>
      <c r="G65" s="1472"/>
      <c r="H65" s="1489"/>
      <c r="I65" s="1489"/>
      <c r="J65" s="1489"/>
      <c r="K65" s="1489"/>
      <c r="L65" s="1489"/>
      <c r="M65" s="1489"/>
      <c r="N65" s="461"/>
      <c r="O65" s="461"/>
    </row>
    <row r="66" spans="1:15" s="451" customFormat="1" ht="13.5" customHeight="1">
      <c r="A66" s="450" t="s">
        <v>1590</v>
      </c>
      <c r="B66" s="450"/>
      <c r="C66" s="454" t="s">
        <v>451</v>
      </c>
      <c r="E66" s="460"/>
      <c r="F66" s="450"/>
      <c r="G66" s="1472"/>
      <c r="H66" s="1489">
        <f>'B2-Plant'!I21/10^6</f>
        <v>4929.9128207299991</v>
      </c>
      <c r="I66" s="1489">
        <f>'B2-Plant'!J21/10^6</f>
        <v>2440.3955865500002</v>
      </c>
      <c r="J66" s="1489">
        <f>'B2-Plant'!K21/10^6</f>
        <v>2489.5172341799994</v>
      </c>
      <c r="K66" s="1489">
        <f>'B2-Plant'!L21/10^6</f>
        <v>139.31569118000002</v>
      </c>
      <c r="L66" s="1489">
        <f>'B2-Plant'!M21/10^6</f>
        <v>4802.5947388899995</v>
      </c>
      <c r="M66" s="1489">
        <f>'B2-Plant'!N21/10^6</f>
        <v>2306.9856357391204</v>
      </c>
      <c r="N66" s="461">
        <f>'B2-Plant'!O21/10^6</f>
        <v>2495.6091031508781</v>
      </c>
      <c r="O66" s="461">
        <f>'B2-Plant'!P21/10^6</f>
        <v>130.3389755</v>
      </c>
    </row>
    <row r="67" spans="1:15" s="451" customFormat="1" ht="13.5" customHeight="1">
      <c r="A67" s="450" t="s">
        <v>1591</v>
      </c>
      <c r="B67" s="450"/>
      <c r="C67" s="454" t="s">
        <v>34</v>
      </c>
      <c r="E67" s="460"/>
      <c r="F67" s="450"/>
      <c r="G67" s="1472"/>
      <c r="H67" s="1489">
        <f>'B2-Plant'!I40/10^6</f>
        <v>2424.5864609999994</v>
      </c>
      <c r="I67" s="1489">
        <f>'B2-Plant'!J40/10^6</f>
        <v>1247.7071316600002</v>
      </c>
      <c r="J67" s="1489">
        <f>'B2-Plant'!K40/10^6</f>
        <v>1176.8793293400001</v>
      </c>
      <c r="K67" s="1489">
        <f>'B2-Plant'!L40/10^6</f>
        <v>39.876129889999994</v>
      </c>
      <c r="L67" s="1489">
        <f>'B2-Plant'!M40/10^6</f>
        <v>2060.9573146399994</v>
      </c>
      <c r="M67" s="1489">
        <f>'B2-Plant'!N40/10^6</f>
        <v>1219.85377034</v>
      </c>
      <c r="N67" s="461">
        <f>'B2-Plant'!O40/10^6</f>
        <v>841.10354430000007</v>
      </c>
      <c r="O67" s="461">
        <f>'B2-Plant'!P40/10^6</f>
        <v>38.362599300000007</v>
      </c>
    </row>
    <row r="68" spans="1:15" s="451" customFormat="1" ht="13.5" customHeight="1">
      <c r="A68" s="450" t="s">
        <v>1592</v>
      </c>
      <c r="B68" s="450"/>
      <c r="C68" s="454" t="s">
        <v>107</v>
      </c>
      <c r="E68" s="460"/>
      <c r="F68" s="450"/>
      <c r="G68" s="1472"/>
      <c r="H68" s="1489">
        <f>'B2-Plant'!I54/10^6</f>
        <v>765.4058968541998</v>
      </c>
      <c r="I68" s="1489">
        <f>'B2-Plant'!J54/10^6</f>
        <v>300.84142243999992</v>
      </c>
      <c r="J68" s="1489">
        <f>'B2-Plant'!K54/10^6</f>
        <v>464.56447456000006</v>
      </c>
      <c r="K68" s="1489">
        <f>'B2-Plant'!L54/10^6</f>
        <v>40.65966940000002</v>
      </c>
      <c r="L68" s="1489">
        <f>'B2-Plant'!M54/10^6</f>
        <v>682.72121559420009</v>
      </c>
      <c r="M68" s="1489">
        <f>'B2-Plant'!N54/10^6</f>
        <v>265.06584294419986</v>
      </c>
      <c r="N68" s="461">
        <f>'B2-Plant'!O54/10^6</f>
        <v>417.65537265000012</v>
      </c>
      <c r="O68" s="461">
        <f>'B2-Plant'!P54/10^6</f>
        <v>34.697342620800001</v>
      </c>
    </row>
    <row r="69" spans="1:15" s="451" customFormat="1" ht="13.5" customHeight="1" thickBot="1">
      <c r="A69" s="450" t="s">
        <v>1593</v>
      </c>
      <c r="B69" s="450"/>
      <c r="C69" s="454" t="s">
        <v>4</v>
      </c>
      <c r="E69" s="460"/>
      <c r="F69" s="450"/>
      <c r="G69" s="1472"/>
      <c r="H69" s="1488">
        <f t="shared" ref="H69:O69" si="3">SUM(H66:H68)</f>
        <v>8119.9051785841984</v>
      </c>
      <c r="I69" s="1488">
        <f t="shared" si="3"/>
        <v>3988.9441406500005</v>
      </c>
      <c r="J69" s="1488">
        <f t="shared" si="3"/>
        <v>4130.9610380799995</v>
      </c>
      <c r="K69" s="1488">
        <f t="shared" si="3"/>
        <v>219.85149047000002</v>
      </c>
      <c r="L69" s="1488">
        <f t="shared" si="3"/>
        <v>7546.2732691241981</v>
      </c>
      <c r="M69" s="1488">
        <f t="shared" si="3"/>
        <v>3791.9052490233207</v>
      </c>
      <c r="N69" s="465">
        <f t="shared" si="3"/>
        <v>3754.3680201008783</v>
      </c>
      <c r="O69" s="465">
        <f t="shared" si="3"/>
        <v>203.39891742079999</v>
      </c>
    </row>
    <row r="70" spans="1:15" s="451" customFormat="1" ht="13.5" customHeight="1" thickTop="1">
      <c r="A70" s="450" t="s">
        <v>1594</v>
      </c>
      <c r="B70" s="450"/>
      <c r="C70" s="466" t="s">
        <v>576</v>
      </c>
      <c r="E70" s="460"/>
      <c r="F70" s="450"/>
      <c r="G70" s="1487" t="s">
        <v>1125</v>
      </c>
      <c r="H70" s="1486">
        <f t="shared" ref="H70:O70" si="4">H64-H69</f>
        <v>1020.7535462100004</v>
      </c>
      <c r="I70" s="1486">
        <f t="shared" si="4"/>
        <v>271.50443925419904</v>
      </c>
      <c r="J70" s="1486">
        <f t="shared" si="4"/>
        <v>749.24910680999983</v>
      </c>
      <c r="K70" s="1486">
        <f t="shared" si="4"/>
        <v>32.128788140000012</v>
      </c>
      <c r="L70" s="1486">
        <f t="shared" si="4"/>
        <v>984.00976666000133</v>
      </c>
      <c r="M70" s="1486">
        <f t="shared" si="4"/>
        <v>239.11303767087884</v>
      </c>
      <c r="N70" s="467">
        <f t="shared" si="4"/>
        <v>744.89672898912158</v>
      </c>
      <c r="O70" s="467">
        <f t="shared" si="4"/>
        <v>26.680614670000011</v>
      </c>
    </row>
    <row r="71" spans="1:15" s="451" customFormat="1" ht="13.2">
      <c r="A71" s="450"/>
      <c r="B71" s="450"/>
      <c r="C71" s="450"/>
      <c r="G71" s="1472"/>
      <c r="H71" s="1472"/>
      <c r="I71" s="1472"/>
      <c r="J71" s="1472"/>
      <c r="K71" s="1472"/>
      <c r="L71" s="1472"/>
      <c r="M71" s="1472"/>
    </row>
    <row r="72" spans="1:15" s="451" customFormat="1" ht="13.2">
      <c r="A72" s="450"/>
      <c r="B72" s="450"/>
      <c r="C72" s="468" t="s">
        <v>341</v>
      </c>
      <c r="G72" s="1472"/>
      <c r="H72" s="1472"/>
      <c r="I72" s="1472"/>
      <c r="J72" s="1472"/>
      <c r="K72" s="1472"/>
      <c r="L72" s="1472"/>
      <c r="M72" s="1472"/>
    </row>
    <row r="73" spans="1:15" s="451" customFormat="1" ht="13.2">
      <c r="A73" s="450" t="s">
        <v>1595</v>
      </c>
      <c r="B73" s="450"/>
      <c r="C73" s="450">
        <v>1</v>
      </c>
      <c r="D73" s="451" t="s">
        <v>865</v>
      </c>
      <c r="G73" s="1472"/>
      <c r="H73" s="1472"/>
      <c r="I73" s="1472"/>
      <c r="J73" s="1472"/>
      <c r="K73" s="1472"/>
      <c r="L73" s="1472"/>
      <c r="M73" s="1472"/>
    </row>
    <row r="74" spans="1:15" s="451" customFormat="1" ht="13.2">
      <c r="A74" s="450" t="s">
        <v>1596</v>
      </c>
      <c r="B74" s="450"/>
      <c r="C74" s="450">
        <v>2</v>
      </c>
      <c r="D74" s="451" t="s">
        <v>866</v>
      </c>
      <c r="G74" s="1472"/>
      <c r="H74" s="1472"/>
      <c r="I74" s="1472"/>
      <c r="J74" s="1472"/>
      <c r="K74" s="1472"/>
      <c r="L74" s="1472"/>
      <c r="M74" s="1472"/>
    </row>
    <row r="75" spans="1:15" s="451" customFormat="1" ht="13.2">
      <c r="A75" s="450" t="s">
        <v>1597</v>
      </c>
      <c r="B75" s="450"/>
      <c r="C75" s="450">
        <v>3</v>
      </c>
      <c r="D75" s="451" t="s">
        <v>1143</v>
      </c>
      <c r="G75" s="1472"/>
      <c r="H75" s="1472"/>
      <c r="I75" s="1472"/>
      <c r="J75" s="1472"/>
      <c r="K75" s="1472"/>
      <c r="L75" s="1472"/>
      <c r="M75" s="1472"/>
    </row>
    <row r="76" spans="1:15" s="451" customFormat="1" ht="13.2">
      <c r="A76" s="450"/>
      <c r="B76" s="450"/>
      <c r="C76" s="450"/>
      <c r="G76" s="1472"/>
      <c r="H76" s="1472"/>
      <c r="I76" s="1472"/>
      <c r="J76" s="1472"/>
      <c r="K76" s="1472"/>
      <c r="L76" s="1472"/>
      <c r="M76" s="1472"/>
    </row>
    <row r="77" spans="1:15" s="451" customFormat="1" ht="13.2">
      <c r="A77" s="450"/>
      <c r="B77" s="1529">
        <v>3</v>
      </c>
      <c r="C77" s="458" t="s">
        <v>872</v>
      </c>
      <c r="G77" s="1472"/>
      <c r="H77" s="1472"/>
      <c r="I77" s="1472"/>
      <c r="J77" s="1472"/>
      <c r="K77" s="1472"/>
      <c r="L77" s="1472"/>
      <c r="M77" s="1472"/>
    </row>
    <row r="78" spans="1:15" s="451" customFormat="1" ht="13.2">
      <c r="A78" s="450"/>
      <c r="B78" s="1529"/>
      <c r="C78" s="458"/>
      <c r="G78" s="1472"/>
      <c r="H78" s="1483">
        <v>2021</v>
      </c>
      <c r="I78" s="1476">
        <v>2020</v>
      </c>
      <c r="J78" s="1472"/>
      <c r="K78" s="1472"/>
      <c r="L78" s="1472"/>
      <c r="M78" s="1472"/>
    </row>
    <row r="79" spans="1:15" s="451" customFormat="1" ht="13.2">
      <c r="A79" s="450" t="s">
        <v>1276</v>
      </c>
      <c r="B79" s="450"/>
      <c r="C79" s="451" t="s">
        <v>858</v>
      </c>
      <c r="G79" s="1472"/>
      <c r="H79" s="1472"/>
      <c r="I79" s="1472"/>
      <c r="J79" s="1472"/>
      <c r="K79" s="1472"/>
      <c r="L79" s="1472"/>
      <c r="M79" s="1472"/>
    </row>
    <row r="80" spans="1:15" s="451" customFormat="1" ht="13.2">
      <c r="A80" s="450" t="s">
        <v>1277</v>
      </c>
      <c r="B80" s="450"/>
      <c r="C80" s="454" t="s">
        <v>873</v>
      </c>
      <c r="G80" s="1472"/>
      <c r="H80" s="1760"/>
      <c r="I80" s="1760"/>
      <c r="J80" s="1484"/>
      <c r="K80" s="1472"/>
      <c r="L80" s="1472"/>
      <c r="M80" s="1472"/>
    </row>
    <row r="81" spans="1:13" s="451" customFormat="1" ht="13.2">
      <c r="A81" s="450" t="s">
        <v>1278</v>
      </c>
      <c r="B81" s="450"/>
      <c r="C81" s="451" t="s">
        <v>868</v>
      </c>
      <c r="G81" s="1472"/>
      <c r="H81" s="1472">
        <f>'WP-CA'!H30/10^6</f>
        <v>83.997625140000011</v>
      </c>
      <c r="I81" s="1472">
        <f>'WP-CA'!I30/10^6</f>
        <v>89.091221929999989</v>
      </c>
      <c r="J81" s="1472"/>
      <c r="K81" s="1472"/>
      <c r="L81" s="1472"/>
      <c r="M81" s="1472"/>
    </row>
    <row r="82" spans="1:13" s="466" customFormat="1" ht="13.2">
      <c r="A82" s="450" t="s">
        <v>1279</v>
      </c>
      <c r="B82" s="456"/>
      <c r="C82" s="466" t="s">
        <v>576</v>
      </c>
      <c r="G82" s="1473"/>
      <c r="H82" s="1473">
        <f>H80-H81</f>
        <v>-83.997625140000011</v>
      </c>
      <c r="I82" s="1473">
        <f>I80-I81</f>
        <v>-89.091221929999989</v>
      </c>
      <c r="J82" s="1473"/>
      <c r="K82" s="1473"/>
      <c r="L82" s="1473"/>
      <c r="M82" s="1473"/>
    </row>
    <row r="83" spans="1:13" s="451" customFormat="1" ht="13.2">
      <c r="A83" s="450"/>
      <c r="B83" s="450"/>
      <c r="C83" s="450"/>
      <c r="G83" s="1472"/>
      <c r="H83" s="1472"/>
      <c r="I83" s="1472"/>
      <c r="J83" s="1472"/>
      <c r="K83" s="1472"/>
      <c r="L83" s="1472"/>
      <c r="M83" s="1472"/>
    </row>
    <row r="84" spans="1:13" s="451" customFormat="1" ht="13.2">
      <c r="A84" s="450"/>
      <c r="B84" s="1529">
        <v>4</v>
      </c>
      <c r="C84" s="458" t="s">
        <v>168</v>
      </c>
      <c r="G84" s="1472"/>
      <c r="H84" s="1472"/>
      <c r="I84" s="1472"/>
      <c r="J84" s="1472"/>
      <c r="K84" s="1472"/>
      <c r="L84" s="1472"/>
      <c r="M84" s="1472"/>
    </row>
    <row r="85" spans="1:13" s="451" customFormat="1" ht="13.2">
      <c r="A85" s="450"/>
      <c r="B85" s="1529"/>
      <c r="C85" s="458"/>
      <c r="G85" s="1472"/>
      <c r="H85" s="2071">
        <v>2021</v>
      </c>
      <c r="I85" s="2072"/>
      <c r="J85" s="2071">
        <v>2020</v>
      </c>
      <c r="K85" s="2072"/>
      <c r="L85" s="1472"/>
      <c r="M85" s="1472"/>
    </row>
    <row r="86" spans="1:13" s="451" customFormat="1" ht="13.2">
      <c r="A86" s="450"/>
      <c r="B86" s="450"/>
      <c r="C86" s="450"/>
      <c r="G86" s="1472"/>
      <c r="H86" s="1485" t="s">
        <v>876</v>
      </c>
      <c r="I86" s="1485" t="s">
        <v>175</v>
      </c>
      <c r="J86" s="1485" t="s">
        <v>876</v>
      </c>
      <c r="K86" s="1485" t="s">
        <v>175</v>
      </c>
      <c r="L86" s="1472"/>
      <c r="M86" s="1472"/>
    </row>
    <row r="87" spans="1:13" s="451" customFormat="1" ht="15">
      <c r="A87" s="450" t="s">
        <v>1566</v>
      </c>
      <c r="B87" s="450"/>
      <c r="C87" s="451" t="s">
        <v>858</v>
      </c>
      <c r="G87" s="1472"/>
      <c r="H87" s="1472"/>
      <c r="I87" s="1472"/>
      <c r="J87" s="1472"/>
      <c r="K87" s="1431"/>
      <c r="L87" s="1472"/>
      <c r="M87" s="1472"/>
    </row>
    <row r="88" spans="1:13" s="451" customFormat="1" ht="15">
      <c r="A88" s="450" t="s">
        <v>1567</v>
      </c>
      <c r="B88" s="450"/>
      <c r="C88" s="454" t="s">
        <v>874</v>
      </c>
      <c r="G88" s="1472"/>
      <c r="H88" s="1472">
        <f>'WP-AR-BS'!D100</f>
        <v>1664.2615499999999</v>
      </c>
      <c r="I88" s="1472"/>
      <c r="J88" s="1472">
        <f>'WP-AR-BS'!E100</f>
        <v>1674</v>
      </c>
      <c r="K88" s="1431"/>
      <c r="L88" s="1472"/>
      <c r="M88" s="1472"/>
    </row>
    <row r="89" spans="1:13" s="451" customFormat="1" ht="15">
      <c r="A89" s="450" t="s">
        <v>1568</v>
      </c>
      <c r="B89" s="450"/>
      <c r="C89" s="454" t="s">
        <v>875</v>
      </c>
      <c r="G89" s="1472"/>
      <c r="H89" s="1472">
        <f>'WP-AR-BS'!D83</f>
        <v>1.4850000000000001</v>
      </c>
      <c r="I89" s="1472"/>
      <c r="J89" s="1472">
        <f>'WP-AR-BS'!E83</f>
        <v>1</v>
      </c>
      <c r="K89" s="1431"/>
      <c r="L89" s="1484"/>
      <c r="M89" s="1472"/>
    </row>
    <row r="90" spans="1:13" s="451" customFormat="1" ht="13.2">
      <c r="A90" s="450" t="s">
        <v>1569</v>
      </c>
      <c r="B90" s="450"/>
      <c r="C90" s="454" t="s">
        <v>4</v>
      </c>
      <c r="G90" s="1472"/>
      <c r="H90" s="1481">
        <f>H88+H89</f>
        <v>1665.7465499999998</v>
      </c>
      <c r="I90" s="1481">
        <f>'WP-AR-BS'!D131</f>
        <v>4815</v>
      </c>
      <c r="J90" s="1964">
        <f>J88+J89</f>
        <v>1675</v>
      </c>
      <c r="K90" s="1481">
        <f>'WP-AR-BS'!E131</f>
        <v>4743</v>
      </c>
      <c r="L90" s="1472"/>
      <c r="M90" s="1472"/>
    </row>
    <row r="91" spans="1:13" s="451" customFormat="1" ht="13.2">
      <c r="A91" s="450" t="s">
        <v>1570</v>
      </c>
      <c r="B91" s="450"/>
      <c r="C91" s="451" t="s">
        <v>868</v>
      </c>
      <c r="G91" s="1472"/>
      <c r="H91" s="1481">
        <f>'WP-DB'!E31/10^6</f>
        <v>1602.2550000000001</v>
      </c>
      <c r="I91" s="1481">
        <f>'WP-DB'!E41/10^6</f>
        <v>4815</v>
      </c>
      <c r="J91" s="1481">
        <f>'WP-DB'!F31/10^6</f>
        <v>1608.7</v>
      </c>
      <c r="K91" s="1481">
        <f>'WP-DB'!F41/10^6</f>
        <v>4743</v>
      </c>
      <c r="L91" s="1472"/>
      <c r="M91" s="1472"/>
    </row>
    <row r="92" spans="1:13" s="466" customFormat="1" ht="13.2">
      <c r="A92" s="450" t="s">
        <v>1571</v>
      </c>
      <c r="B92" s="456"/>
      <c r="C92" s="466" t="s">
        <v>576</v>
      </c>
      <c r="G92" s="1473"/>
      <c r="H92" s="1473">
        <f>H90-H91</f>
        <v>63.491549999999734</v>
      </c>
      <c r="I92" s="1473">
        <f>I90-I91</f>
        <v>0</v>
      </c>
      <c r="J92" s="1473">
        <f>J90-J91</f>
        <v>66.299999999999955</v>
      </c>
      <c r="K92" s="1473">
        <f>K90-K91</f>
        <v>0</v>
      </c>
      <c r="L92" s="1761"/>
      <c r="M92" s="1473"/>
    </row>
    <row r="93" spans="1:13" s="451" customFormat="1" ht="13.2">
      <c r="A93" s="450"/>
      <c r="B93" s="450"/>
      <c r="C93" s="450"/>
      <c r="G93" s="1472"/>
      <c r="H93" s="1472"/>
      <c r="I93" s="1472"/>
      <c r="J93" s="1472"/>
      <c r="K93" s="1472"/>
      <c r="L93" s="1472"/>
      <c r="M93" s="1472"/>
    </row>
    <row r="94" spans="1:13" s="451" customFormat="1" ht="13.2">
      <c r="A94" s="450"/>
      <c r="B94" s="1529">
        <v>5</v>
      </c>
      <c r="C94" s="458" t="s">
        <v>877</v>
      </c>
      <c r="G94" s="1472"/>
      <c r="H94" s="1472"/>
      <c r="I94" s="1472"/>
      <c r="J94" s="1472"/>
      <c r="K94" s="1472"/>
      <c r="L94" s="1472"/>
      <c r="M94" s="1472"/>
    </row>
    <row r="95" spans="1:13" s="451" customFormat="1" ht="13.2">
      <c r="A95" s="450"/>
      <c r="B95" s="450"/>
      <c r="C95" s="450"/>
      <c r="G95" s="1472"/>
      <c r="H95" s="1920">
        <v>2021</v>
      </c>
      <c r="I95" s="1476">
        <v>2020</v>
      </c>
      <c r="J95" s="1472"/>
      <c r="K95" s="1472"/>
      <c r="L95" s="1472"/>
      <c r="M95" s="1472"/>
    </row>
    <row r="96" spans="1:13" s="451" customFormat="1" ht="13.2">
      <c r="A96" s="450" t="s">
        <v>1273</v>
      </c>
      <c r="B96" s="450"/>
      <c r="C96" s="451" t="s">
        <v>858</v>
      </c>
      <c r="G96" s="1472"/>
      <c r="H96" s="1472"/>
      <c r="I96" s="1472"/>
      <c r="J96" s="1472"/>
      <c r="K96" s="1472"/>
      <c r="L96" s="1472"/>
      <c r="M96" s="1472"/>
    </row>
    <row r="97" spans="1:13" s="451" customFormat="1" ht="13.2">
      <c r="A97" s="450" t="s">
        <v>1274</v>
      </c>
      <c r="B97" s="450"/>
      <c r="C97" s="454" t="s">
        <v>607</v>
      </c>
      <c r="G97" s="1472"/>
      <c r="H97" s="1472">
        <f>'WP-AR-IS'!G45</f>
        <v>52</v>
      </c>
      <c r="I97" s="1472">
        <f>'WP-AR-IS'!H45</f>
        <v>42</v>
      </c>
      <c r="J97" s="1472"/>
      <c r="K97" s="1472"/>
      <c r="L97" s="1472"/>
      <c r="M97" s="1472"/>
    </row>
    <row r="98" spans="1:13" s="451" customFormat="1" ht="13.2">
      <c r="A98" s="450" t="s">
        <v>1275</v>
      </c>
      <c r="B98" s="450"/>
      <c r="C98" s="454" t="s">
        <v>217</v>
      </c>
      <c r="G98" s="1472"/>
      <c r="H98" s="1472">
        <f>'WP-AR-IS'!G48</f>
        <v>-1</v>
      </c>
      <c r="I98" s="1472">
        <f>'WP-AR-IS'!H48</f>
        <v>0</v>
      </c>
      <c r="J98" s="1472"/>
      <c r="K98" s="1472"/>
      <c r="L98" s="1472"/>
      <c r="M98" s="1472"/>
    </row>
    <row r="99" spans="1:13" s="451" customFormat="1" ht="13.2">
      <c r="A99" s="450" t="s">
        <v>1281</v>
      </c>
      <c r="B99" s="450"/>
      <c r="C99" s="454" t="s">
        <v>4</v>
      </c>
      <c r="G99" s="1472"/>
      <c r="H99" s="1481">
        <f>H97+H98</f>
        <v>51</v>
      </c>
      <c r="I99" s="1481">
        <f>I97+I98</f>
        <v>42</v>
      </c>
      <c r="J99" s="1472"/>
      <c r="K99" s="1472"/>
      <c r="L99" s="1472"/>
      <c r="M99" s="1472"/>
    </row>
    <row r="100" spans="1:13" s="451" customFormat="1" ht="13.2">
      <c r="A100" s="450" t="s">
        <v>1282</v>
      </c>
      <c r="B100" s="450"/>
      <c r="C100" s="451" t="s">
        <v>868</v>
      </c>
      <c r="G100" s="1472"/>
      <c r="H100" s="1482"/>
      <c r="I100" s="1482"/>
      <c r="J100" s="1472"/>
      <c r="K100" s="1472"/>
      <c r="L100" s="1472"/>
      <c r="M100" s="1472"/>
    </row>
    <row r="101" spans="1:13" s="451" customFormat="1" ht="13.2">
      <c r="A101" s="450" t="s">
        <v>1572</v>
      </c>
      <c r="B101" s="450"/>
      <c r="C101" s="454" t="s">
        <v>607</v>
      </c>
      <c r="G101" s="1472"/>
      <c r="H101" s="1472">
        <f>'WP-DB'!E17/10^6</f>
        <v>68.016680480000005</v>
      </c>
      <c r="I101" s="1472">
        <f>'WP-DB'!F17/10^6</f>
        <v>60.448173179999998</v>
      </c>
      <c r="J101" s="1472"/>
      <c r="K101" s="1472"/>
      <c r="L101" s="1472"/>
      <c r="M101" s="1472"/>
    </row>
    <row r="102" spans="1:13" s="451" customFormat="1" ht="13.2">
      <c r="A102" s="450" t="s">
        <v>1573</v>
      </c>
      <c r="B102" s="450"/>
      <c r="C102" s="454" t="s">
        <v>217</v>
      </c>
      <c r="G102" s="1472"/>
      <c r="H102" s="1472">
        <f>'WP-DB'!E18/10^6</f>
        <v>1.441567</v>
      </c>
      <c r="I102" s="1472">
        <f>'WP-DB'!F18/10^6</f>
        <v>1.36951852</v>
      </c>
      <c r="J102" s="1472"/>
      <c r="K102" s="1472"/>
      <c r="L102" s="1472"/>
      <c r="M102" s="1472"/>
    </row>
    <row r="103" spans="1:13" s="451" customFormat="1" ht="13.2">
      <c r="A103" s="450" t="s">
        <v>1574</v>
      </c>
      <c r="B103" s="450"/>
      <c r="C103" s="454" t="s">
        <v>4</v>
      </c>
      <c r="G103" s="1472"/>
      <c r="H103" s="1481">
        <f>'WP-DB'!E23/10^6</f>
        <v>66.729440480000008</v>
      </c>
      <c r="I103" s="1481">
        <f>'WP-DB'!F23/10^6</f>
        <v>59.285235050000004</v>
      </c>
      <c r="J103" s="1472"/>
      <c r="K103" s="1472"/>
      <c r="L103" s="1472"/>
      <c r="M103" s="1472"/>
    </row>
    <row r="104" spans="1:13" s="466" customFormat="1" ht="13.2">
      <c r="A104" s="450" t="s">
        <v>1575</v>
      </c>
      <c r="B104" s="456"/>
      <c r="C104" s="466" t="s">
        <v>576</v>
      </c>
      <c r="G104" s="1473"/>
      <c r="H104" s="1473">
        <f>H99-H103</f>
        <v>-15.729440480000008</v>
      </c>
      <c r="I104" s="1473">
        <f>I99-I103</f>
        <v>-17.285235050000004</v>
      </c>
      <c r="J104" s="1473"/>
      <c r="K104" s="1473"/>
      <c r="L104" s="1473"/>
      <c r="M104" s="1473"/>
    </row>
    <row r="105" spans="1:13" s="451" customFormat="1" ht="13.2">
      <c r="A105" s="450"/>
      <c r="B105" s="450"/>
      <c r="C105" s="450"/>
      <c r="G105" s="1472"/>
      <c r="H105" s="1472"/>
      <c r="I105" s="1472"/>
      <c r="J105" s="1472"/>
      <c r="K105" s="1472"/>
      <c r="L105" s="1472"/>
      <c r="M105" s="1472"/>
    </row>
    <row r="106" spans="1:13" s="451" customFormat="1" ht="13.2">
      <c r="A106" s="450"/>
      <c r="B106" s="450"/>
      <c r="C106" s="450"/>
      <c r="G106" s="1472"/>
      <c r="H106" s="1472"/>
      <c r="I106" s="1472"/>
      <c r="J106" s="1472"/>
      <c r="K106" s="1472"/>
      <c r="L106" s="1472"/>
      <c r="M106" s="1472"/>
    </row>
    <row r="107" spans="1:13" s="451" customFormat="1" ht="13.2">
      <c r="A107" s="450"/>
      <c r="B107" s="1529">
        <v>6</v>
      </c>
      <c r="C107" s="458" t="s">
        <v>895</v>
      </c>
      <c r="G107" s="1472"/>
      <c r="H107" s="1472"/>
      <c r="I107" s="1472"/>
      <c r="J107" s="1472"/>
      <c r="K107" s="1472"/>
      <c r="L107" s="1472"/>
      <c r="M107" s="1472"/>
    </row>
    <row r="108" spans="1:13" s="451" customFormat="1" ht="13.2">
      <c r="A108" s="450"/>
      <c r="B108" s="1529"/>
      <c r="C108" s="458"/>
      <c r="G108" s="1472"/>
      <c r="H108" s="1476">
        <v>2021</v>
      </c>
      <c r="I108" s="1472"/>
      <c r="J108" s="1472"/>
      <c r="K108" s="1472"/>
      <c r="L108" s="1472"/>
      <c r="M108" s="1472"/>
    </row>
    <row r="109" spans="1:13" s="451" customFormat="1" ht="13.2">
      <c r="A109" s="450"/>
      <c r="B109" s="1529"/>
      <c r="C109" s="458"/>
      <c r="G109" s="1472"/>
      <c r="H109" s="1480"/>
      <c r="I109" s="1472"/>
      <c r="J109" s="1472"/>
      <c r="K109" s="1472"/>
      <c r="L109" s="1472"/>
      <c r="M109" s="1472"/>
    </row>
    <row r="110" spans="1:13" s="451" customFormat="1" ht="13.2">
      <c r="A110" s="450" t="s">
        <v>1366</v>
      </c>
      <c r="B110" s="450"/>
      <c r="C110" s="451" t="s">
        <v>858</v>
      </c>
      <c r="G110" s="1472"/>
      <c r="H110" s="1475"/>
      <c r="I110" s="1472"/>
      <c r="J110" s="1472"/>
      <c r="K110" s="1472"/>
      <c r="L110" s="1472"/>
      <c r="M110" s="1472"/>
    </row>
    <row r="111" spans="1:13" s="451" customFormat="1" ht="15.75" customHeight="1">
      <c r="A111" s="450" t="s">
        <v>1367</v>
      </c>
      <c r="B111" s="450"/>
      <c r="C111" s="454" t="s">
        <v>898</v>
      </c>
      <c r="D111" s="454"/>
      <c r="E111" s="454"/>
      <c r="G111" s="1472"/>
      <c r="H111" s="1475"/>
      <c r="I111" s="1472"/>
      <c r="J111" s="1472"/>
      <c r="K111" s="1472"/>
      <c r="L111" s="1472"/>
      <c r="M111" s="1472"/>
    </row>
    <row r="112" spans="1:13" s="451" customFormat="1" ht="15.75" customHeight="1">
      <c r="A112" s="450" t="s">
        <v>1368</v>
      </c>
      <c r="B112" s="450"/>
      <c r="C112" s="454" t="s">
        <v>899</v>
      </c>
      <c r="D112" s="454"/>
      <c r="E112" s="454"/>
      <c r="G112" s="1472"/>
      <c r="H112" s="1475"/>
      <c r="I112" s="1472"/>
      <c r="J112" s="1472"/>
      <c r="K112" s="1472"/>
      <c r="L112" s="1472"/>
      <c r="M112" s="1472"/>
    </row>
    <row r="113" spans="1:13" s="451" customFormat="1" ht="15.75" customHeight="1">
      <c r="A113" s="450" t="s">
        <v>1369</v>
      </c>
      <c r="B113" s="450"/>
      <c r="C113" s="454" t="s">
        <v>897</v>
      </c>
      <c r="D113" s="454"/>
      <c r="E113" s="454"/>
      <c r="G113" s="1472"/>
      <c r="H113" s="1475"/>
      <c r="I113" s="1472"/>
      <c r="J113" s="1472"/>
      <c r="K113" s="1472"/>
      <c r="L113" s="1472"/>
      <c r="M113" s="1472"/>
    </row>
    <row r="114" spans="1:13" s="451" customFormat="1" ht="15.75" customHeight="1">
      <c r="A114" s="450" t="s">
        <v>541</v>
      </c>
      <c r="B114" s="450"/>
      <c r="C114" s="1509" t="s">
        <v>2035</v>
      </c>
      <c r="D114" s="1414"/>
      <c r="E114" s="1414"/>
      <c r="F114" s="1415"/>
      <c r="G114" s="1475"/>
      <c r="H114" s="1479"/>
      <c r="I114" s="1472"/>
      <c r="J114" s="1472"/>
      <c r="K114" s="1472"/>
      <c r="L114" s="1472"/>
      <c r="M114" s="1472"/>
    </row>
    <row r="115" spans="1:13" s="451" customFormat="1" ht="15.75" customHeight="1">
      <c r="A115" s="450"/>
      <c r="B115" s="450"/>
      <c r="C115" s="1509" t="s">
        <v>2036</v>
      </c>
      <c r="D115" s="1414"/>
      <c r="E115" s="1414"/>
      <c r="F115" s="1415"/>
      <c r="G115" s="1475"/>
      <c r="H115" s="1479"/>
      <c r="I115" s="1472"/>
      <c r="J115" s="1472"/>
      <c r="K115" s="1472"/>
      <c r="L115" s="1472"/>
      <c r="M115" s="1472"/>
    </row>
    <row r="116" spans="1:13" s="451" customFormat="1" ht="15.75" customHeight="1">
      <c r="A116" s="450" t="s">
        <v>541</v>
      </c>
      <c r="B116" s="450"/>
      <c r="C116" s="1509" t="s">
        <v>2037</v>
      </c>
      <c r="D116" s="1414"/>
      <c r="E116" s="1414"/>
      <c r="F116" s="1415"/>
      <c r="G116" s="1475"/>
      <c r="H116" s="1478"/>
      <c r="I116" s="1472"/>
      <c r="J116" s="1472"/>
      <c r="K116" s="1472"/>
      <c r="L116" s="1472"/>
      <c r="M116" s="1472"/>
    </row>
    <row r="117" spans="1:13" s="451" customFormat="1" ht="13.2">
      <c r="A117" s="450" t="s">
        <v>1283</v>
      </c>
      <c r="B117" s="450"/>
      <c r="C117" s="454" t="s">
        <v>1145</v>
      </c>
      <c r="D117" s="454"/>
      <c r="E117" s="454"/>
      <c r="G117" s="1472"/>
      <c r="H117" s="1477">
        <f>SUM(H111:H116)</f>
        <v>0</v>
      </c>
      <c r="I117" s="1472"/>
      <c r="J117" s="1472"/>
      <c r="K117" s="1472"/>
      <c r="L117" s="1472"/>
      <c r="M117" s="1472"/>
    </row>
    <row r="118" spans="1:13" s="451" customFormat="1">
      <c r="A118" s="450" t="s">
        <v>1284</v>
      </c>
      <c r="B118" s="450"/>
      <c r="C118" s="469" t="s">
        <v>1144</v>
      </c>
      <c r="D118" s="469"/>
      <c r="E118" s="470"/>
      <c r="G118" s="1472"/>
      <c r="H118" s="1472">
        <f>H110+H117</f>
        <v>0</v>
      </c>
      <c r="I118" s="1472"/>
      <c r="J118" s="1472"/>
      <c r="K118" s="1472"/>
      <c r="L118" s="1472"/>
      <c r="M118" s="1472"/>
    </row>
    <row r="119" spans="1:13" s="451" customFormat="1" ht="13.2">
      <c r="A119" s="450" t="s">
        <v>1285</v>
      </c>
      <c r="B119" s="450"/>
      <c r="C119" s="466" t="s">
        <v>576</v>
      </c>
      <c r="G119" s="1472"/>
      <c r="H119" s="1472">
        <f>H118-H110-H117</f>
        <v>0</v>
      </c>
      <c r="I119" s="1472"/>
      <c r="J119" s="1472"/>
      <c r="K119" s="1472"/>
      <c r="L119" s="1472"/>
      <c r="M119" s="1472"/>
    </row>
    <row r="120" spans="1:13" s="451" customFormat="1" ht="13.2">
      <c r="A120" s="450"/>
      <c r="B120" s="450"/>
      <c r="C120" s="450"/>
      <c r="G120" s="1472"/>
      <c r="H120" s="1472"/>
      <c r="I120" s="1472"/>
      <c r="J120" s="1472"/>
      <c r="K120" s="1472"/>
      <c r="L120" s="1472"/>
      <c r="M120" s="1472"/>
    </row>
    <row r="121" spans="1:13" s="451" customFormat="1" ht="13.2">
      <c r="A121" s="450"/>
      <c r="B121" s="450"/>
      <c r="C121" s="450"/>
      <c r="G121" s="1472"/>
      <c r="H121" s="1472"/>
      <c r="I121" s="1472"/>
      <c r="J121" s="1472"/>
      <c r="K121" s="1472"/>
      <c r="L121" s="1472"/>
      <c r="M121" s="1472"/>
    </row>
    <row r="122" spans="1:13" s="451" customFormat="1" ht="13.2">
      <c r="A122" s="450"/>
      <c r="B122" s="450"/>
      <c r="C122" s="468" t="s">
        <v>341</v>
      </c>
      <c r="G122" s="1472"/>
      <c r="H122" s="1472"/>
      <c r="I122" s="1472"/>
      <c r="J122" s="1472"/>
      <c r="K122" s="1472"/>
      <c r="L122" s="1472"/>
      <c r="M122" s="1472"/>
    </row>
    <row r="123" spans="1:13" s="451" customFormat="1" ht="13.2">
      <c r="A123" s="450" t="s">
        <v>1286</v>
      </c>
      <c r="B123" s="450"/>
      <c r="C123" s="450">
        <v>4</v>
      </c>
      <c r="D123" s="451" t="s">
        <v>1146</v>
      </c>
      <c r="G123" s="1472"/>
      <c r="H123" s="1472"/>
      <c r="I123" s="1472"/>
      <c r="J123" s="1472"/>
      <c r="K123" s="1472"/>
      <c r="L123" s="1472"/>
      <c r="M123" s="1472"/>
    </row>
    <row r="124" spans="1:13" s="451" customFormat="1" ht="13.2">
      <c r="A124" s="450" t="s">
        <v>1626</v>
      </c>
      <c r="B124" s="450"/>
      <c r="C124" s="450">
        <v>5</v>
      </c>
      <c r="D124" s="451" t="s">
        <v>896</v>
      </c>
      <c r="G124" s="1472"/>
      <c r="H124" s="1472"/>
      <c r="I124" s="1472"/>
      <c r="J124" s="1472"/>
      <c r="K124" s="1472"/>
      <c r="L124" s="1472"/>
      <c r="M124" s="1472"/>
    </row>
    <row r="128" spans="1:13" s="451" customFormat="1" ht="13.2">
      <c r="A128" s="450"/>
      <c r="B128" s="1529">
        <v>8</v>
      </c>
      <c r="C128" s="458" t="s">
        <v>1153</v>
      </c>
      <c r="G128" s="1472"/>
      <c r="H128" s="1472"/>
      <c r="I128" s="1472"/>
      <c r="J128" s="1472"/>
      <c r="K128" s="1472"/>
      <c r="L128" s="1472"/>
      <c r="M128" s="1472"/>
    </row>
    <row r="129" spans="1:13" s="451" customFormat="1" ht="13.2">
      <c r="A129" s="450"/>
      <c r="B129" s="1529"/>
      <c r="C129" s="458"/>
      <c r="G129" s="1472"/>
      <c r="H129" s="1472"/>
      <c r="I129" s="1472"/>
      <c r="J129" s="1472"/>
      <c r="K129" s="1472"/>
      <c r="L129" s="1472"/>
      <c r="M129" s="1472"/>
    </row>
    <row r="130" spans="1:13">
      <c r="C130" s="458"/>
      <c r="D130" s="451"/>
      <c r="E130" s="451"/>
      <c r="F130" s="451"/>
      <c r="G130" s="1472"/>
      <c r="H130" s="1476">
        <v>2021</v>
      </c>
    </row>
    <row r="131" spans="1:13" s="451" customFormat="1" ht="13.2">
      <c r="A131" s="450" t="s">
        <v>1166</v>
      </c>
      <c r="B131" s="450"/>
      <c r="C131" s="451" t="s">
        <v>858</v>
      </c>
      <c r="G131" s="1472"/>
      <c r="I131" s="1472"/>
      <c r="J131" s="1472"/>
      <c r="K131" s="1472"/>
      <c r="L131" s="1472"/>
      <c r="M131" s="1472"/>
    </row>
    <row r="132" spans="1:13" s="451" customFormat="1" ht="13.2">
      <c r="A132" s="450" t="s">
        <v>1167</v>
      </c>
      <c r="B132" s="450"/>
      <c r="C132" s="454" t="s">
        <v>1154</v>
      </c>
      <c r="G132" s="1472"/>
      <c r="H132" s="1475"/>
      <c r="I132" s="1472"/>
      <c r="J132" s="1472"/>
      <c r="K132" s="1472"/>
      <c r="L132" s="1472"/>
      <c r="M132" s="1472"/>
    </row>
    <row r="133" spans="1:13" s="451" customFormat="1" ht="13.2">
      <c r="A133" s="450" t="s">
        <v>1187</v>
      </c>
      <c r="B133" s="450"/>
      <c r="C133" s="451" t="s">
        <v>868</v>
      </c>
      <c r="G133" s="1472"/>
      <c r="H133" s="1472"/>
      <c r="I133" s="1472"/>
      <c r="J133" s="1472"/>
      <c r="K133" s="1472"/>
      <c r="L133" s="1472"/>
      <c r="M133" s="1472"/>
    </row>
    <row r="134" spans="1:13" s="451" customFormat="1" ht="13.2">
      <c r="A134" s="450" t="s">
        <v>1188</v>
      </c>
      <c r="B134" s="450"/>
      <c r="C134" s="454" t="s">
        <v>1068</v>
      </c>
      <c r="G134" s="1472"/>
      <c r="H134" s="1474">
        <f>'WP-AF'!H13/1000000</f>
        <v>-39.385278</v>
      </c>
      <c r="I134" s="1472"/>
      <c r="J134" s="1472"/>
      <c r="K134" s="1472"/>
      <c r="L134" s="1472"/>
      <c r="M134" s="1472"/>
    </row>
    <row r="135" spans="1:13" s="451" customFormat="1" ht="13.2">
      <c r="A135" s="450" t="s">
        <v>1189</v>
      </c>
      <c r="B135" s="450"/>
      <c r="C135" s="466" t="s">
        <v>576</v>
      </c>
      <c r="D135" s="466"/>
      <c r="E135" s="466"/>
      <c r="F135" s="466"/>
      <c r="G135" s="1473"/>
      <c r="H135" s="1473">
        <f>H132-H134</f>
        <v>39.385278</v>
      </c>
      <c r="I135" s="1473"/>
      <c r="J135" s="1472"/>
      <c r="K135" s="1472"/>
      <c r="L135" s="1472"/>
      <c r="M135" s="1472"/>
    </row>
  </sheetData>
  <mergeCells count="11">
    <mergeCell ref="J85:K85"/>
    <mergeCell ref="H85:I85"/>
    <mergeCell ref="Q11:T11"/>
    <mergeCell ref="A4:O4"/>
    <mergeCell ref="A5:O5"/>
    <mergeCell ref="A6:O6"/>
    <mergeCell ref="A8:P8"/>
    <mergeCell ref="A9:P9"/>
    <mergeCell ref="H40:K40"/>
    <mergeCell ref="L40:O40"/>
    <mergeCell ref="H11:J11"/>
  </mergeCells>
  <pageMargins left="0.7" right="0.7" top="0.75" bottom="0.75" header="0.3" footer="0.3"/>
  <pageSetup scale="61" orientation="landscape" r:id="rId1"/>
  <rowBreaks count="2" manualBreakCount="2">
    <brk id="38" max="16383" man="1"/>
    <brk id="7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70C0"/>
    <pageSetUpPr fitToPage="1"/>
  </sheetPr>
  <dimension ref="A1:U55"/>
  <sheetViews>
    <sheetView showGridLines="0" defaultGridColor="0" view="pageBreakPreview" colorId="22" zoomScale="80" zoomScaleNormal="55" zoomScaleSheetLayoutView="80" zoomScalePageLayoutView="80" workbookViewId="0">
      <selection activeCell="H65" sqref="H65"/>
    </sheetView>
  </sheetViews>
  <sheetFormatPr defaultColWidth="13.44140625" defaultRowHeight="12"/>
  <cols>
    <col min="1" max="1" width="9" style="12" bestFit="1" customWidth="1"/>
    <col min="2" max="2" width="2.21875" style="12" customWidth="1"/>
    <col min="3" max="3" width="7.44140625" style="12" customWidth="1"/>
    <col min="4" max="4" width="2.21875" style="12" customWidth="1"/>
    <col min="5" max="5" width="27.77734375" style="12" customWidth="1"/>
    <col min="6" max="6" width="23.44140625" style="12" customWidth="1"/>
    <col min="7" max="7" width="16.77734375" style="12" customWidth="1"/>
    <col min="8" max="8" width="19.21875" style="12" customWidth="1"/>
    <col min="9" max="9" width="5.77734375" style="12" customWidth="1"/>
    <col min="10" max="10" width="19.44140625" style="12" customWidth="1"/>
    <col min="11" max="11" width="29.109375" style="12" customWidth="1"/>
    <col min="12" max="12" width="10" style="12" customWidth="1"/>
    <col min="13" max="13" width="6.33203125" style="12" customWidth="1"/>
    <col min="14" max="14" width="17.109375" style="12" bestFit="1" customWidth="1"/>
    <col min="15" max="15" width="6.109375" style="12" customWidth="1"/>
    <col min="16" max="16" width="13.77734375" style="12" customWidth="1"/>
    <col min="17" max="17" width="2.33203125" style="12" customWidth="1"/>
    <col min="18" max="19" width="15.77734375" style="1511" bestFit="1" customWidth="1"/>
    <col min="20" max="16384" width="13.44140625" style="12"/>
  </cols>
  <sheetData>
    <row r="1" spans="1:19" s="16" customFormat="1" ht="21">
      <c r="A1" s="361" t="s">
        <v>892</v>
      </c>
      <c r="B1" s="19"/>
      <c r="C1" s="19"/>
      <c r="D1" s="19"/>
      <c r="E1" s="83"/>
      <c r="F1" s="19"/>
      <c r="G1" s="19"/>
      <c r="H1" s="19"/>
      <c r="I1" s="19"/>
      <c r="J1" s="19"/>
      <c r="K1" s="19"/>
      <c r="L1" s="19"/>
      <c r="M1" s="19"/>
      <c r="N1" s="19"/>
      <c r="O1" s="19"/>
      <c r="P1" s="122"/>
      <c r="Q1" s="817"/>
      <c r="R1" s="1510"/>
      <c r="S1" s="1510"/>
    </row>
    <row r="2" spans="1:19" ht="17.399999999999999">
      <c r="B2" s="10"/>
      <c r="C2" s="10"/>
      <c r="D2" s="10"/>
      <c r="F2" s="10"/>
      <c r="G2" s="10"/>
      <c r="H2" s="10"/>
      <c r="I2" s="10"/>
      <c r="J2" s="10"/>
      <c r="K2" s="10"/>
      <c r="L2" s="10"/>
      <c r="M2" s="10"/>
      <c r="N2" s="10"/>
      <c r="O2" s="10"/>
    </row>
    <row r="3" spans="1:19" ht="17.399999999999999">
      <c r="B3" s="10"/>
      <c r="C3" s="10"/>
      <c r="D3" s="10"/>
      <c r="F3" s="10"/>
      <c r="G3" s="10"/>
      <c r="H3" s="10"/>
      <c r="I3" s="10"/>
      <c r="J3" s="10"/>
      <c r="K3" s="10"/>
      <c r="L3" s="10"/>
      <c r="M3" s="10"/>
      <c r="N3" s="10"/>
      <c r="O3" s="10"/>
      <c r="P3" s="10"/>
      <c r="Q3" s="10"/>
    </row>
    <row r="4" spans="1:19" ht="17.399999999999999">
      <c r="A4" s="1984" t="s">
        <v>199</v>
      </c>
      <c r="B4" s="1984"/>
      <c r="C4" s="1984"/>
      <c r="D4" s="1984"/>
      <c r="E4" s="1984"/>
      <c r="F4" s="1984"/>
      <c r="G4" s="1984"/>
      <c r="H4" s="1984"/>
      <c r="I4" s="1984"/>
      <c r="J4" s="1984"/>
      <c r="K4" s="1984"/>
      <c r="L4" s="1984"/>
      <c r="M4" s="1984"/>
      <c r="N4" s="1984"/>
      <c r="O4" s="1984"/>
      <c r="P4" s="1984"/>
      <c r="Q4" s="1984"/>
    </row>
    <row r="5" spans="1:19" ht="17.399999999999999">
      <c r="A5" s="1984" t="s">
        <v>103</v>
      </c>
      <c r="B5" s="1984"/>
      <c r="C5" s="1984"/>
      <c r="D5" s="1984"/>
      <c r="E5" s="1984"/>
      <c r="F5" s="1984"/>
      <c r="G5" s="1984"/>
      <c r="H5" s="1984"/>
      <c r="I5" s="1984"/>
      <c r="J5" s="1984"/>
      <c r="K5" s="1984"/>
      <c r="L5" s="1984"/>
      <c r="M5" s="1984"/>
      <c r="N5" s="1984"/>
      <c r="O5" s="1984"/>
      <c r="P5" s="1984"/>
      <c r="Q5" s="1984"/>
    </row>
    <row r="6" spans="1:19" ht="17.399999999999999">
      <c r="A6" s="1985" t="str">
        <f>SUMMARY!$A$7</f>
        <v>YEAR ENDING DECEMBER 31, 2021</v>
      </c>
      <c r="B6" s="1985"/>
      <c r="C6" s="1985"/>
      <c r="D6" s="1985"/>
      <c r="E6" s="1985"/>
      <c r="F6" s="1985"/>
      <c r="G6" s="1985"/>
      <c r="H6" s="1985"/>
      <c r="I6" s="1985"/>
      <c r="J6" s="1985"/>
      <c r="K6" s="1985"/>
      <c r="L6" s="1985"/>
      <c r="M6" s="1985"/>
      <c r="N6" s="1985"/>
      <c r="O6" s="1985"/>
      <c r="P6" s="1985"/>
      <c r="Q6" s="1985"/>
    </row>
    <row r="8" spans="1:19" ht="17.399999999999999">
      <c r="A8" s="1986" t="s">
        <v>891</v>
      </c>
      <c r="B8" s="1986"/>
      <c r="C8" s="1986"/>
      <c r="D8" s="1986"/>
      <c r="E8" s="1986"/>
      <c r="F8" s="1986"/>
      <c r="G8" s="1986"/>
      <c r="H8" s="1986"/>
      <c r="I8" s="1986"/>
      <c r="J8" s="1986"/>
      <c r="K8" s="1986"/>
      <c r="L8" s="1986"/>
      <c r="M8" s="1986"/>
      <c r="N8" s="1986"/>
      <c r="O8" s="1986"/>
      <c r="P8" s="1986"/>
      <c r="Q8" s="1986"/>
    </row>
    <row r="9" spans="1:19" ht="17.399999999999999">
      <c r="A9" s="1984" t="s">
        <v>815</v>
      </c>
      <c r="B9" s="1984"/>
      <c r="C9" s="1984"/>
      <c r="D9" s="1984"/>
      <c r="E9" s="1984"/>
      <c r="F9" s="1984"/>
      <c r="G9" s="1984"/>
      <c r="H9" s="1984"/>
      <c r="I9" s="1984"/>
      <c r="J9" s="1984"/>
      <c r="K9" s="1984"/>
      <c r="L9" s="1984"/>
      <c r="M9" s="1984"/>
      <c r="N9" s="1984"/>
      <c r="O9" s="1984"/>
      <c r="P9" s="1984"/>
      <c r="Q9" s="1984"/>
    </row>
    <row r="10" spans="1:19" ht="17.399999999999999">
      <c r="B10" s="10"/>
      <c r="C10" s="10"/>
      <c r="D10" s="10"/>
      <c r="E10" s="10"/>
      <c r="F10" s="10"/>
      <c r="G10" s="10"/>
      <c r="H10" s="10"/>
      <c r="I10" s="10"/>
      <c r="J10" s="10"/>
      <c r="K10" s="10"/>
      <c r="L10" s="10"/>
      <c r="M10" s="10"/>
      <c r="N10" s="10"/>
      <c r="O10" s="10"/>
      <c r="P10" s="10"/>
      <c r="Q10" s="10"/>
    </row>
    <row r="11" spans="1:19" ht="17.399999999999999">
      <c r="B11" s="10"/>
      <c r="C11" s="10"/>
      <c r="D11" s="10"/>
      <c r="E11" s="10"/>
      <c r="F11" s="10"/>
      <c r="G11" s="10"/>
      <c r="H11" s="10"/>
      <c r="I11" s="10"/>
      <c r="J11" s="10"/>
      <c r="K11" s="10"/>
      <c r="M11" s="10"/>
      <c r="N11" s="10"/>
      <c r="O11" s="10"/>
      <c r="P11" s="10"/>
      <c r="Q11" s="10"/>
    </row>
    <row r="12" spans="1:19" s="59" customFormat="1" ht="15.6">
      <c r="B12" s="104"/>
      <c r="C12" s="104"/>
      <c r="D12" s="104"/>
      <c r="E12" s="104"/>
      <c r="F12" s="104"/>
      <c r="G12" s="104"/>
      <c r="H12" s="104"/>
      <c r="I12" s="104"/>
      <c r="J12" s="104"/>
      <c r="K12" s="104"/>
      <c r="M12" s="104"/>
      <c r="N12" s="817"/>
      <c r="O12" s="817"/>
      <c r="P12" s="817" t="s">
        <v>4</v>
      </c>
      <c r="R12" s="1512"/>
      <c r="S12" s="1512"/>
    </row>
    <row r="13" spans="1:19" s="59" customFormat="1" ht="15.6">
      <c r="B13" s="104"/>
      <c r="C13" s="104"/>
      <c r="D13" s="104"/>
      <c r="E13" s="104"/>
      <c r="F13" s="104"/>
      <c r="G13" s="104"/>
      <c r="H13" s="104"/>
      <c r="I13" s="104"/>
      <c r="J13" s="104"/>
      <c r="K13" s="104"/>
      <c r="M13" s="104"/>
      <c r="N13" s="817" t="s">
        <v>97</v>
      </c>
      <c r="O13" s="817"/>
      <c r="P13" s="817" t="s">
        <v>99</v>
      </c>
      <c r="R13" s="1512"/>
      <c r="S13" s="1512"/>
    </row>
    <row r="14" spans="1:19" s="82" customFormat="1" ht="15.6">
      <c r="B14" s="19"/>
      <c r="C14" s="817" t="s">
        <v>0</v>
      </c>
      <c r="D14" s="19"/>
      <c r="E14" s="19"/>
      <c r="F14" s="19"/>
      <c r="G14" s="19"/>
      <c r="H14" s="19"/>
      <c r="I14" s="19"/>
      <c r="J14" s="19"/>
      <c r="K14" s="19"/>
      <c r="L14" s="817" t="s">
        <v>34</v>
      </c>
      <c r="M14" s="19"/>
      <c r="N14" s="817" t="s">
        <v>33</v>
      </c>
      <c r="O14" s="19"/>
      <c r="P14" s="817" t="s">
        <v>68</v>
      </c>
      <c r="R14" s="239"/>
      <c r="S14" s="239"/>
    </row>
    <row r="15" spans="1:19" s="82" customFormat="1" ht="15.6">
      <c r="A15" s="471" t="s">
        <v>1</v>
      </c>
      <c r="B15" s="19"/>
      <c r="C15" s="471" t="s">
        <v>2</v>
      </c>
      <c r="D15" s="19"/>
      <c r="E15" s="472" t="s">
        <v>3</v>
      </c>
      <c r="F15" s="19"/>
      <c r="G15" s="471" t="s">
        <v>455</v>
      </c>
      <c r="H15" s="471" t="s">
        <v>34</v>
      </c>
      <c r="I15" s="19"/>
      <c r="J15" s="471" t="s">
        <v>97</v>
      </c>
      <c r="K15" s="19"/>
      <c r="L15" s="471" t="s">
        <v>98</v>
      </c>
      <c r="M15" s="19"/>
      <c r="N15" s="471" t="s">
        <v>1090</v>
      </c>
      <c r="O15" s="19"/>
      <c r="P15" s="471" t="s">
        <v>831</v>
      </c>
      <c r="R15" s="239"/>
      <c r="S15" s="239"/>
    </row>
    <row r="16" spans="1:19" s="82" customFormat="1" ht="15.6">
      <c r="B16" s="19"/>
      <c r="C16" s="19"/>
      <c r="D16" s="19"/>
      <c r="E16" s="19"/>
      <c r="F16" s="19"/>
      <c r="G16" s="817" t="s">
        <v>6</v>
      </c>
      <c r="H16" s="817" t="s">
        <v>7</v>
      </c>
      <c r="J16" s="817" t="s">
        <v>8</v>
      </c>
      <c r="L16" s="817" t="s">
        <v>9</v>
      </c>
      <c r="N16" s="817" t="s">
        <v>28</v>
      </c>
      <c r="P16" s="473" t="s">
        <v>371</v>
      </c>
      <c r="Q16" s="817"/>
      <c r="R16" s="239"/>
      <c r="S16" s="239"/>
    </row>
    <row r="17" spans="1:21" s="82" customFormat="1" ht="15.6">
      <c r="B17" s="19"/>
      <c r="C17" s="19"/>
      <c r="D17" s="19"/>
      <c r="E17" s="19"/>
      <c r="F17" s="19"/>
      <c r="G17" s="19"/>
      <c r="H17" s="817"/>
      <c r="I17" s="19"/>
      <c r="J17" s="817"/>
      <c r="K17" s="19"/>
      <c r="L17" s="817"/>
      <c r="M17" s="19"/>
      <c r="N17" s="817"/>
      <c r="O17" s="19"/>
      <c r="P17" s="817"/>
      <c r="Q17" s="817"/>
      <c r="R17" s="239"/>
      <c r="S17" s="239"/>
    </row>
    <row r="18" spans="1:21" s="82" customFormat="1" ht="15.6">
      <c r="A18" s="167">
        <v>1</v>
      </c>
      <c r="B18" s="481"/>
      <c r="C18" s="20">
        <v>352</v>
      </c>
      <c r="D18" s="481"/>
      <c r="E18" s="481" t="s">
        <v>69</v>
      </c>
      <c r="F18" s="475"/>
      <c r="G18" s="19" t="s">
        <v>1634</v>
      </c>
      <c r="H18" s="707">
        <f>'WP-BA'!K126</f>
        <v>1718781.4668747943</v>
      </c>
      <c r="I18" s="715"/>
      <c r="J18" s="715"/>
      <c r="K18" s="19"/>
      <c r="L18" s="19"/>
      <c r="M18" s="19"/>
      <c r="N18" s="19"/>
      <c r="O18" s="19"/>
      <c r="P18" s="19"/>
      <c r="Q18" s="19"/>
      <c r="R18" s="239"/>
      <c r="S18" s="239"/>
      <c r="T18" s="738"/>
    </row>
    <row r="19" spans="1:21" s="82" customFormat="1" ht="15.6">
      <c r="A19" s="167">
        <f>A18+1</f>
        <v>2</v>
      </c>
      <c r="B19" s="481"/>
      <c r="C19" s="20">
        <v>353</v>
      </c>
      <c r="D19" s="481"/>
      <c r="E19" s="481" t="s">
        <v>20</v>
      </c>
      <c r="F19" s="19"/>
      <c r="G19" s="19" t="s">
        <v>1634</v>
      </c>
      <c r="H19" s="707">
        <f>'WP-BA'!K138</f>
        <v>17921214.313120458</v>
      </c>
      <c r="I19" s="715"/>
      <c r="J19" s="715"/>
      <c r="K19" s="19"/>
      <c r="L19" s="19"/>
      <c r="M19" s="19"/>
      <c r="N19" s="19"/>
      <c r="O19" s="19"/>
      <c r="P19" s="19"/>
      <c r="Q19" s="19"/>
      <c r="R19" s="239"/>
      <c r="S19" s="1513"/>
      <c r="T19" s="738"/>
    </row>
    <row r="20" spans="1:21" s="82" customFormat="1" ht="15.6">
      <c r="A20" s="167">
        <f t="shared" ref="A20:A45" si="0">A19+1</f>
        <v>3</v>
      </c>
      <c r="B20" s="481"/>
      <c r="C20" s="20">
        <v>354</v>
      </c>
      <c r="D20" s="481"/>
      <c r="E20" s="481" t="s">
        <v>70</v>
      </c>
      <c r="F20" s="19"/>
      <c r="G20" s="19" t="s">
        <v>1634</v>
      </c>
      <c r="H20" s="707">
        <f>'WP-BA'!K148</f>
        <v>4374488.9631558517</v>
      </c>
      <c r="I20" s="715"/>
      <c r="J20" s="715"/>
      <c r="K20" s="19"/>
      <c r="L20" s="19"/>
      <c r="M20" s="19"/>
      <c r="N20" s="19"/>
      <c r="O20" s="19"/>
      <c r="P20" s="19"/>
      <c r="Q20" s="19"/>
      <c r="R20" s="239"/>
      <c r="S20" s="239"/>
      <c r="T20" s="738"/>
    </row>
    <row r="21" spans="1:21" s="82" customFormat="1" ht="15.6">
      <c r="A21" s="167">
        <f t="shared" si="0"/>
        <v>4</v>
      </c>
      <c r="B21" s="481"/>
      <c r="C21" s="20">
        <v>355</v>
      </c>
      <c r="D21" s="481"/>
      <c r="E21" s="481" t="s">
        <v>71</v>
      </c>
      <c r="F21" s="19"/>
      <c r="G21" s="19" t="s">
        <v>1634</v>
      </c>
      <c r="H21" s="707">
        <f>'WP-BA'!K157</f>
        <v>6933491.4616129296</v>
      </c>
      <c r="I21" s="715"/>
      <c r="J21" s="715"/>
      <c r="K21" s="19"/>
      <c r="L21" s="19"/>
      <c r="M21" s="19"/>
      <c r="N21" s="19"/>
      <c r="O21" s="19"/>
      <c r="P21" s="19"/>
      <c r="Q21" s="19"/>
      <c r="R21" s="239"/>
      <c r="S21" s="239"/>
      <c r="T21" s="738"/>
    </row>
    <row r="22" spans="1:21" s="82" customFormat="1" ht="15.6">
      <c r="A22" s="167">
        <f t="shared" si="0"/>
        <v>5</v>
      </c>
      <c r="B22" s="481"/>
      <c r="C22" s="20">
        <v>356</v>
      </c>
      <c r="D22" s="481"/>
      <c r="E22" s="481" t="s">
        <v>72</v>
      </c>
      <c r="F22" s="19"/>
      <c r="G22" s="19" t="s">
        <v>1634</v>
      </c>
      <c r="H22" s="707">
        <f>'WP-BA'!K167</f>
        <v>5695543.8965864116</v>
      </c>
      <c r="I22" s="715"/>
      <c r="J22" s="715"/>
      <c r="K22" s="19"/>
      <c r="L22" s="19"/>
      <c r="M22" s="19"/>
      <c r="N22" s="19"/>
      <c r="O22" s="19"/>
      <c r="P22" s="19"/>
      <c r="Q22" s="19"/>
      <c r="R22" s="239"/>
      <c r="S22" s="1513"/>
      <c r="T22" s="738"/>
    </row>
    <row r="23" spans="1:21" s="82" customFormat="1" ht="15.6">
      <c r="A23" s="167">
        <f t="shared" si="0"/>
        <v>6</v>
      </c>
      <c r="B23" s="481"/>
      <c r="C23" s="20">
        <v>357</v>
      </c>
      <c r="D23" s="481"/>
      <c r="E23" s="481" t="s">
        <v>73</v>
      </c>
      <c r="F23" s="19"/>
      <c r="G23" s="19" t="s">
        <v>1634</v>
      </c>
      <c r="H23" s="707">
        <f>'WP-BA'!K174</f>
        <v>1282744.2347652016</v>
      </c>
      <c r="I23" s="715"/>
      <c r="J23" s="715"/>
      <c r="K23" s="19"/>
      <c r="L23" s="19"/>
      <c r="M23" s="19"/>
      <c r="N23" s="19"/>
      <c r="O23" s="19"/>
      <c r="P23" s="19"/>
      <c r="Q23" s="19"/>
      <c r="R23" s="239"/>
      <c r="S23" s="239"/>
      <c r="T23" s="738"/>
    </row>
    <row r="24" spans="1:21" s="82" customFormat="1" ht="15.6">
      <c r="A24" s="167">
        <f t="shared" si="0"/>
        <v>7</v>
      </c>
      <c r="B24" s="481"/>
      <c r="C24" s="20">
        <v>358</v>
      </c>
      <c r="D24" s="481"/>
      <c r="E24" s="481" t="s">
        <v>74</v>
      </c>
      <c r="F24" s="19"/>
      <c r="G24" s="19" t="s">
        <v>1634</v>
      </c>
      <c r="H24" s="707">
        <f>'WP-BA'!K181</f>
        <v>3446887.9916438512</v>
      </c>
      <c r="I24" s="715"/>
      <c r="J24" s="715"/>
      <c r="K24" s="19"/>
      <c r="L24" s="19"/>
      <c r="M24" s="19"/>
      <c r="N24" s="19"/>
      <c r="O24" s="19"/>
      <c r="P24" s="19"/>
      <c r="Q24" s="19"/>
      <c r="R24" s="239"/>
      <c r="S24" s="239"/>
      <c r="T24" s="738"/>
    </row>
    <row r="25" spans="1:21" s="82" customFormat="1" ht="15.6">
      <c r="A25" s="167">
        <f t="shared" si="0"/>
        <v>8</v>
      </c>
      <c r="B25" s="481"/>
      <c r="C25" s="20">
        <v>359</v>
      </c>
      <c r="D25" s="481"/>
      <c r="E25" s="481" t="s">
        <v>75</v>
      </c>
      <c r="F25" s="19"/>
      <c r="G25" s="19" t="s">
        <v>1634</v>
      </c>
      <c r="H25" s="716">
        <f>'WP-BA'!K191</f>
        <v>399849.34224050422</v>
      </c>
      <c r="I25" s="715"/>
      <c r="J25" s="715"/>
      <c r="K25" s="19"/>
      <c r="L25" s="19"/>
      <c r="M25" s="19"/>
      <c r="N25" s="19"/>
      <c r="O25" s="19"/>
      <c r="P25" s="19"/>
      <c r="Q25" s="19"/>
      <c r="R25" s="239"/>
      <c r="S25" s="239"/>
      <c r="T25" s="738"/>
    </row>
    <row r="26" spans="1:21" s="82" customFormat="1" ht="15.6">
      <c r="A26" s="167">
        <f>A25+1</f>
        <v>9</v>
      </c>
      <c r="B26" s="481"/>
      <c r="C26" s="501" t="s">
        <v>849</v>
      </c>
      <c r="D26" s="481"/>
      <c r="F26" s="19"/>
      <c r="G26" s="19"/>
      <c r="H26" s="715">
        <f>'WP-BA'!K193</f>
        <v>41773001.670000002</v>
      </c>
      <c r="I26" s="715"/>
      <c r="J26" s="715"/>
      <c r="K26" s="19"/>
      <c r="L26" s="19"/>
      <c r="M26" s="19"/>
      <c r="N26" s="19"/>
      <c r="O26" s="19"/>
      <c r="P26" s="19"/>
      <c r="Q26" s="19"/>
      <c r="R26" s="313"/>
      <c r="S26" s="313"/>
      <c r="T26" s="738"/>
    </row>
    <row r="27" spans="1:21" s="82" customFormat="1" ht="15.6">
      <c r="A27" s="167"/>
      <c r="B27" s="481"/>
      <c r="C27" s="502"/>
      <c r="D27" s="481"/>
      <c r="F27" s="19"/>
      <c r="G27" s="19"/>
      <c r="H27" s="715"/>
      <c r="I27" s="715"/>
      <c r="J27" s="715"/>
      <c r="K27" s="19"/>
      <c r="L27" s="19"/>
      <c r="M27" s="19"/>
      <c r="N27" s="19"/>
      <c r="O27" s="19"/>
      <c r="P27" s="19"/>
      <c r="Q27" s="19"/>
      <c r="R27" s="239"/>
      <c r="S27" s="239"/>
    </row>
    <row r="28" spans="1:21" s="82" customFormat="1" ht="15.6">
      <c r="A28" s="167">
        <f>A26+1</f>
        <v>10</v>
      </c>
      <c r="B28" s="481"/>
      <c r="C28" s="20">
        <v>390</v>
      </c>
      <c r="D28" s="481"/>
      <c r="E28" s="481" t="s">
        <v>69</v>
      </c>
      <c r="F28" s="19"/>
      <c r="G28" s="19" t="s">
        <v>1634</v>
      </c>
      <c r="H28" s="602"/>
      <c r="I28" s="707"/>
      <c r="J28" s="714">
        <f>'WP-BA'!K23</f>
        <v>4009194.5400000005</v>
      </c>
      <c r="K28" s="19"/>
      <c r="L28" s="19"/>
      <c r="M28" s="19"/>
      <c r="N28" s="19"/>
      <c r="O28" s="19"/>
      <c r="P28" s="19"/>
      <c r="Q28" s="19"/>
      <c r="R28" s="239"/>
      <c r="S28" s="239"/>
      <c r="T28" s="239"/>
      <c r="U28" s="738"/>
    </row>
    <row r="29" spans="1:21" s="82" customFormat="1" ht="15.6">
      <c r="A29" s="167">
        <f t="shared" si="0"/>
        <v>11</v>
      </c>
      <c r="B29" s="481"/>
      <c r="C29" s="20">
        <v>391</v>
      </c>
      <c r="D29" s="481"/>
      <c r="E29" s="481" t="s">
        <v>76</v>
      </c>
      <c r="F29" s="503"/>
      <c r="G29" s="19" t="s">
        <v>1634</v>
      </c>
      <c r="H29" s="602"/>
      <c r="I29" s="707"/>
      <c r="J29" s="714">
        <f>'WP-BA'!K41</f>
        <v>29929212.130000003</v>
      </c>
      <c r="K29" s="19"/>
      <c r="L29" s="19"/>
      <c r="M29" s="19"/>
      <c r="N29" s="19"/>
      <c r="O29" s="19"/>
      <c r="P29" s="19"/>
      <c r="Q29" s="19"/>
      <c r="R29" s="239"/>
      <c r="S29" s="239"/>
      <c r="T29" s="1513"/>
      <c r="U29" s="738"/>
    </row>
    <row r="30" spans="1:21" s="82" customFormat="1" ht="15.6">
      <c r="A30" s="167">
        <f t="shared" si="0"/>
        <v>12</v>
      </c>
      <c r="B30" s="481"/>
      <c r="C30" s="20">
        <v>392</v>
      </c>
      <c r="D30" s="481"/>
      <c r="E30" s="481" t="s">
        <v>77</v>
      </c>
      <c r="F30" s="19"/>
      <c r="G30" s="19" t="s">
        <v>1634</v>
      </c>
      <c r="H30" s="602"/>
      <c r="I30" s="707"/>
      <c r="J30" s="714">
        <f>'WP-BA'!K50</f>
        <v>2165179.4300000006</v>
      </c>
      <c r="K30" s="19"/>
      <c r="L30" s="19"/>
      <c r="M30" s="19"/>
      <c r="N30" s="19"/>
      <c r="O30" s="19"/>
      <c r="P30" s="19"/>
      <c r="Q30" s="19"/>
      <c r="R30" s="239"/>
      <c r="S30" s="239"/>
      <c r="T30" s="239"/>
      <c r="U30" s="738"/>
    </row>
    <row r="31" spans="1:21" s="82" customFormat="1" ht="15.6">
      <c r="A31" s="167">
        <f t="shared" si="0"/>
        <v>13</v>
      </c>
      <c r="B31" s="481"/>
      <c r="C31" s="20">
        <v>393</v>
      </c>
      <c r="D31" s="481"/>
      <c r="E31" s="481" t="s">
        <v>78</v>
      </c>
      <c r="F31" s="19"/>
      <c r="G31" s="19" t="s">
        <v>1634</v>
      </c>
      <c r="H31" s="602"/>
      <c r="I31" s="707"/>
      <c r="J31" s="714">
        <f>'WP-BA'!K58</f>
        <v>35497</v>
      </c>
      <c r="K31" s="19"/>
      <c r="L31" s="19"/>
      <c r="M31" s="19"/>
      <c r="N31" s="19"/>
      <c r="O31" s="19"/>
      <c r="P31" s="19"/>
      <c r="Q31" s="19"/>
      <c r="R31" s="239"/>
      <c r="S31" s="239"/>
      <c r="T31" s="239"/>
      <c r="U31" s="738"/>
    </row>
    <row r="32" spans="1:21" s="82" customFormat="1" ht="15.6">
      <c r="A32" s="167">
        <f t="shared" si="0"/>
        <v>14</v>
      </c>
      <c r="B32" s="481"/>
      <c r="C32" s="20">
        <v>394</v>
      </c>
      <c r="D32" s="481"/>
      <c r="E32" s="481" t="s">
        <v>79</v>
      </c>
      <c r="F32" s="19"/>
      <c r="G32" s="19" t="s">
        <v>1634</v>
      </c>
      <c r="H32" s="602"/>
      <c r="I32" s="707"/>
      <c r="J32" s="714">
        <f>'WP-BA'!K67</f>
        <v>694650.36</v>
      </c>
      <c r="K32" s="19"/>
      <c r="L32" s="19"/>
      <c r="M32" s="19"/>
      <c r="N32" s="19"/>
      <c r="O32" s="19"/>
      <c r="P32" s="19"/>
      <c r="Q32" s="19"/>
      <c r="R32" s="239"/>
      <c r="S32" s="239"/>
      <c r="T32" s="239"/>
      <c r="U32" s="738"/>
    </row>
    <row r="33" spans="1:21" s="82" customFormat="1" ht="15.6">
      <c r="A33" s="167">
        <f t="shared" si="0"/>
        <v>15</v>
      </c>
      <c r="B33" s="481"/>
      <c r="C33" s="20">
        <v>395</v>
      </c>
      <c r="D33" s="481"/>
      <c r="E33" s="481" t="s">
        <v>80</v>
      </c>
      <c r="F33" s="19"/>
      <c r="G33" s="19" t="s">
        <v>1634</v>
      </c>
      <c r="H33" s="602"/>
      <c r="I33" s="714"/>
      <c r="J33" s="714">
        <f>'WP-BA'!K76</f>
        <v>249667.82</v>
      </c>
      <c r="K33" s="19"/>
      <c r="L33" s="19"/>
      <c r="M33" s="19"/>
      <c r="N33" s="19"/>
      <c r="O33" s="19"/>
      <c r="P33" s="19"/>
      <c r="Q33" s="19"/>
      <c r="R33" s="239"/>
      <c r="S33" s="239"/>
      <c r="T33" s="239"/>
      <c r="U33" s="738"/>
    </row>
    <row r="34" spans="1:21" s="82" customFormat="1" ht="15.6">
      <c r="A34" s="167">
        <f t="shared" si="0"/>
        <v>16</v>
      </c>
      <c r="B34" s="481"/>
      <c r="C34" s="20">
        <v>396</v>
      </c>
      <c r="D34" s="481"/>
      <c r="E34" s="481" t="s">
        <v>81</v>
      </c>
      <c r="F34" s="19"/>
      <c r="G34" s="19" t="s">
        <v>1634</v>
      </c>
      <c r="H34" s="602"/>
      <c r="I34" s="707"/>
      <c r="J34" s="714">
        <f>'WP-BA'!K85</f>
        <v>1023766.27</v>
      </c>
      <c r="K34" s="19"/>
      <c r="L34" s="19"/>
      <c r="M34" s="19"/>
      <c r="N34" s="19"/>
      <c r="O34" s="19"/>
      <c r="P34" s="19"/>
      <c r="Q34" s="19"/>
      <c r="R34" s="239"/>
      <c r="S34" s="239"/>
      <c r="T34" s="239"/>
      <c r="U34" s="738"/>
    </row>
    <row r="35" spans="1:21" s="82" customFormat="1" ht="15.6">
      <c r="A35" s="167">
        <f t="shared" si="0"/>
        <v>17</v>
      </c>
      <c r="B35" s="481"/>
      <c r="C35" s="20">
        <v>397</v>
      </c>
      <c r="D35" s="481"/>
      <c r="E35" s="481" t="s">
        <v>82</v>
      </c>
      <c r="F35" s="19"/>
      <c r="G35" s="19" t="s">
        <v>1634</v>
      </c>
      <c r="H35" s="602"/>
      <c r="I35" s="707"/>
      <c r="J35" s="714">
        <f>'WP-BA'!K96</f>
        <v>2044013.9100000001</v>
      </c>
      <c r="K35" s="19"/>
      <c r="L35" s="19"/>
      <c r="M35" s="19"/>
      <c r="N35" s="19"/>
      <c r="O35" s="19"/>
      <c r="P35" s="19"/>
      <c r="Q35" s="19"/>
      <c r="R35" s="239"/>
      <c r="S35" s="239"/>
      <c r="T35" s="239"/>
      <c r="U35" s="738"/>
    </row>
    <row r="36" spans="1:21" s="82" customFormat="1" ht="15.6">
      <c r="A36" s="167">
        <f t="shared" si="0"/>
        <v>18</v>
      </c>
      <c r="B36" s="481"/>
      <c r="C36" s="20">
        <v>398</v>
      </c>
      <c r="D36" s="481"/>
      <c r="E36" s="481" t="s">
        <v>83</v>
      </c>
      <c r="F36" s="19"/>
      <c r="G36" s="19" t="s">
        <v>1634</v>
      </c>
      <c r="H36" s="602"/>
      <c r="I36" s="707"/>
      <c r="J36" s="714">
        <f>'WP-BA'!K105</f>
        <v>17270463.469999999</v>
      </c>
      <c r="K36" s="19"/>
      <c r="L36" s="19"/>
      <c r="M36" s="19"/>
      <c r="N36" s="19"/>
      <c r="O36" s="19"/>
      <c r="P36" s="19"/>
      <c r="Q36" s="19"/>
      <c r="R36" s="239"/>
      <c r="S36" s="239"/>
      <c r="T36" s="1513"/>
      <c r="U36" s="738"/>
    </row>
    <row r="37" spans="1:21" s="82" customFormat="1" ht="15.6">
      <c r="A37" s="167">
        <f t="shared" si="0"/>
        <v>19</v>
      </c>
      <c r="B37" s="481"/>
      <c r="C37" s="20">
        <v>399</v>
      </c>
      <c r="D37" s="481"/>
      <c r="E37" s="481" t="s">
        <v>84</v>
      </c>
      <c r="F37" s="19"/>
      <c r="G37" s="19" t="s">
        <v>1634</v>
      </c>
      <c r="H37" s="602"/>
      <c r="I37" s="707"/>
      <c r="J37" s="717">
        <f>'WP-BA'!K112</f>
        <v>117778</v>
      </c>
      <c r="K37" s="19"/>
      <c r="L37" s="19"/>
      <c r="M37" s="19"/>
      <c r="N37" s="19"/>
      <c r="O37" s="19"/>
      <c r="P37" s="19"/>
      <c r="Q37" s="19"/>
      <c r="R37" s="239"/>
      <c r="S37" s="239"/>
      <c r="T37" s="239"/>
      <c r="U37" s="738"/>
    </row>
    <row r="38" spans="1:21" s="82" customFormat="1" ht="15.6">
      <c r="A38" s="167">
        <f t="shared" si="0"/>
        <v>20</v>
      </c>
      <c r="B38" s="481"/>
      <c r="C38" s="501" t="s">
        <v>702</v>
      </c>
      <c r="D38" s="502"/>
      <c r="E38" s="502"/>
      <c r="F38" s="19"/>
      <c r="G38" s="19"/>
      <c r="H38" s="602"/>
      <c r="I38" s="715"/>
      <c r="J38" s="715">
        <f>SUM(J28:J37)</f>
        <v>57539422.930000007</v>
      </c>
      <c r="K38" s="19"/>
      <c r="L38" s="19"/>
      <c r="M38" s="19"/>
      <c r="N38" s="19"/>
      <c r="O38" s="19"/>
      <c r="P38" s="19"/>
      <c r="Q38" s="19"/>
      <c r="R38" s="239"/>
      <c r="S38" s="313"/>
      <c r="T38" s="313"/>
      <c r="U38" s="738"/>
    </row>
    <row r="39" spans="1:21" s="82" customFormat="1" ht="15.6">
      <c r="A39" s="167"/>
      <c r="B39" s="481"/>
      <c r="C39" s="481"/>
      <c r="D39" s="481"/>
      <c r="E39" s="502"/>
      <c r="F39" s="19"/>
      <c r="G39" s="19"/>
      <c r="H39" s="715"/>
      <c r="I39" s="715"/>
      <c r="J39" s="715"/>
      <c r="K39" s="19"/>
      <c r="L39" s="19"/>
      <c r="M39" s="19"/>
      <c r="N39" s="19"/>
      <c r="O39" s="19"/>
      <c r="P39" s="19"/>
      <c r="Q39" s="19"/>
      <c r="R39" s="239"/>
      <c r="S39" s="239"/>
    </row>
    <row r="40" spans="1:21" s="82" customFormat="1" ht="15.6">
      <c r="A40" s="167"/>
      <c r="B40" s="481"/>
      <c r="C40" s="501" t="s">
        <v>183</v>
      </c>
      <c r="D40" s="481"/>
      <c r="F40" s="19"/>
      <c r="G40" s="19"/>
      <c r="H40" s="715"/>
      <c r="I40" s="715"/>
      <c r="J40" s="715"/>
      <c r="K40" s="19"/>
      <c r="L40" s="19"/>
      <c r="M40" s="19"/>
      <c r="N40" s="19"/>
      <c r="O40" s="19"/>
      <c r="P40" s="19"/>
      <c r="Q40" s="19"/>
      <c r="R40" s="239"/>
      <c r="S40" s="239"/>
    </row>
    <row r="41" spans="1:21" s="82" customFormat="1" ht="15.6">
      <c r="A41" s="167">
        <f>A38+1</f>
        <v>21</v>
      </c>
      <c r="B41" s="481"/>
      <c r="C41" s="481"/>
      <c r="D41" s="481"/>
      <c r="E41" s="186" t="s">
        <v>356</v>
      </c>
      <c r="F41" s="186"/>
      <c r="G41" s="577" t="s">
        <v>904</v>
      </c>
      <c r="H41" s="718">
        <f>'B2-Plant'!L37</f>
        <v>2178735.56</v>
      </c>
      <c r="I41" s="707"/>
      <c r="J41" s="715"/>
      <c r="K41" s="504"/>
      <c r="L41" s="504"/>
      <c r="M41" s="504"/>
      <c r="N41" s="504"/>
      <c r="O41" s="504"/>
      <c r="P41" s="504"/>
      <c r="Q41" s="504"/>
      <c r="R41" s="239"/>
      <c r="S41" s="239"/>
    </row>
    <row r="42" spans="1:21" s="82" customFormat="1" ht="15.6">
      <c r="A42" s="167">
        <f t="shared" si="0"/>
        <v>22</v>
      </c>
      <c r="B42" s="19"/>
      <c r="C42" s="19"/>
      <c r="D42" s="19"/>
      <c r="E42" s="186" t="s">
        <v>146</v>
      </c>
      <c r="F42" s="186"/>
      <c r="G42" s="577" t="s">
        <v>905</v>
      </c>
      <c r="H42" s="718">
        <f>'B2-Plant'!L36</f>
        <v>-990508</v>
      </c>
      <c r="I42" s="719"/>
      <c r="J42" s="719"/>
      <c r="K42" s="504"/>
      <c r="L42" s="504"/>
      <c r="M42" s="504"/>
      <c r="N42" s="504"/>
      <c r="O42" s="504"/>
      <c r="P42" s="504"/>
      <c r="Q42" s="504"/>
      <c r="R42" s="239"/>
      <c r="S42" s="239"/>
    </row>
    <row r="43" spans="1:21" s="82" customFormat="1" ht="15.6">
      <c r="A43" s="167">
        <f t="shared" si="0"/>
        <v>23</v>
      </c>
      <c r="B43" s="19"/>
      <c r="C43" s="19"/>
      <c r="D43" s="19"/>
      <c r="E43" s="186" t="s">
        <v>246</v>
      </c>
      <c r="F43" s="186"/>
      <c r="G43" s="577" t="s">
        <v>906</v>
      </c>
      <c r="H43" s="718">
        <f>'B2-Plant'!L34</f>
        <v>-1663426</v>
      </c>
      <c r="I43" s="719"/>
      <c r="J43" s="719"/>
      <c r="K43" s="504"/>
      <c r="L43" s="504"/>
      <c r="M43" s="504"/>
      <c r="N43" s="504"/>
      <c r="O43" s="504"/>
      <c r="P43" s="504"/>
      <c r="Q43" s="504"/>
      <c r="R43" s="239"/>
      <c r="S43" s="239"/>
    </row>
    <row r="44" spans="1:21" s="82" customFormat="1" ht="15.6">
      <c r="A44" s="167">
        <f t="shared" si="0"/>
        <v>24</v>
      </c>
      <c r="B44" s="19"/>
      <c r="C44" s="19"/>
      <c r="D44" s="19"/>
      <c r="E44" s="186" t="s">
        <v>145</v>
      </c>
      <c r="F44" s="186"/>
      <c r="G44" s="577" t="s">
        <v>907</v>
      </c>
      <c r="H44" s="718">
        <f>'B2-Plant'!L35</f>
        <v>-1421673.3399999999</v>
      </c>
      <c r="I44" s="719"/>
      <c r="J44" s="719"/>
      <c r="K44" s="504"/>
      <c r="L44" s="504"/>
      <c r="M44" s="504"/>
      <c r="N44" s="504"/>
      <c r="O44" s="504"/>
      <c r="P44" s="504"/>
      <c r="Q44" s="504"/>
      <c r="R44" s="239"/>
      <c r="S44" s="239"/>
    </row>
    <row r="45" spans="1:21" s="82" customFormat="1" ht="15.6">
      <c r="A45" s="167">
        <f t="shared" si="0"/>
        <v>25</v>
      </c>
      <c r="B45" s="481"/>
      <c r="D45" s="19"/>
      <c r="E45" s="647" t="s">
        <v>1635</v>
      </c>
      <c r="F45" s="186"/>
      <c r="G45" s="484" t="s">
        <v>908</v>
      </c>
      <c r="H45" s="720"/>
      <c r="I45" s="707"/>
      <c r="J45" s="705">
        <f>-'WP-BG'!H44</f>
        <v>-16879753.529999997</v>
      </c>
      <c r="K45" s="504"/>
      <c r="L45" s="504"/>
      <c r="M45" s="504"/>
      <c r="N45" s="504"/>
      <c r="O45" s="504"/>
      <c r="P45" s="504"/>
      <c r="Q45" s="505"/>
      <c r="R45" s="239"/>
      <c r="S45" s="239"/>
    </row>
    <row r="46" spans="1:21" s="82" customFormat="1" ht="16.2" thickBot="1">
      <c r="A46" s="167"/>
      <c r="B46" s="19"/>
      <c r="C46" s="19"/>
      <c r="D46" s="19"/>
      <c r="E46" s="19"/>
      <c r="F46" s="19"/>
      <c r="G46" s="19"/>
      <c r="H46" s="707"/>
      <c r="I46" s="707"/>
      <c r="J46" s="707"/>
      <c r="K46" s="19"/>
      <c r="L46" s="19"/>
      <c r="M46" s="19"/>
      <c r="N46" s="19"/>
      <c r="O46" s="19"/>
      <c r="P46" s="19"/>
      <c r="Q46" s="19"/>
      <c r="R46" s="239"/>
      <c r="S46" s="239"/>
    </row>
    <row r="47" spans="1:21" s="82" customFormat="1" ht="16.8" thickTop="1" thickBot="1">
      <c r="A47" s="167">
        <f>A45+1</f>
        <v>26</v>
      </c>
      <c r="B47" s="19"/>
      <c r="C47" s="19"/>
      <c r="D47" s="19"/>
      <c r="E47" s="817" t="s">
        <v>32</v>
      </c>
      <c r="F47" s="19"/>
      <c r="G47" s="19" t="s">
        <v>1699</v>
      </c>
      <c r="H47" s="477">
        <f>SUM(H26:H45)</f>
        <v>39876129.890000001</v>
      </c>
      <c r="I47" s="506"/>
      <c r="J47" s="477">
        <f>SUM(J38:J46)</f>
        <v>40659669.400000006</v>
      </c>
      <c r="K47" s="19"/>
      <c r="L47" s="759">
        <f>+'E1-Labor Ratio'!H21</f>
        <v>0.35069999486318831</v>
      </c>
      <c r="M47" s="13" t="s">
        <v>360</v>
      </c>
      <c r="N47" s="477">
        <f>J47*L47</f>
        <v>14259345.849718938</v>
      </c>
      <c r="O47" s="477"/>
      <c r="P47" s="507">
        <f>H47+N47</f>
        <v>54135475.739718936</v>
      </c>
      <c r="R47" s="239"/>
      <c r="S47" s="239"/>
    </row>
    <row r="48" spans="1:21" s="82" customFormat="1" ht="16.2" thickTop="1">
      <c r="B48" s="19"/>
      <c r="C48" s="19"/>
      <c r="D48" s="19"/>
      <c r="E48" s="19"/>
      <c r="F48" s="19"/>
      <c r="G48" s="19"/>
      <c r="H48" s="477"/>
      <c r="I48" s="19"/>
      <c r="K48" s="19"/>
      <c r="L48" s="19"/>
      <c r="M48" s="19"/>
      <c r="N48" s="19"/>
      <c r="O48" s="19"/>
      <c r="P48" s="19"/>
      <c r="Q48" s="19"/>
      <c r="R48" s="239"/>
      <c r="S48" s="239"/>
    </row>
    <row r="49" spans="1:19" s="82" customFormat="1" ht="15.6">
      <c r="A49" s="13" t="s">
        <v>1781</v>
      </c>
      <c r="C49" s="19"/>
      <c r="D49" s="19"/>
      <c r="E49" s="19"/>
      <c r="F49" s="19"/>
      <c r="G49" s="19"/>
      <c r="H49" s="477"/>
      <c r="I49" s="19"/>
      <c r="K49" s="19"/>
      <c r="L49" s="19"/>
      <c r="M49" s="19"/>
      <c r="N49" s="19"/>
      <c r="O49" s="19"/>
      <c r="P49" s="19"/>
      <c r="Q49" s="19"/>
      <c r="R49" s="239"/>
      <c r="S49" s="239"/>
    </row>
    <row r="50" spans="1:19" s="59" customFormat="1" ht="15.6">
      <c r="C50" s="140"/>
      <c r="D50" s="140"/>
      <c r="E50" s="140"/>
      <c r="F50" s="140"/>
      <c r="G50" s="104"/>
      <c r="H50" s="209"/>
      <c r="J50" s="104"/>
      <c r="K50" s="104"/>
      <c r="L50" s="104"/>
      <c r="M50" s="104"/>
      <c r="N50" s="104"/>
      <c r="O50" s="104"/>
      <c r="P50" s="104"/>
      <c r="Q50" s="104"/>
      <c r="R50" s="1512"/>
      <c r="S50" s="1512"/>
    </row>
    <row r="51" spans="1:19" s="59" customFormat="1" ht="15.6">
      <c r="B51" s="108"/>
      <c r="C51" s="108"/>
      <c r="D51" s="108"/>
      <c r="E51" s="108"/>
      <c r="F51" s="140"/>
      <c r="G51" s="140"/>
      <c r="H51" s="140"/>
      <c r="I51" s="104"/>
      <c r="J51" s="106"/>
      <c r="K51" s="104"/>
      <c r="L51" s="104"/>
      <c r="M51" s="104"/>
      <c r="N51" s="104"/>
      <c r="O51" s="104"/>
      <c r="P51" s="104"/>
      <c r="Q51" s="104"/>
      <c r="R51" s="1512"/>
      <c r="S51" s="1512"/>
    </row>
    <row r="52" spans="1:19" s="59" customFormat="1" ht="15.6">
      <c r="B52" s="104"/>
      <c r="C52" s="104"/>
      <c r="D52" s="104"/>
      <c r="E52" s="104"/>
      <c r="F52" s="104"/>
      <c r="G52" s="104"/>
      <c r="H52" s="104"/>
      <c r="I52" s="104"/>
      <c r="J52" s="104"/>
      <c r="K52" s="104"/>
      <c r="L52" s="104"/>
      <c r="M52" s="104"/>
      <c r="N52" s="104"/>
      <c r="O52" s="104"/>
      <c r="P52" s="104"/>
      <c r="Q52" s="104"/>
      <c r="R52" s="1512"/>
      <c r="S52" s="1512"/>
    </row>
    <row r="53" spans="1:19" ht="17.399999999999999">
      <c r="B53" s="10"/>
      <c r="C53" s="10"/>
      <c r="D53" s="10"/>
      <c r="E53" s="10"/>
      <c r="F53" s="10"/>
      <c r="G53" s="10"/>
      <c r="H53" s="10"/>
      <c r="I53" s="10"/>
      <c r="J53" s="10"/>
      <c r="K53" s="10"/>
      <c r="L53" s="10"/>
      <c r="M53" s="10"/>
      <c r="N53" s="10"/>
      <c r="O53" s="10"/>
      <c r="P53" s="10"/>
      <c r="Q53" s="10"/>
    </row>
    <row r="54" spans="1:19" ht="17.399999999999999">
      <c r="B54" s="10"/>
      <c r="C54" s="10"/>
      <c r="D54" s="10"/>
      <c r="E54" s="10"/>
      <c r="F54" s="10"/>
      <c r="G54" s="10"/>
      <c r="H54" s="10"/>
      <c r="I54" s="10"/>
      <c r="J54" s="10"/>
      <c r="K54" s="10"/>
      <c r="L54" s="10"/>
      <c r="M54" s="10"/>
      <c r="N54" s="10"/>
      <c r="O54" s="10"/>
      <c r="P54" s="10"/>
      <c r="Q54" s="10"/>
    </row>
    <row r="55" spans="1:19" ht="17.399999999999999">
      <c r="B55" s="10"/>
      <c r="C55" s="10"/>
      <c r="D55" s="10"/>
      <c r="E55" s="10"/>
      <c r="F55" s="10"/>
      <c r="G55" s="10"/>
      <c r="H55" s="10"/>
      <c r="I55" s="10"/>
      <c r="J55" s="10"/>
      <c r="K55" s="10"/>
      <c r="L55" s="10"/>
      <c r="M55" s="10"/>
      <c r="N55" s="10"/>
      <c r="O55" s="10"/>
      <c r="P55" s="10"/>
      <c r="Q55" s="10"/>
    </row>
  </sheetData>
  <customSheetViews>
    <customSheetView guid="{B321D76C-CDE5-48BB-9CDE-80FF97D58FCF}" colorId="22" showPageBreaks="1" showGridLines="0" fitToPage="1" printArea="1" view="pageBreakPreview" topLeftCell="G31">
      <selection activeCell="D33" sqref="D33"/>
      <colBreaks count="1" manualBreakCount="1">
        <brk id="22" max="1048575" man="1"/>
      </colBreaks>
      <pageMargins left="0.25" right="0.25" top="0.25" bottom="0.25" header="0.5" footer="0.5"/>
      <printOptions horizontalCentered="1"/>
      <pageSetup scale="63" orientation="landscape" r:id="rId1"/>
      <headerFooter alignWithMargins="0"/>
    </customSheetView>
  </customSheetViews>
  <mergeCells count="5">
    <mergeCell ref="A4:Q4"/>
    <mergeCell ref="A5:Q5"/>
    <mergeCell ref="A9:Q9"/>
    <mergeCell ref="A6:Q6"/>
    <mergeCell ref="A8:Q8"/>
  </mergeCells>
  <printOptions horizontalCentered="1"/>
  <pageMargins left="0.25" right="0.25" top="0.25" bottom="0.25" header="0.5" footer="0.5"/>
  <pageSetup scale="62" orientation="landscape" r:id="rId2"/>
  <headerFooter alignWithMargins="0"/>
  <colBreaks count="1" manualBreakCount="1">
    <brk id="2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070C0"/>
    <pageSetUpPr fitToPage="1"/>
  </sheetPr>
  <dimension ref="A1:Y89"/>
  <sheetViews>
    <sheetView view="pageBreakPreview" topLeftCell="A4" zoomScale="80" zoomScaleNormal="100" zoomScaleSheetLayoutView="80" workbookViewId="0">
      <pane xSplit="8" ySplit="14" topLeftCell="I18" activePane="bottomRight" state="frozen"/>
      <selection activeCell="H65" sqref="H65"/>
      <selection pane="topRight" activeCell="H65" sqref="H65"/>
      <selection pane="bottomLeft" activeCell="H65" sqref="H65"/>
      <selection pane="bottomRight" activeCell="I55" sqref="I55"/>
    </sheetView>
  </sheetViews>
  <sheetFormatPr defaultColWidth="9" defaultRowHeight="13.5" customHeight="1"/>
  <cols>
    <col min="1" max="1" width="0.77734375" style="58" customWidth="1"/>
    <col min="2" max="2" width="5" style="58" customWidth="1"/>
    <col min="3" max="3" width="0.44140625" style="58" customWidth="1"/>
    <col min="4" max="4" width="18.44140625" style="58" customWidth="1"/>
    <col min="5" max="5" width="8.33203125" style="111" customWidth="1"/>
    <col min="6" max="6" width="10.44140625" style="109" customWidth="1"/>
    <col min="7" max="7" width="20.33203125" style="58" customWidth="1"/>
    <col min="8" max="8" width="23" style="58" customWidth="1"/>
    <col min="9" max="9" width="16.33203125" style="58" customWidth="1"/>
    <col min="10" max="10" width="19.33203125" style="58" customWidth="1"/>
    <col min="11" max="11" width="29.109375" style="58" customWidth="1"/>
    <col min="12" max="12" width="18.77734375" style="58" customWidth="1"/>
    <col min="13" max="13" width="19.33203125" style="58" customWidth="1"/>
    <col min="14" max="14" width="16.77734375" style="58" customWidth="1"/>
    <col min="15" max="15" width="18" style="58" customWidth="1"/>
    <col min="16" max="16" width="14.77734375" style="58" customWidth="1"/>
    <col min="17" max="17" width="15.77734375" style="58" customWidth="1"/>
    <col min="18" max="18" width="16.77734375" style="58" customWidth="1"/>
    <col min="19" max="19" width="1.77734375" style="58" customWidth="1"/>
    <col min="20" max="20" width="16.109375" style="58" customWidth="1"/>
    <col min="21" max="21" width="1.44140625" style="25" customWidth="1"/>
    <col min="22" max="22" width="15.44140625" style="25" bestFit="1" customWidth="1"/>
    <col min="23" max="23" width="13.77734375" style="25" bestFit="1" customWidth="1"/>
    <col min="24" max="24" width="15.44140625" style="25" bestFit="1" customWidth="1"/>
    <col min="25" max="25" width="16.21875" style="25" bestFit="1" customWidth="1"/>
    <col min="26" max="26" width="11.109375" style="25" bestFit="1" customWidth="1"/>
    <col min="27" max="16384" width="9" style="25"/>
  </cols>
  <sheetData>
    <row r="1" spans="1:21" s="179" customFormat="1" ht="21">
      <c r="A1" s="166"/>
      <c r="B1" s="359" t="s">
        <v>910</v>
      </c>
      <c r="C1" s="177"/>
      <c r="D1" s="166"/>
      <c r="F1" s="171"/>
      <c r="G1" s="177"/>
      <c r="H1" s="177"/>
      <c r="I1" s="177"/>
      <c r="J1" s="177"/>
      <c r="K1" s="177"/>
      <c r="L1" s="177"/>
      <c r="M1" s="800"/>
      <c r="N1" s="800"/>
      <c r="O1" s="800"/>
      <c r="P1" s="800"/>
      <c r="Q1" s="177"/>
      <c r="R1" s="166"/>
      <c r="S1" s="176"/>
      <c r="T1" s="172"/>
    </row>
    <row r="2" spans="1:21" s="181" customFormat="1" ht="15.75" customHeight="1">
      <c r="A2" s="166"/>
      <c r="B2" s="177"/>
      <c r="C2" s="177"/>
      <c r="D2" s="166"/>
      <c r="E2" s="178"/>
      <c r="F2" s="171"/>
      <c r="G2" s="177"/>
      <c r="H2" s="177"/>
      <c r="I2" s="177"/>
      <c r="J2" s="177"/>
      <c r="K2" s="177"/>
      <c r="L2" s="177"/>
      <c r="M2" s="800"/>
      <c r="N2" s="800"/>
      <c r="O2" s="800"/>
      <c r="P2" s="800"/>
      <c r="Q2" s="177"/>
      <c r="R2" s="177"/>
      <c r="S2" s="177"/>
      <c r="T2" s="180"/>
      <c r="U2" s="20"/>
    </row>
    <row r="3" spans="1:21" s="181" customFormat="1" ht="15.6">
      <c r="A3" s="1992" t="s">
        <v>199</v>
      </c>
      <c r="B3" s="1992"/>
      <c r="C3" s="1992"/>
      <c r="D3" s="1992"/>
      <c r="E3" s="1992"/>
      <c r="F3" s="1992"/>
      <c r="G3" s="1992"/>
      <c r="H3" s="1992"/>
      <c r="I3" s="1992"/>
      <c r="J3" s="1992"/>
      <c r="K3" s="1992"/>
      <c r="L3" s="1992"/>
      <c r="M3" s="1992"/>
      <c r="N3" s="1992"/>
      <c r="O3" s="1992"/>
      <c r="P3" s="1992"/>
      <c r="Q3" s="1992"/>
      <c r="R3" s="1992"/>
      <c r="S3" s="1992"/>
      <c r="T3" s="1992"/>
      <c r="U3" s="1992"/>
    </row>
    <row r="4" spans="1:21" s="181" customFormat="1" ht="15.6">
      <c r="A4" s="1992" t="s">
        <v>103</v>
      </c>
      <c r="B4" s="1992"/>
      <c r="C4" s="1992"/>
      <c r="D4" s="1992"/>
      <c r="E4" s="1992"/>
      <c r="F4" s="1992"/>
      <c r="G4" s="1992"/>
      <c r="H4" s="1992"/>
      <c r="I4" s="1992"/>
      <c r="J4" s="1992"/>
      <c r="K4" s="1992"/>
      <c r="L4" s="1992"/>
      <c r="M4" s="1992"/>
      <c r="N4" s="1992"/>
      <c r="O4" s="1992"/>
      <c r="P4" s="1992"/>
      <c r="Q4" s="1992"/>
      <c r="R4" s="1992"/>
      <c r="S4" s="1992"/>
      <c r="T4" s="1992"/>
      <c r="U4" s="1992"/>
    </row>
    <row r="5" spans="1:21" s="181" customFormat="1" ht="15.6">
      <c r="A5" s="1988" t="str">
        <f>SUMMARY!$A$7</f>
        <v>YEAR ENDING DECEMBER 31, 2021</v>
      </c>
      <c r="B5" s="1988"/>
      <c r="C5" s="1988"/>
      <c r="D5" s="1988"/>
      <c r="E5" s="1988"/>
      <c r="F5" s="1988"/>
      <c r="G5" s="1988"/>
      <c r="H5" s="1988"/>
      <c r="I5" s="1988"/>
      <c r="J5" s="1988"/>
      <c r="K5" s="1988"/>
      <c r="L5" s="1988"/>
      <c r="M5" s="1988"/>
      <c r="N5" s="1988"/>
      <c r="O5" s="1988"/>
      <c r="P5" s="1988"/>
      <c r="Q5" s="1988"/>
      <c r="R5" s="1988"/>
      <c r="S5" s="1988"/>
      <c r="T5" s="1988"/>
      <c r="U5" s="815"/>
    </row>
    <row r="6" spans="1:21" s="181" customFormat="1" ht="13.8">
      <c r="A6" s="166"/>
      <c r="B6" s="166"/>
      <c r="C6" s="166"/>
      <c r="D6" s="166"/>
      <c r="E6" s="182"/>
      <c r="F6" s="109"/>
      <c r="G6" s="166"/>
      <c r="H6" s="166"/>
      <c r="I6" s="166"/>
      <c r="J6" s="166"/>
      <c r="K6" s="166"/>
      <c r="L6" s="166"/>
      <c r="M6" s="166"/>
      <c r="N6" s="166"/>
      <c r="O6" s="166"/>
      <c r="P6" s="166"/>
      <c r="Q6" s="166"/>
      <c r="R6" s="166"/>
      <c r="S6" s="166"/>
      <c r="T6" s="166"/>
    </row>
    <row r="7" spans="1:21" s="181" customFormat="1" ht="15.6">
      <c r="A7" s="1992" t="s">
        <v>909</v>
      </c>
      <c r="B7" s="1992"/>
      <c r="C7" s="1992"/>
      <c r="D7" s="1992"/>
      <c r="E7" s="1992"/>
      <c r="F7" s="1992"/>
      <c r="G7" s="1992"/>
      <c r="H7" s="1992"/>
      <c r="I7" s="1992"/>
      <c r="J7" s="1992"/>
      <c r="K7" s="1992"/>
      <c r="L7" s="1992"/>
      <c r="M7" s="1992"/>
      <c r="N7" s="1992"/>
      <c r="O7" s="1992"/>
      <c r="P7" s="1992"/>
      <c r="Q7" s="1992"/>
      <c r="R7" s="1992"/>
      <c r="S7" s="1992"/>
      <c r="T7" s="1992"/>
      <c r="U7" s="1992"/>
    </row>
    <row r="8" spans="1:21" s="181" customFormat="1" ht="15.6">
      <c r="A8" s="1992" t="s">
        <v>205</v>
      </c>
      <c r="B8" s="1992"/>
      <c r="C8" s="1992"/>
      <c r="D8" s="1992"/>
      <c r="E8" s="1992"/>
      <c r="F8" s="1992"/>
      <c r="G8" s="1992"/>
      <c r="H8" s="1992"/>
      <c r="I8" s="1992"/>
      <c r="J8" s="1992"/>
      <c r="K8" s="1992"/>
      <c r="L8" s="1992"/>
      <c r="M8" s="1992"/>
      <c r="N8" s="1992"/>
      <c r="O8" s="1992"/>
      <c r="P8" s="1992"/>
      <c r="Q8" s="1992"/>
      <c r="R8" s="1992"/>
      <c r="S8" s="1992"/>
      <c r="T8" s="1992"/>
      <c r="U8" s="1992"/>
    </row>
    <row r="9" spans="1:21" s="181" customFormat="1" ht="13.8">
      <c r="A9" s="166"/>
      <c r="B9" s="166"/>
      <c r="C9" s="166"/>
      <c r="D9" s="174"/>
      <c r="E9" s="174"/>
      <c r="F9" s="169"/>
      <c r="G9" s="173"/>
      <c r="H9" s="173"/>
      <c r="I9" s="173"/>
      <c r="J9" s="173"/>
      <c r="K9" s="173"/>
      <c r="L9" s="173"/>
      <c r="M9" s="173"/>
      <c r="N9" s="173"/>
      <c r="O9" s="173"/>
      <c r="P9" s="173"/>
      <c r="Q9" s="173"/>
      <c r="R9" s="173"/>
      <c r="S9" s="173"/>
      <c r="T9" s="173"/>
    </row>
    <row r="10" spans="1:21" s="181" customFormat="1" ht="13.8">
      <c r="A10" s="166"/>
      <c r="B10" s="166"/>
      <c r="C10" s="166"/>
      <c r="D10" s="174"/>
      <c r="E10" s="174"/>
      <c r="F10" s="169"/>
      <c r="G10" s="173"/>
      <c r="H10" s="173"/>
      <c r="I10" s="170"/>
      <c r="J10" s="170"/>
      <c r="K10" s="170"/>
      <c r="L10" s="170"/>
      <c r="M10" s="166"/>
      <c r="N10" s="166"/>
      <c r="O10" s="166"/>
      <c r="P10" s="166"/>
      <c r="Q10" s="173"/>
      <c r="R10" s="173"/>
      <c r="S10" s="173"/>
      <c r="T10" s="173"/>
    </row>
    <row r="11" spans="1:21" s="166" customFormat="1" ht="18" customHeight="1">
      <c r="D11" s="174"/>
      <c r="E11" s="182"/>
      <c r="F11" s="109"/>
      <c r="I11" s="1989">
        <v>2021</v>
      </c>
      <c r="J11" s="1990"/>
      <c r="K11" s="1990"/>
      <c r="L11" s="1991"/>
      <c r="M11" s="1989">
        <v>2020</v>
      </c>
      <c r="N11" s="1990"/>
      <c r="O11" s="1990"/>
      <c r="P11" s="1991"/>
      <c r="Q11" s="1989" t="s">
        <v>2054</v>
      </c>
      <c r="R11" s="1990"/>
      <c r="S11" s="1990"/>
      <c r="T11" s="1991"/>
    </row>
    <row r="12" spans="1:21" s="166" customFormat="1" ht="18" customHeight="1">
      <c r="D12" s="174"/>
      <c r="E12" s="182"/>
      <c r="F12" s="109"/>
      <c r="L12" s="170"/>
      <c r="Q12" s="175"/>
      <c r="R12" s="175"/>
      <c r="S12" s="183"/>
      <c r="T12" s="169" t="s">
        <v>216</v>
      </c>
    </row>
    <row r="13" spans="1:21" s="181" customFormat="1" ht="18" customHeight="1">
      <c r="B13" s="449" t="s">
        <v>58</v>
      </c>
      <c r="D13" s="174"/>
      <c r="E13" s="508"/>
      <c r="F13" s="509"/>
      <c r="I13" s="510" t="s">
        <v>234</v>
      </c>
      <c r="J13" s="510" t="s">
        <v>150</v>
      </c>
      <c r="K13" s="510" t="s">
        <v>234</v>
      </c>
      <c r="L13" s="510" t="s">
        <v>68</v>
      </c>
      <c r="M13" s="510" t="s">
        <v>234</v>
      </c>
      <c r="N13" s="510" t="s">
        <v>150</v>
      </c>
      <c r="O13" s="510" t="s">
        <v>234</v>
      </c>
      <c r="P13" s="510" t="s">
        <v>68</v>
      </c>
      <c r="Q13" s="510" t="s">
        <v>234</v>
      </c>
      <c r="R13" s="510" t="s">
        <v>150</v>
      </c>
      <c r="S13" s="511"/>
      <c r="T13" s="510" t="s">
        <v>234</v>
      </c>
    </row>
    <row r="14" spans="1:21" s="181" customFormat="1" ht="18" customHeight="1">
      <c r="B14" s="452" t="s">
        <v>59</v>
      </c>
      <c r="D14" s="174"/>
      <c r="E14" s="508"/>
      <c r="F14" s="512"/>
      <c r="G14" s="513"/>
      <c r="H14" s="513"/>
      <c r="I14" s="512" t="s">
        <v>791</v>
      </c>
      <c r="J14" s="512" t="s">
        <v>280</v>
      </c>
      <c r="K14" s="512" t="s">
        <v>848</v>
      </c>
      <c r="L14" s="512" t="s">
        <v>793</v>
      </c>
      <c r="M14" s="512" t="s">
        <v>791</v>
      </c>
      <c r="N14" s="512" t="s">
        <v>280</v>
      </c>
      <c r="O14" s="512" t="s">
        <v>848</v>
      </c>
      <c r="P14" s="512" t="s">
        <v>793</v>
      </c>
      <c r="Q14" s="512" t="s">
        <v>791</v>
      </c>
      <c r="R14" s="512" t="s">
        <v>280</v>
      </c>
      <c r="S14" s="512"/>
      <c r="T14" s="512" t="s">
        <v>791</v>
      </c>
    </row>
    <row r="15" spans="1:21" s="181" customFormat="1" ht="18" customHeight="1">
      <c r="B15" s="514"/>
      <c r="E15" s="508"/>
      <c r="F15" s="509"/>
      <c r="I15" s="515" t="s">
        <v>192</v>
      </c>
      <c r="J15" s="515" t="s">
        <v>193</v>
      </c>
      <c r="K15" s="515" t="s">
        <v>194</v>
      </c>
      <c r="L15" s="515" t="s">
        <v>195</v>
      </c>
      <c r="M15" s="515" t="s">
        <v>196</v>
      </c>
      <c r="N15" s="515" t="s">
        <v>371</v>
      </c>
      <c r="O15" s="515" t="s">
        <v>372</v>
      </c>
      <c r="P15" s="515" t="s">
        <v>900</v>
      </c>
      <c r="Q15" s="515" t="s">
        <v>901</v>
      </c>
      <c r="R15" s="515" t="s">
        <v>902</v>
      </c>
      <c r="S15" s="509"/>
      <c r="T15" s="515" t="s">
        <v>903</v>
      </c>
    </row>
    <row r="16" spans="1:21" s="181" customFormat="1" ht="18" customHeight="1">
      <c r="B16" s="514"/>
      <c r="E16" s="508"/>
      <c r="F16" s="509"/>
      <c r="G16" s="1987" t="s">
        <v>1763</v>
      </c>
      <c r="H16" s="1987"/>
      <c r="I16" s="515"/>
      <c r="J16" s="515"/>
      <c r="K16" s="515"/>
      <c r="L16" s="516"/>
      <c r="M16" s="515"/>
      <c r="N16" s="515"/>
      <c r="O16" s="515"/>
      <c r="P16" s="516"/>
      <c r="Q16" s="515"/>
      <c r="R16" s="515"/>
      <c r="S16" s="509"/>
      <c r="T16" s="515"/>
    </row>
    <row r="17" spans="2:25" s="181" customFormat="1" ht="29.25" customHeight="1">
      <c r="B17" s="514"/>
      <c r="D17" s="511" t="s">
        <v>53</v>
      </c>
      <c r="E17" s="508"/>
      <c r="F17" s="511" t="s">
        <v>455</v>
      </c>
      <c r="G17" s="659" t="s">
        <v>1720</v>
      </c>
      <c r="H17" s="659" t="s">
        <v>1761</v>
      </c>
      <c r="I17" s="515"/>
      <c r="J17" s="515"/>
      <c r="K17" s="515"/>
      <c r="L17" s="516"/>
      <c r="M17" s="515"/>
      <c r="N17" s="515"/>
      <c r="O17" s="515"/>
      <c r="P17" s="516"/>
      <c r="Q17" s="515"/>
      <c r="R17" s="515"/>
      <c r="S17" s="509"/>
      <c r="T17" s="515"/>
    </row>
    <row r="18" spans="2:25" s="181" customFormat="1" ht="18" customHeight="1">
      <c r="B18" s="449">
        <v>1</v>
      </c>
      <c r="D18" s="517" t="s">
        <v>705</v>
      </c>
      <c r="E18" s="518"/>
      <c r="F18" s="519" t="s">
        <v>1136</v>
      </c>
      <c r="G18" s="1971" t="s">
        <v>1691</v>
      </c>
      <c r="H18" s="672"/>
      <c r="I18" s="1831">
        <f>SUM('WP-BC'!G35:G52)</f>
        <v>104903172.59</v>
      </c>
      <c r="J18" s="520">
        <f>SUM('WP-BC'!H35:H52)</f>
        <v>0</v>
      </c>
      <c r="K18" s="520">
        <f>SUM('WP-BC'!I35:I52)</f>
        <v>104903172.59</v>
      </c>
      <c r="L18" s="520">
        <f>SUM('WP-BC'!J35:J52)</f>
        <v>0</v>
      </c>
      <c r="M18" s="520">
        <f>SUM('WP-BC'!K35:K52)</f>
        <v>104903172.59</v>
      </c>
      <c r="N18" s="520">
        <f>SUM('WP-BC'!L35:L52)</f>
        <v>0</v>
      </c>
      <c r="O18" s="520">
        <f>SUM('WP-BC'!M35:M52)</f>
        <v>104903172.59</v>
      </c>
      <c r="P18" s="520">
        <f>SUM('WP-BC'!N35:N52)</f>
        <v>0</v>
      </c>
      <c r="Q18" s="520">
        <f t="shared" ref="Q18:R21" si="0">AVERAGE(I18,M18)</f>
        <v>104903172.59</v>
      </c>
      <c r="R18" s="520">
        <f t="shared" si="0"/>
        <v>0</v>
      </c>
      <c r="S18" s="520"/>
      <c r="T18" s="521">
        <f>Q18-R18</f>
        <v>104903172.59</v>
      </c>
      <c r="V18" s="455"/>
      <c r="W18" s="1461"/>
      <c r="X18" s="455"/>
      <c r="Y18" s="1461"/>
    </row>
    <row r="19" spans="2:25" s="1515" customFormat="1" ht="18" customHeight="1">
      <c r="B19" s="1514">
        <f>B18+1</f>
        <v>2</v>
      </c>
      <c r="D19" s="1516" t="s">
        <v>610</v>
      </c>
      <c r="E19" s="1517"/>
      <c r="F19" s="1518" t="s">
        <v>1136</v>
      </c>
      <c r="G19" s="516" t="s">
        <v>1692</v>
      </c>
      <c r="H19" s="1517" t="s">
        <v>1772</v>
      </c>
      <c r="I19" s="1520">
        <f>'WP-BC'!G104</f>
        <v>2425314047.6399989</v>
      </c>
      <c r="J19" s="1521">
        <f>'WP-BC'!H104</f>
        <v>971437069.1298089</v>
      </c>
      <c r="K19" s="1521">
        <f>'WP-BC'!I104</f>
        <v>1453876978.5101907</v>
      </c>
      <c r="L19" s="1521">
        <f>'WP-BC'!J104</f>
        <v>51904510.279808827</v>
      </c>
      <c r="M19" s="1521">
        <f>'WP-BC'!K104</f>
        <v>2311713883.4499989</v>
      </c>
      <c r="N19" s="1521">
        <f>'WP-BC'!L104</f>
        <v>925438298.84999967</v>
      </c>
      <c r="O19" s="1521">
        <f>'WP-BC'!M104</f>
        <v>1386275584.5999997</v>
      </c>
      <c r="P19" s="1521">
        <f>'WP-BC'!N104</f>
        <v>44666364.050000004</v>
      </c>
      <c r="Q19" s="1521">
        <f t="shared" si="0"/>
        <v>2368513965.5449991</v>
      </c>
      <c r="R19" s="1521">
        <f t="shared" si="0"/>
        <v>948437683.98990428</v>
      </c>
      <c r="S19" s="1521"/>
      <c r="T19" s="1522">
        <f>Q19-R19</f>
        <v>1420076281.5550947</v>
      </c>
      <c r="V19" s="1832"/>
      <c r="W19" s="1833"/>
      <c r="X19" s="1832"/>
      <c r="Y19" s="1833"/>
    </row>
    <row r="20" spans="2:25" s="1834" customFormat="1" ht="18" customHeight="1">
      <c r="B20" s="1514">
        <f>B19+1</f>
        <v>3</v>
      </c>
      <c r="D20" s="1516" t="s">
        <v>706</v>
      </c>
      <c r="E20" s="1835"/>
      <c r="F20" s="1518" t="s">
        <v>1136</v>
      </c>
      <c r="G20" s="1517" t="s">
        <v>1693</v>
      </c>
      <c r="H20" s="1517" t="s">
        <v>1747</v>
      </c>
      <c r="I20" s="1836">
        <f>'WP-BC'!G165</f>
        <v>2399695600.5</v>
      </c>
      <c r="J20" s="1837">
        <f>'WP-BC'!H165</f>
        <v>1468958517.4201913</v>
      </c>
      <c r="K20" s="1837">
        <f>'WP-BC'!I165</f>
        <v>930737083.07980895</v>
      </c>
      <c r="L20" s="1837">
        <f>'WP-BC'!J165</f>
        <v>87411180.900191173</v>
      </c>
      <c r="M20" s="1837">
        <f>'WP-BC'!K165</f>
        <v>2385977682.8499999</v>
      </c>
      <c r="N20" s="1837">
        <f>'WP-BC'!L165</f>
        <v>1381547336.8891211</v>
      </c>
      <c r="O20" s="1837">
        <f>'WP-BC'!M165</f>
        <v>1004430345.9608786</v>
      </c>
      <c r="P20" s="1837">
        <f>'WP-BC'!N165</f>
        <v>85672611.450000003</v>
      </c>
      <c r="Q20" s="1837">
        <f t="shared" si="0"/>
        <v>2392836641.6750002</v>
      </c>
      <c r="R20" s="1837">
        <f t="shared" si="0"/>
        <v>1425252927.1546562</v>
      </c>
      <c r="S20" s="1837"/>
      <c r="T20" s="1838">
        <f>Q20-R20</f>
        <v>967583714.52034402</v>
      </c>
      <c r="V20" s="1839"/>
      <c r="W20" s="1833"/>
      <c r="X20" s="1839"/>
      <c r="Y20" s="1833"/>
    </row>
    <row r="21" spans="2:25" s="1515" customFormat="1" ht="18" customHeight="1">
      <c r="B21" s="1514">
        <f>B20+1</f>
        <v>4</v>
      </c>
      <c r="D21" s="1840"/>
      <c r="E21" s="1841"/>
      <c r="F21" s="1842"/>
      <c r="G21" s="1841"/>
      <c r="H21" s="1841"/>
      <c r="I21" s="1843">
        <f t="shared" ref="I21:P21" si="1">SUM(I18:I20)</f>
        <v>4929912820.7299995</v>
      </c>
      <c r="J21" s="1844">
        <f t="shared" si="1"/>
        <v>2440395586.5500002</v>
      </c>
      <c r="K21" s="1844">
        <f t="shared" si="1"/>
        <v>2489517234.1799994</v>
      </c>
      <c r="L21" s="1844">
        <f t="shared" si="1"/>
        <v>139315691.18000001</v>
      </c>
      <c r="M21" s="1844">
        <f t="shared" si="1"/>
        <v>4802594738.8899994</v>
      </c>
      <c r="N21" s="1844">
        <f t="shared" si="1"/>
        <v>2306985635.7391205</v>
      </c>
      <c r="O21" s="1844">
        <f t="shared" si="1"/>
        <v>2495609103.150878</v>
      </c>
      <c r="P21" s="1844">
        <f t="shared" si="1"/>
        <v>130338975.5</v>
      </c>
      <c r="Q21" s="1844">
        <f t="shared" si="0"/>
        <v>4866253779.8099995</v>
      </c>
      <c r="R21" s="1844">
        <f t="shared" si="0"/>
        <v>2373690611.1445603</v>
      </c>
      <c r="S21" s="1844"/>
      <c r="T21" s="1845">
        <f>Q21-R21</f>
        <v>2492563168.6654391</v>
      </c>
    </row>
    <row r="22" spans="2:25" s="1515" customFormat="1" ht="18" customHeight="1">
      <c r="B22" s="1514"/>
      <c r="F22" s="1846"/>
      <c r="I22" s="1847"/>
      <c r="J22" s="1847"/>
      <c r="K22" s="1847"/>
      <c r="L22" s="1847"/>
      <c r="M22" s="1847"/>
      <c r="N22" s="1847"/>
      <c r="O22" s="1847"/>
      <c r="P22" s="1847"/>
      <c r="Q22" s="1848"/>
      <c r="R22" s="1848"/>
      <c r="S22" s="1521"/>
      <c r="T22" s="1848"/>
    </row>
    <row r="23" spans="2:25" s="1515" customFormat="1" ht="18" customHeight="1">
      <c r="B23" s="1514"/>
      <c r="D23" s="1849" t="s">
        <v>27</v>
      </c>
      <c r="F23" s="1846"/>
      <c r="G23" s="1832"/>
      <c r="H23" s="1832"/>
      <c r="I23" s="1847"/>
      <c r="J23" s="1847"/>
      <c r="K23" s="1847"/>
      <c r="L23" s="1847"/>
      <c r="M23" s="1847"/>
      <c r="N23" s="1847"/>
      <c r="O23" s="1847"/>
      <c r="P23" s="1847"/>
      <c r="Q23" s="1848"/>
      <c r="R23" s="1848"/>
      <c r="S23" s="1521"/>
      <c r="T23" s="1848"/>
    </row>
    <row r="24" spans="2:25" s="1515" customFormat="1" ht="18" customHeight="1">
      <c r="B24" s="1514">
        <f>B21+1</f>
        <v>5</v>
      </c>
      <c r="D24" s="1850" t="s">
        <v>707</v>
      </c>
      <c r="E24" s="1851"/>
      <c r="F24" s="1852" t="s">
        <v>1136</v>
      </c>
      <c r="G24" s="1853" t="s">
        <v>1695</v>
      </c>
      <c r="H24" s="1854"/>
      <c r="I24" s="1855">
        <f>SUM('WP-BC'!G18:G24,'WP-BC'!G32:G34)</f>
        <v>47378023.490000002</v>
      </c>
      <c r="J24" s="1856">
        <f>SUM('WP-BC'!H18:H24,'WP-BC'!H32:H34)</f>
        <v>0</v>
      </c>
      <c r="K24" s="1856">
        <f>SUM('WP-BC'!I18:I24,'WP-BC'!I32:I34)</f>
        <v>47378023.490000002</v>
      </c>
      <c r="L24" s="1856">
        <f>SUM('WP-BC'!J18:J24,'WP-BC'!J32:J34)</f>
        <v>0</v>
      </c>
      <c r="M24" s="1856">
        <f>SUM('WP-BC'!K18:K24,'WP-BC'!K32:K34)</f>
        <v>47378023.490000002</v>
      </c>
      <c r="N24" s="1856">
        <f>SUM('WP-BC'!L18:L24,'WP-BC'!L32:L34)</f>
        <v>0</v>
      </c>
      <c r="O24" s="1856">
        <f>SUM('WP-BC'!M18:M24,'WP-BC'!M32:M34)</f>
        <v>47378023.490000002</v>
      </c>
      <c r="P24" s="1856">
        <f>SUM('WP-BC'!N18:N24,'WP-BC'!N32:N34)</f>
        <v>0</v>
      </c>
      <c r="Q24" s="1856">
        <f t="shared" ref="Q24:R26" si="2">AVERAGE(I24,M24)</f>
        <v>47378023.490000002</v>
      </c>
      <c r="R24" s="1856">
        <f t="shared" si="2"/>
        <v>0</v>
      </c>
      <c r="S24" s="1856"/>
      <c r="T24" s="1857">
        <f>Q24-R24</f>
        <v>47378023.490000002</v>
      </c>
      <c r="V24" s="1832"/>
      <c r="W24" s="1833"/>
      <c r="X24" s="1832"/>
      <c r="Y24" s="1833"/>
    </row>
    <row r="25" spans="2:25" s="1515" customFormat="1" ht="18" customHeight="1">
      <c r="B25" s="1514">
        <f>B24+1</f>
        <v>6</v>
      </c>
      <c r="D25" s="1516" t="s">
        <v>34</v>
      </c>
      <c r="E25" s="1517"/>
      <c r="F25" s="1518" t="s">
        <v>1136</v>
      </c>
      <c r="G25" s="1517" t="s">
        <v>1694</v>
      </c>
      <c r="H25" s="1517" t="s">
        <v>1770</v>
      </c>
      <c r="I25" s="1858">
        <f>'WP-BC'!G241</f>
        <v>2913039763.0599995</v>
      </c>
      <c r="J25" s="1859">
        <f>'WP-BC'!H241</f>
        <v>1405100686.1100001</v>
      </c>
      <c r="K25" s="1859">
        <f>'WP-BC'!I241</f>
        <v>1507939076.95</v>
      </c>
      <c r="L25" s="1859">
        <f>'WP-BC'!J241</f>
        <v>50522989.669999994</v>
      </c>
      <c r="M25" s="1859">
        <f>'WP-BC'!K241</f>
        <v>2549994088.5799994</v>
      </c>
      <c r="N25" s="1859">
        <f>'WP-BC'!L241</f>
        <v>1369159103.6099999</v>
      </c>
      <c r="O25" s="1859">
        <f>'WP-BC'!M241</f>
        <v>1180834984.97</v>
      </c>
      <c r="P25" s="1859">
        <f>'WP-BC'!N241</f>
        <v>48837712.690000005</v>
      </c>
      <c r="Q25" s="1859">
        <f t="shared" si="2"/>
        <v>2731516925.8199997</v>
      </c>
      <c r="R25" s="1859">
        <f t="shared" si="2"/>
        <v>1387129894.8600001</v>
      </c>
      <c r="S25" s="1859"/>
      <c r="T25" s="1860">
        <f>Q25-R25</f>
        <v>1344387030.9599996</v>
      </c>
      <c r="V25" s="1839"/>
      <c r="W25" s="1833"/>
      <c r="X25" s="1839"/>
      <c r="Y25" s="1833"/>
    </row>
    <row r="26" spans="2:25" s="1515" customFormat="1" ht="18" customHeight="1">
      <c r="B26" s="1514">
        <f>B25+1</f>
        <v>7</v>
      </c>
      <c r="D26" s="1516"/>
      <c r="E26" s="1517"/>
      <c r="F26" s="1518"/>
      <c r="G26" s="1517"/>
      <c r="H26" s="1517"/>
      <c r="I26" s="1520">
        <f t="shared" ref="I26:P26" si="3">I24+I25</f>
        <v>2960417786.5499992</v>
      </c>
      <c r="J26" s="1521">
        <f t="shared" si="3"/>
        <v>1405100686.1100001</v>
      </c>
      <c r="K26" s="1521">
        <f t="shared" si="3"/>
        <v>1555317100.4400001</v>
      </c>
      <c r="L26" s="1521">
        <f t="shared" si="3"/>
        <v>50522989.669999994</v>
      </c>
      <c r="M26" s="1521">
        <f t="shared" si="3"/>
        <v>2597372112.0699992</v>
      </c>
      <c r="N26" s="1521">
        <f t="shared" si="3"/>
        <v>1369159103.6099999</v>
      </c>
      <c r="O26" s="1521">
        <f t="shared" si="3"/>
        <v>1228213008.46</v>
      </c>
      <c r="P26" s="1521">
        <f t="shared" si="3"/>
        <v>48837712.690000005</v>
      </c>
      <c r="Q26" s="1521">
        <f t="shared" si="2"/>
        <v>2778894949.3099995</v>
      </c>
      <c r="R26" s="1521">
        <f t="shared" si="2"/>
        <v>1387129894.8600001</v>
      </c>
      <c r="S26" s="1521"/>
      <c r="T26" s="1522">
        <f>Q26-R26</f>
        <v>1391765054.4499993</v>
      </c>
    </row>
    <row r="27" spans="2:25" s="1515" customFormat="1" ht="18" customHeight="1">
      <c r="B27" s="1514"/>
      <c r="D27" s="1516"/>
      <c r="E27" s="1517"/>
      <c r="F27" s="1518"/>
      <c r="G27" s="1519"/>
      <c r="H27" s="1519"/>
      <c r="I27" s="1520"/>
      <c r="J27" s="1521"/>
      <c r="K27" s="1521"/>
      <c r="L27" s="1521"/>
      <c r="M27" s="1521"/>
      <c r="N27" s="1521"/>
      <c r="O27" s="1521"/>
      <c r="P27" s="1521"/>
      <c r="Q27" s="1521"/>
      <c r="R27" s="1521"/>
      <c r="S27" s="1521"/>
      <c r="T27" s="1522"/>
    </row>
    <row r="28" spans="2:25" s="1515" customFormat="1" ht="18" customHeight="1">
      <c r="B28" s="1514">
        <f>B26+1</f>
        <v>8</v>
      </c>
      <c r="D28" s="1516" t="s">
        <v>878</v>
      </c>
      <c r="E28" s="1517"/>
      <c r="F28" s="1518" t="s">
        <v>1136</v>
      </c>
      <c r="G28" s="1517"/>
      <c r="H28" s="1517"/>
      <c r="I28" s="1520">
        <f>-'WP-BC'!G238</f>
        <v>0</v>
      </c>
      <c r="J28" s="1521">
        <f>-'WP-BC'!H238</f>
        <v>143886520</v>
      </c>
      <c r="K28" s="1521">
        <f>-'WP-BC'!I238</f>
        <v>-143886520</v>
      </c>
      <c r="L28" s="1521">
        <f>-'WP-BC'!J238</f>
        <v>0</v>
      </c>
      <c r="M28" s="1521">
        <f>-'WP-BC'!K238</f>
        <v>0</v>
      </c>
      <c r="N28" s="1521">
        <f>-'WP-BC'!L238</f>
        <v>135513688.06</v>
      </c>
      <c r="O28" s="1521">
        <f>-'WP-BC'!M238</f>
        <v>-135513688.06</v>
      </c>
      <c r="P28" s="1521">
        <f>-'WP-BC'!N238</f>
        <v>0</v>
      </c>
      <c r="Q28" s="1521">
        <f>AVERAGE(I28,M28)</f>
        <v>0</v>
      </c>
      <c r="R28" s="1521">
        <f>AVERAGE(J28,N28)</f>
        <v>139700104.03</v>
      </c>
      <c r="S28" s="1521"/>
      <c r="T28" s="1522">
        <f>Q28-R28</f>
        <v>-139700104.03</v>
      </c>
    </row>
    <row r="29" spans="2:25" s="1515" customFormat="1" ht="18" customHeight="1">
      <c r="B29" s="1514"/>
      <c r="D29" s="1516"/>
      <c r="E29" s="1517"/>
      <c r="F29" s="1861"/>
      <c r="G29" s="1517"/>
      <c r="H29" s="1517"/>
      <c r="I29" s="1520"/>
      <c r="J29" s="1521"/>
      <c r="K29" s="1521"/>
      <c r="L29" s="1521"/>
      <c r="M29" s="1521"/>
      <c r="N29" s="1521"/>
      <c r="O29" s="1521"/>
      <c r="P29" s="1521"/>
      <c r="Q29" s="1521"/>
      <c r="R29" s="1521"/>
      <c r="S29" s="1521"/>
      <c r="T29" s="1522"/>
    </row>
    <row r="30" spans="2:25" s="1515" customFormat="1" ht="18" customHeight="1">
      <c r="B30" s="1514">
        <f>B28+1</f>
        <v>9</v>
      </c>
      <c r="D30" s="1862" t="s">
        <v>879</v>
      </c>
      <c r="E30" s="1517"/>
      <c r="F30" s="1518" t="s">
        <v>1139</v>
      </c>
      <c r="G30" s="1517"/>
      <c r="H30" s="1517"/>
      <c r="I30" s="1858">
        <f>-'WP-BB'!K$75</f>
        <v>-362392669.38999999</v>
      </c>
      <c r="J30" s="1859">
        <f>-'WP-BB'!L$75</f>
        <v>-243055637.28999996</v>
      </c>
      <c r="K30" s="1859">
        <f>-'WP-BB'!M$75</f>
        <v>-119337032.09999999</v>
      </c>
      <c r="L30" s="1859">
        <f>-'WP-BB'!N$75</f>
        <v>-8749988</v>
      </c>
      <c r="M30" s="1859">
        <f>-'WP-BB'!O$75</f>
        <v>-362392669.38999999</v>
      </c>
      <c r="N30" s="1859">
        <f>-'WP-BB'!P$75</f>
        <v>-234305649.28999996</v>
      </c>
      <c r="O30" s="1859">
        <f>-'WP-BB'!Q$75</f>
        <v>-128087020.09999999</v>
      </c>
      <c r="P30" s="1859">
        <f>-'WP-BB'!R$75</f>
        <v>-8748118.0600000005</v>
      </c>
      <c r="Q30" s="1859">
        <f>AVERAGE(I30,M30)</f>
        <v>-362392669.38999999</v>
      </c>
      <c r="R30" s="1859">
        <f>AVERAGE(J30,N30)</f>
        <v>-238680643.28999996</v>
      </c>
      <c r="S30" s="1521"/>
      <c r="T30" s="1860">
        <f>Q30-R30</f>
        <v>-123712026.10000002</v>
      </c>
    </row>
    <row r="31" spans="2:25" s="1515" customFormat="1" ht="18" customHeight="1">
      <c r="B31" s="1514"/>
      <c r="D31" s="1516"/>
      <c r="E31" s="1517"/>
      <c r="F31" s="1518"/>
      <c r="G31" s="1517"/>
      <c r="H31" s="1517"/>
      <c r="I31" s="1520"/>
      <c r="J31" s="1521"/>
      <c r="K31" s="1521"/>
      <c r="L31" s="1521"/>
      <c r="M31" s="1521"/>
      <c r="N31" s="1521"/>
      <c r="O31" s="1521"/>
      <c r="P31" s="1521"/>
      <c r="Q31" s="1521"/>
      <c r="R31" s="1521"/>
      <c r="S31" s="1521"/>
      <c r="T31" s="1522"/>
    </row>
    <row r="32" spans="2:25" s="1515" customFormat="1" ht="18" customHeight="1">
      <c r="B32" s="1514"/>
      <c r="D32" s="1863" t="s">
        <v>758</v>
      </c>
      <c r="E32" s="1517"/>
      <c r="F32" s="1518"/>
      <c r="G32" s="1517"/>
      <c r="H32" s="1517"/>
      <c r="I32" s="1864"/>
      <c r="J32" s="1865"/>
      <c r="K32" s="1865"/>
      <c r="L32" s="1865"/>
      <c r="M32" s="1865"/>
      <c r="N32" s="1865"/>
      <c r="O32" s="1865"/>
      <c r="P32" s="1865"/>
      <c r="Q32" s="1521"/>
      <c r="R32" s="1521"/>
      <c r="S32" s="1521"/>
      <c r="T32" s="1522"/>
    </row>
    <row r="33" spans="2:25" s="1515" customFormat="1" ht="18" customHeight="1">
      <c r="B33" s="1514">
        <f>B30+1</f>
        <v>10</v>
      </c>
      <c r="D33" s="1516" t="s">
        <v>708</v>
      </c>
      <c r="E33" s="1517"/>
      <c r="F33" s="1518" t="s">
        <v>1136</v>
      </c>
      <c r="G33" s="1519"/>
      <c r="H33" s="1519"/>
      <c r="I33" s="1520">
        <f>-'WP-BC'!G237</f>
        <v>30000000</v>
      </c>
      <c r="J33" s="1521">
        <f>-'WP-BC'!H237</f>
        <v>0</v>
      </c>
      <c r="K33" s="1521">
        <f>-'WP-BC'!I237</f>
        <v>30000000</v>
      </c>
      <c r="L33" s="1521">
        <f>-'WP-BC'!J237</f>
        <v>0</v>
      </c>
      <c r="M33" s="1521">
        <f>-'WP-BC'!K237</f>
        <v>30000000</v>
      </c>
      <c r="N33" s="1521">
        <f>-'WP-BC'!L237</f>
        <v>0</v>
      </c>
      <c r="O33" s="1521">
        <f>-'WP-BC'!M237</f>
        <v>30000000</v>
      </c>
      <c r="P33" s="1521">
        <f>-'WP-BC'!N237</f>
        <v>0</v>
      </c>
      <c r="Q33" s="1521">
        <f>AVERAGE(I33,M33)</f>
        <v>30000000</v>
      </c>
      <c r="R33" s="1521">
        <f>AVERAGE(J33,N33)</f>
        <v>0</v>
      </c>
      <c r="S33" s="1521"/>
      <c r="T33" s="1522">
        <f>Q33-R33</f>
        <v>30000000</v>
      </c>
    </row>
    <row r="34" spans="2:25" s="1515" customFormat="1" ht="18" customHeight="1">
      <c r="B34" s="1514">
        <f>B33+1</f>
        <v>11</v>
      </c>
      <c r="D34" s="1516" t="s">
        <v>246</v>
      </c>
      <c r="E34" s="1866"/>
      <c r="F34" s="1518" t="s">
        <v>1136</v>
      </c>
      <c r="G34" s="1519"/>
      <c r="H34" s="1519"/>
      <c r="I34" s="1520">
        <f>-('WP-BC'!G34+'WP-BC'!G194)</f>
        <v>-83123860.969999999</v>
      </c>
      <c r="J34" s="1521">
        <f>-('WP-BC'!H34+'WP-BC'!H194)</f>
        <v>-15546261.970000001</v>
      </c>
      <c r="K34" s="1521">
        <f>-('WP-BC'!I34+'WP-BC'!I194)</f>
        <v>-67577599</v>
      </c>
      <c r="L34" s="1521">
        <f>-('WP-BC'!J34+'WP-BC'!J194)</f>
        <v>-1663426</v>
      </c>
      <c r="M34" s="1521">
        <f>-('WP-BC'!K34+'WP-BC'!K194)</f>
        <v>-83123860.969999999</v>
      </c>
      <c r="N34" s="1521">
        <f>-('WP-BC'!L34+'WP-BC'!L194)</f>
        <v>-13882835.970000001</v>
      </c>
      <c r="O34" s="1521">
        <f>-('WP-BC'!M34+'WP-BC'!M194)</f>
        <v>-69241025</v>
      </c>
      <c r="P34" s="1521">
        <f>-('WP-BC'!N34+'WP-BC'!N194)</f>
        <v>-1663426</v>
      </c>
      <c r="Q34" s="1521">
        <f t="shared" ref="Q34:R36" si="4">AVERAGE(I34,M34)</f>
        <v>-83123860.969999999</v>
      </c>
      <c r="R34" s="1521">
        <f t="shared" si="4"/>
        <v>-14714548.970000001</v>
      </c>
      <c r="S34" s="1521"/>
      <c r="T34" s="1522">
        <f>Q34-R34</f>
        <v>-68409312</v>
      </c>
    </row>
    <row r="35" spans="2:25" s="1515" customFormat="1" ht="18" customHeight="1">
      <c r="B35" s="1514">
        <f t="shared" ref="B35:B40" si="5">B34+1</f>
        <v>12</v>
      </c>
      <c r="D35" s="1516" t="s">
        <v>717</v>
      </c>
      <c r="E35" s="1517"/>
      <c r="F35" s="1518" t="s">
        <v>1137</v>
      </c>
      <c r="G35" s="1519"/>
      <c r="H35" s="1519"/>
      <c r="I35" s="1520">
        <f>-'WP-BF'!F58</f>
        <v>-75571142.170000002</v>
      </c>
      <c r="J35" s="1521">
        <f>'WP-BF'!H58</f>
        <v>-24843377.169999998</v>
      </c>
      <c r="K35" s="1521">
        <f>I35-J35</f>
        <v>-50727765</v>
      </c>
      <c r="L35" s="1521">
        <f>-'WP-BF'!L58</f>
        <v>-1421673.3399999999</v>
      </c>
      <c r="M35" s="1521">
        <f>-'WP-BF'!N58</f>
        <v>-76154614.049999997</v>
      </c>
      <c r="N35" s="1521">
        <f>'WP-BF'!P58</f>
        <v>-19786246.049999997</v>
      </c>
      <c r="O35" s="1521">
        <f>M35-N35</f>
        <v>-56368368</v>
      </c>
      <c r="P35" s="1521">
        <f>-'WP-BF'!T58</f>
        <v>-1251795.8900000001</v>
      </c>
      <c r="Q35" s="1521">
        <f t="shared" si="4"/>
        <v>-75862878.109999999</v>
      </c>
      <c r="R35" s="1521">
        <f t="shared" si="4"/>
        <v>-22314811.609999999</v>
      </c>
      <c r="S35" s="1521"/>
      <c r="T35" s="1522">
        <f>Q35-R35</f>
        <v>-53548066.5</v>
      </c>
    </row>
    <row r="36" spans="2:25" s="1515" customFormat="1" ht="18" customHeight="1">
      <c r="B36" s="1514">
        <f t="shared" si="5"/>
        <v>13</v>
      </c>
      <c r="D36" s="1516" t="s">
        <v>146</v>
      </c>
      <c r="E36" s="1517"/>
      <c r="F36" s="1518" t="s">
        <v>925</v>
      </c>
      <c r="G36" s="1519"/>
      <c r="H36" s="1519"/>
      <c r="I36" s="1520">
        <f>-'WP-BE'!F41</f>
        <v>-44743653.020000003</v>
      </c>
      <c r="J36" s="1521">
        <f>'WP-BE'!G41</f>
        <v>-17834798.019999992</v>
      </c>
      <c r="K36" s="1521">
        <f>I36-J36</f>
        <v>-26908855.000000011</v>
      </c>
      <c r="L36" s="1521">
        <f>'WP-BE'!I41</f>
        <v>-990508</v>
      </c>
      <c r="M36" s="1521">
        <f>-'WP-BE'!J41</f>
        <v>-44743653.020000003</v>
      </c>
      <c r="N36" s="1521">
        <f>'WP-BE'!K41</f>
        <v>-16844290.02</v>
      </c>
      <c r="O36" s="1521">
        <f>M36-N36</f>
        <v>-27899363.000000004</v>
      </c>
      <c r="P36" s="1521">
        <f>'WP-BE'!M41</f>
        <v>-990509</v>
      </c>
      <c r="Q36" s="1521">
        <f t="shared" si="4"/>
        <v>-44743653.020000003</v>
      </c>
      <c r="R36" s="1521">
        <f t="shared" si="4"/>
        <v>-17339544.019999996</v>
      </c>
      <c r="S36" s="1521"/>
      <c r="T36" s="1522">
        <f>Q36-R36</f>
        <v>-27404109.000000007</v>
      </c>
      <c r="V36" s="1832"/>
    </row>
    <row r="37" spans="2:25" s="1515" customFormat="1" ht="18" customHeight="1">
      <c r="B37" s="1514">
        <f t="shared" si="5"/>
        <v>14</v>
      </c>
      <c r="D37" s="1516" t="s">
        <v>1093</v>
      </c>
      <c r="E37" s="1517"/>
      <c r="F37" s="1861"/>
      <c r="G37" s="1519"/>
      <c r="H37" s="1519"/>
      <c r="I37" s="1520"/>
      <c r="J37" s="1521"/>
      <c r="K37" s="1521"/>
      <c r="L37" s="1521">
        <f>'WP-BD'!H44</f>
        <v>2178735.56</v>
      </c>
      <c r="M37" s="1521"/>
      <c r="N37" s="1521"/>
      <c r="O37" s="1521"/>
      <c r="P37" s="1521">
        <f>'WP-BD'!H43</f>
        <v>2178735.56</v>
      </c>
      <c r="Q37" s="1521"/>
      <c r="R37" s="1521"/>
      <c r="S37" s="1521"/>
      <c r="T37" s="1522"/>
    </row>
    <row r="38" spans="2:25" s="1515" customFormat="1" ht="18" customHeight="1">
      <c r="B38" s="1514">
        <f t="shared" si="5"/>
        <v>15</v>
      </c>
      <c r="D38" s="1516" t="s">
        <v>357</v>
      </c>
      <c r="E38" s="1517"/>
      <c r="F38" s="1861"/>
      <c r="G38" s="1866"/>
      <c r="H38" s="1866"/>
      <c r="I38" s="1520">
        <f t="shared" ref="I38:T38" si="6">SUM(I33:I37)</f>
        <v>-173438656.16</v>
      </c>
      <c r="J38" s="1521">
        <f t="shared" si="6"/>
        <v>-58224437.159999996</v>
      </c>
      <c r="K38" s="1521">
        <f t="shared" si="6"/>
        <v>-115214219.00000001</v>
      </c>
      <c r="L38" s="1521">
        <f t="shared" si="6"/>
        <v>-1896871.7799999998</v>
      </c>
      <c r="M38" s="1521">
        <f t="shared" si="6"/>
        <v>-174022128.03999999</v>
      </c>
      <c r="N38" s="1521">
        <f t="shared" si="6"/>
        <v>-50513372.039999992</v>
      </c>
      <c r="O38" s="1521">
        <f t="shared" si="6"/>
        <v>-123508756</v>
      </c>
      <c r="P38" s="1521">
        <f t="shared" si="6"/>
        <v>-1726995.33</v>
      </c>
      <c r="Q38" s="1521">
        <f t="shared" si="6"/>
        <v>-173730392.09999999</v>
      </c>
      <c r="R38" s="1521">
        <f t="shared" si="6"/>
        <v>-54368904.599999994</v>
      </c>
      <c r="S38" s="1521">
        <f t="shared" si="6"/>
        <v>0</v>
      </c>
      <c r="T38" s="1522">
        <f t="shared" si="6"/>
        <v>-119361487.5</v>
      </c>
    </row>
    <row r="39" spans="2:25" s="1515" customFormat="1" ht="18" customHeight="1">
      <c r="B39" s="1514">
        <f t="shared" si="5"/>
        <v>16</v>
      </c>
      <c r="D39" s="1516"/>
      <c r="E39" s="1517"/>
      <c r="F39" s="1518"/>
      <c r="G39" s="1517"/>
      <c r="H39" s="1517"/>
      <c r="I39" s="1520"/>
      <c r="J39" s="1521"/>
      <c r="K39" s="1521"/>
      <c r="L39" s="1521"/>
      <c r="M39" s="1521"/>
      <c r="N39" s="1521"/>
      <c r="O39" s="1521"/>
      <c r="P39" s="1521"/>
      <c r="Q39" s="1521"/>
      <c r="R39" s="1521"/>
      <c r="S39" s="1521"/>
      <c r="T39" s="1522"/>
    </row>
    <row r="40" spans="2:25" s="1515" customFormat="1" ht="18" customHeight="1">
      <c r="B40" s="1514">
        <f t="shared" si="5"/>
        <v>17</v>
      </c>
      <c r="D40" s="1867" t="s">
        <v>197</v>
      </c>
      <c r="E40" s="1868"/>
      <c r="F40" s="1869"/>
      <c r="G40" s="1868"/>
      <c r="H40" s="1868"/>
      <c r="I40" s="1843">
        <f>I38+I26+I28+I30</f>
        <v>2424586460.9999995</v>
      </c>
      <c r="J40" s="1844">
        <f t="shared" ref="J40:T40" si="7">J38+J26+J28+J30</f>
        <v>1247707131.6600001</v>
      </c>
      <c r="K40" s="1844">
        <f t="shared" si="7"/>
        <v>1176879329.3400002</v>
      </c>
      <c r="L40" s="1844">
        <f t="shared" si="7"/>
        <v>39876129.889999993</v>
      </c>
      <c r="M40" s="1844">
        <f t="shared" si="7"/>
        <v>2060957314.6399994</v>
      </c>
      <c r="N40" s="1844">
        <f t="shared" si="7"/>
        <v>1219853770.3399999</v>
      </c>
      <c r="O40" s="1844">
        <f t="shared" si="7"/>
        <v>841103544.30000007</v>
      </c>
      <c r="P40" s="1844">
        <f t="shared" si="7"/>
        <v>38362599.300000004</v>
      </c>
      <c r="Q40" s="1844">
        <f t="shared" si="7"/>
        <v>2242771887.8199997</v>
      </c>
      <c r="R40" s="1844">
        <f t="shared" si="7"/>
        <v>1233780451.0000002</v>
      </c>
      <c r="S40" s="1844">
        <f t="shared" si="7"/>
        <v>0</v>
      </c>
      <c r="T40" s="1845">
        <f t="shared" si="7"/>
        <v>1008991436.8199993</v>
      </c>
    </row>
    <row r="41" spans="2:25" s="1515" customFormat="1" ht="18" customHeight="1">
      <c r="B41" s="1514"/>
      <c r="F41" s="1846"/>
      <c r="I41" s="1848"/>
      <c r="J41" s="1848"/>
      <c r="K41" s="1848"/>
      <c r="L41" s="1848"/>
      <c r="M41" s="1848"/>
      <c r="N41" s="1848"/>
      <c r="O41" s="1848"/>
      <c r="P41" s="1848"/>
      <c r="Q41" s="1848"/>
      <c r="R41" s="1848"/>
      <c r="S41" s="1521"/>
      <c r="T41" s="1848"/>
    </row>
    <row r="42" spans="2:25" s="1515" customFormat="1" ht="18" customHeight="1">
      <c r="B42" s="1514"/>
      <c r="F42" s="1846"/>
      <c r="I42" s="1848"/>
      <c r="J42" s="1848"/>
      <c r="K42" s="1848"/>
      <c r="L42" s="1848"/>
      <c r="M42" s="1848">
        <f>I42-J42</f>
        <v>0</v>
      </c>
      <c r="N42" s="1848"/>
      <c r="O42" s="1848"/>
      <c r="P42" s="1848"/>
      <c r="Q42" s="1848"/>
      <c r="R42" s="1848"/>
      <c r="S42" s="1521"/>
      <c r="T42" s="1848"/>
    </row>
    <row r="43" spans="2:25" s="1515" customFormat="1" ht="18" customHeight="1">
      <c r="B43" s="1514"/>
      <c r="D43" s="1849" t="s">
        <v>718</v>
      </c>
      <c r="F43" s="1846"/>
      <c r="I43" s="1848"/>
      <c r="J43" s="1848"/>
      <c r="K43" s="1848"/>
      <c r="L43" s="1848"/>
      <c r="M43" s="1848"/>
      <c r="N43" s="1848"/>
      <c r="O43" s="1848"/>
      <c r="P43" s="1848"/>
      <c r="Q43" s="1848"/>
      <c r="R43" s="1848"/>
      <c r="S43" s="1521"/>
      <c r="T43" s="1848"/>
    </row>
    <row r="44" spans="2:25" s="1515" customFormat="1" ht="18" customHeight="1">
      <c r="B44" s="1514">
        <f>B40+1</f>
        <v>18</v>
      </c>
      <c r="D44" s="1870" t="s">
        <v>709</v>
      </c>
      <c r="E44" s="1871"/>
      <c r="F44" s="1872" t="s">
        <v>1136</v>
      </c>
      <c r="G44" s="1871" t="s">
        <v>1697</v>
      </c>
      <c r="H44" s="1851"/>
      <c r="I44" s="1873">
        <f>SUM('WP-BC'!G25:G31)</f>
        <v>11611691</v>
      </c>
      <c r="J44" s="1874">
        <f>SUM('WP-BC'!H25:H31)</f>
        <v>0</v>
      </c>
      <c r="K44" s="1874">
        <f>SUM('WP-BC'!I25:I31)</f>
        <v>11611691</v>
      </c>
      <c r="L44" s="1874">
        <f>SUM('WP-BC'!N25:N31)</f>
        <v>0</v>
      </c>
      <c r="M44" s="1874">
        <f>SUM('WP-BC'!K25:K31)</f>
        <v>11611691</v>
      </c>
      <c r="N44" s="1874">
        <f>SUM('WP-BC'!L25:L31)</f>
        <v>0</v>
      </c>
      <c r="O44" s="1874">
        <f>SUM('WP-BC'!M25:M31)</f>
        <v>11611691</v>
      </c>
      <c r="P44" s="1874">
        <f>SUM('WP-BC'!N25:N31)</f>
        <v>0</v>
      </c>
      <c r="Q44" s="1874">
        <f t="shared" ref="Q44:R46" si="8">AVERAGE(I44,M44)</f>
        <v>11611691</v>
      </c>
      <c r="R44" s="1874">
        <f t="shared" si="8"/>
        <v>0</v>
      </c>
      <c r="S44" s="1874"/>
      <c r="T44" s="1875">
        <f>Q44-R44</f>
        <v>11611691</v>
      </c>
      <c r="W44" s="1833"/>
      <c r="Y44" s="1833"/>
    </row>
    <row r="45" spans="2:25" s="1515" customFormat="1" ht="18" customHeight="1">
      <c r="B45" s="1514">
        <f>B44+1</f>
        <v>19</v>
      </c>
      <c r="D45" s="1516" t="s">
        <v>107</v>
      </c>
      <c r="E45" s="1517"/>
      <c r="F45" s="1518" t="s">
        <v>1136</v>
      </c>
      <c r="G45" s="1517" t="s">
        <v>1698</v>
      </c>
      <c r="H45" s="1517" t="s">
        <v>1771</v>
      </c>
      <c r="I45" s="1858">
        <f>'WP-BC'!G352</f>
        <v>1516304155.5099998</v>
      </c>
      <c r="J45" s="1859">
        <f>'WP-BC'!H352</f>
        <v>546999288.08579993</v>
      </c>
      <c r="K45" s="1859">
        <f>'WP-BC'!I352</f>
        <v>969304867.57000005</v>
      </c>
      <c r="L45" s="1859">
        <f>'WP-BC'!J352</f>
        <v>59032531.010000013</v>
      </c>
      <c r="M45" s="1859">
        <f>'WP-BC'!K352</f>
        <v>1407411691.3800001</v>
      </c>
      <c r="N45" s="1859">
        <f>'WP-BC'!L352</f>
        <v>492742222.9799999</v>
      </c>
      <c r="O45" s="1859">
        <f>'WP-BC'!M352</f>
        <v>914669468.4000001</v>
      </c>
      <c r="P45" s="1859">
        <f>'WP-BC'!N352</f>
        <v>52142697.140000001</v>
      </c>
      <c r="Q45" s="1859">
        <f t="shared" si="8"/>
        <v>1461857923.4449999</v>
      </c>
      <c r="R45" s="1859">
        <f t="shared" si="8"/>
        <v>519870755.53289992</v>
      </c>
      <c r="S45" s="1859"/>
      <c r="T45" s="1860">
        <f>Q45-R45</f>
        <v>941987167.91210008</v>
      </c>
      <c r="W45" s="1876"/>
      <c r="Y45" s="1833"/>
    </row>
    <row r="46" spans="2:25" s="1515" customFormat="1" ht="18" customHeight="1">
      <c r="B46" s="1514">
        <f>B45+1</f>
        <v>20</v>
      </c>
      <c r="D46" s="1516"/>
      <c r="E46" s="1517"/>
      <c r="F46" s="1518"/>
      <c r="G46" s="1517" t="s">
        <v>1696</v>
      </c>
      <c r="H46" s="1517"/>
      <c r="I46" s="1520">
        <f t="shared" ref="I46:P46" si="9">SUM(I44:I45)</f>
        <v>1527915846.5099998</v>
      </c>
      <c r="J46" s="1521">
        <f t="shared" si="9"/>
        <v>546999288.08579993</v>
      </c>
      <c r="K46" s="1521">
        <f t="shared" si="9"/>
        <v>980916558.57000005</v>
      </c>
      <c r="L46" s="1521">
        <f t="shared" si="9"/>
        <v>59032531.010000013</v>
      </c>
      <c r="M46" s="1521">
        <f t="shared" si="9"/>
        <v>1419023382.3800001</v>
      </c>
      <c r="N46" s="1521">
        <f t="shared" si="9"/>
        <v>492742222.9799999</v>
      </c>
      <c r="O46" s="1521">
        <f t="shared" si="9"/>
        <v>926281159.4000001</v>
      </c>
      <c r="P46" s="1521">
        <f t="shared" si="9"/>
        <v>52142697.140000001</v>
      </c>
      <c r="Q46" s="1521">
        <f t="shared" si="8"/>
        <v>1473469614.4449999</v>
      </c>
      <c r="R46" s="1521">
        <f t="shared" si="8"/>
        <v>519870755.53289992</v>
      </c>
      <c r="S46" s="1521"/>
      <c r="T46" s="1522">
        <f>Q46-R46</f>
        <v>953598858.91210008</v>
      </c>
    </row>
    <row r="47" spans="2:25" s="1515" customFormat="1" ht="18" customHeight="1">
      <c r="B47" s="1514"/>
      <c r="D47" s="1863" t="s">
        <v>758</v>
      </c>
      <c r="E47" s="1517"/>
      <c r="F47" s="1518"/>
      <c r="G47" s="1517"/>
      <c r="H47" s="1517"/>
      <c r="I47" s="1520"/>
      <c r="J47" s="1521"/>
      <c r="K47" s="1521"/>
      <c r="L47" s="1521"/>
      <c r="M47" s="1521"/>
      <c r="N47" s="1521"/>
      <c r="O47" s="1521"/>
      <c r="P47" s="1521"/>
      <c r="Q47" s="1521"/>
      <c r="R47" s="1521"/>
      <c r="S47" s="1521"/>
      <c r="T47" s="1522"/>
    </row>
    <row r="48" spans="2:25" s="1515" customFormat="1" ht="18" customHeight="1">
      <c r="B48" s="1514">
        <f>B46+1</f>
        <v>21</v>
      </c>
      <c r="D48" s="1516" t="s">
        <v>710</v>
      </c>
      <c r="E48" s="1517"/>
      <c r="F48" s="1518"/>
      <c r="G48" s="1517"/>
      <c r="H48" s="1517"/>
      <c r="I48" s="1520">
        <v>0</v>
      </c>
      <c r="J48" s="1521">
        <v>0</v>
      </c>
      <c r="K48" s="1521">
        <v>0</v>
      </c>
      <c r="L48" s="1521">
        <v>0</v>
      </c>
      <c r="M48" s="1521"/>
      <c r="N48" s="1521">
        <v>0</v>
      </c>
      <c r="O48" s="1521">
        <v>0</v>
      </c>
      <c r="P48" s="1521">
        <v>0</v>
      </c>
      <c r="Q48" s="1521">
        <f t="shared" ref="Q48:R51" si="10">AVERAGE(I48,M48)</f>
        <v>0</v>
      </c>
      <c r="R48" s="1521">
        <f t="shared" si="10"/>
        <v>0</v>
      </c>
      <c r="S48" s="1521"/>
      <c r="T48" s="1522">
        <f>Q48-R48</f>
        <v>0</v>
      </c>
    </row>
    <row r="49" spans="1:20" s="1515" customFormat="1" ht="18" customHeight="1">
      <c r="B49" s="1514">
        <f>B48+1</f>
        <v>22</v>
      </c>
      <c r="D49" s="1516" t="s">
        <v>711</v>
      </c>
      <c r="E49" s="1517"/>
      <c r="F49" s="1518" t="s">
        <v>1136</v>
      </c>
      <c r="G49" s="1517"/>
      <c r="H49" s="1517"/>
      <c r="I49" s="1520">
        <f>-'WP-BC'!G346</f>
        <v>0</v>
      </c>
      <c r="J49" s="1521">
        <f>-'WP-BC'!H346</f>
        <v>3691987</v>
      </c>
      <c r="K49" s="1521">
        <f>-'WP-BC'!I346</f>
        <v>-3691987</v>
      </c>
      <c r="L49" s="1521">
        <f>-'WP-BC'!J346</f>
        <v>0</v>
      </c>
      <c r="M49" s="1521">
        <f>-'WP-BC'!K346</f>
        <v>0</v>
      </c>
      <c r="N49" s="1521">
        <f>-'WP-BC'!L346</f>
        <v>3800611</v>
      </c>
      <c r="O49" s="1521">
        <f>-'WP-BC'!M346</f>
        <v>-3800611</v>
      </c>
      <c r="P49" s="1521">
        <f>-'WP-BC'!N346</f>
        <v>0</v>
      </c>
      <c r="Q49" s="1521">
        <f t="shared" si="10"/>
        <v>0</v>
      </c>
      <c r="R49" s="1521">
        <f t="shared" si="10"/>
        <v>3746299</v>
      </c>
      <c r="S49" s="1521"/>
      <c r="T49" s="1522">
        <f>Q49-R49</f>
        <v>-3746299</v>
      </c>
    </row>
    <row r="50" spans="1:20" s="1515" customFormat="1" ht="18" customHeight="1">
      <c r="B50" s="1514">
        <f>B49+1</f>
        <v>23</v>
      </c>
      <c r="D50" s="1516" t="s">
        <v>661</v>
      </c>
      <c r="E50" s="1517"/>
      <c r="F50" s="1518" t="s">
        <v>1138</v>
      </c>
      <c r="G50" s="1866"/>
      <c r="H50" s="1866"/>
      <c r="I50" s="1520">
        <f>-'WP-BG'!E44</f>
        <v>-722538776.02999997</v>
      </c>
      <c r="J50" s="1521">
        <f>-'WP-BG'!F44</f>
        <v>-231997616.03</v>
      </c>
      <c r="K50" s="1521">
        <f>-'WP-BG'!G44</f>
        <v>-490541160</v>
      </c>
      <c r="L50" s="1521">
        <f>-'WP-BG'!H44</f>
        <v>-16879753.529999997</v>
      </c>
      <c r="M50" s="1521">
        <f>-'WP-BG'!I44</f>
        <v>-713773726.5</v>
      </c>
      <c r="N50" s="1521">
        <f>-'WP-BG'!J44</f>
        <v>-215117862.50000003</v>
      </c>
      <c r="O50" s="1521">
        <f>-'WP-BG'!K44</f>
        <v>-498655864</v>
      </c>
      <c r="P50" s="1521">
        <f>-'WP-BG'!L44</f>
        <v>-16741647.590000002</v>
      </c>
      <c r="Q50" s="1521">
        <f t="shared" si="10"/>
        <v>-718156251.26499999</v>
      </c>
      <c r="R50" s="1521">
        <f t="shared" si="10"/>
        <v>-223557739.26500002</v>
      </c>
      <c r="S50" s="1521"/>
      <c r="T50" s="1522">
        <f>Q50-R50</f>
        <v>-494598512</v>
      </c>
    </row>
    <row r="51" spans="1:20" s="1515" customFormat="1" ht="18" customHeight="1">
      <c r="B51" s="1514">
        <f>B50+1</f>
        <v>24</v>
      </c>
      <c r="D51" s="1862" t="s">
        <v>1092</v>
      </c>
      <c r="E51" s="1517"/>
      <c r="F51" s="1518" t="s">
        <v>1136</v>
      </c>
      <c r="G51" s="1517"/>
      <c r="H51" s="1517"/>
      <c r="I51" s="1858">
        <f>-SUM('WP-BC'!G30:G31,'WP-BC'!G302:G344)</f>
        <v>-39971173.625800006</v>
      </c>
      <c r="J51" s="1859">
        <f>-SUM('WP-BC'!H30:H31,'WP-BC'!H302:H344)</f>
        <v>-17852236.615800001</v>
      </c>
      <c r="K51" s="1859">
        <f>-SUM('WP-BC'!I30:I31,'WP-BC'!I302:I344)</f>
        <v>-22118937.010000009</v>
      </c>
      <c r="L51" s="1859">
        <f>-SUM('WP-BC'!J30:J31,'WP-BC'!J302:J344)</f>
        <v>-1493108.0799999998</v>
      </c>
      <c r="M51" s="1859">
        <f>-SUM('WP-BC'!K30:K31,'WP-BC'!K302:K344)</f>
        <v>-22528440.285799999</v>
      </c>
      <c r="N51" s="1859">
        <f>-SUM('WP-BC'!L30:L31,'WP-BC'!L302:L344)</f>
        <v>-16359128.535799999</v>
      </c>
      <c r="O51" s="1859">
        <f>-SUM('WP-BC'!M30:M31,'WP-BC'!M302:M344)</f>
        <v>-6169311.7500000009</v>
      </c>
      <c r="P51" s="1859">
        <f>-SUM('WP-BC'!N30:N31,'WP-BC'!N302:N344)</f>
        <v>-703706.92920000001</v>
      </c>
      <c r="Q51" s="1859">
        <f t="shared" si="10"/>
        <v>-31249806.955800004</v>
      </c>
      <c r="R51" s="1859">
        <f t="shared" si="10"/>
        <v>-17105682.575800002</v>
      </c>
      <c r="S51" s="1521"/>
      <c r="T51" s="1860">
        <f>Q51-R51</f>
        <v>-14144124.380000003</v>
      </c>
    </row>
    <row r="52" spans="1:20" s="1515" customFormat="1" ht="18" customHeight="1">
      <c r="B52" s="1514">
        <f>B50+1</f>
        <v>24</v>
      </c>
      <c r="D52" s="1516" t="s">
        <v>357</v>
      </c>
      <c r="E52" s="1517"/>
      <c r="F52" s="1861"/>
      <c r="G52" s="1866"/>
      <c r="H52" s="1866"/>
      <c r="I52" s="1520">
        <f t="shared" ref="I52:P52" si="11">SUM(I48:I51)</f>
        <v>-762509949.65579998</v>
      </c>
      <c r="J52" s="1521">
        <f t="shared" si="11"/>
        <v>-246157865.64579999</v>
      </c>
      <c r="K52" s="1521">
        <f t="shared" si="11"/>
        <v>-516352084.00999999</v>
      </c>
      <c r="L52" s="1521">
        <f t="shared" si="11"/>
        <v>-18372861.609999996</v>
      </c>
      <c r="M52" s="1521">
        <f t="shared" si="11"/>
        <v>-736302166.78579998</v>
      </c>
      <c r="N52" s="1521">
        <f t="shared" si="11"/>
        <v>-227676380.03580004</v>
      </c>
      <c r="O52" s="1521">
        <f t="shared" si="11"/>
        <v>-508625786.75</v>
      </c>
      <c r="P52" s="1521">
        <f t="shared" si="11"/>
        <v>-17445354.519200001</v>
      </c>
      <c r="Q52" s="1521">
        <f>SUM(Q48:Q51)</f>
        <v>-749406058.22080004</v>
      </c>
      <c r="R52" s="1521">
        <f>SUM(R48:R51)</f>
        <v>-236917122.84080002</v>
      </c>
      <c r="S52" s="1521"/>
      <c r="T52" s="1522">
        <f>SUM(T48:T51)</f>
        <v>-512488935.38</v>
      </c>
    </row>
    <row r="53" spans="1:20" s="1515" customFormat="1" ht="18" customHeight="1">
      <c r="D53" s="1516"/>
      <c r="E53" s="1517"/>
      <c r="F53" s="1518"/>
      <c r="G53" s="1517"/>
      <c r="H53" s="1517"/>
      <c r="I53" s="1864"/>
      <c r="J53" s="1865"/>
      <c r="K53" s="1865"/>
      <c r="L53" s="1865"/>
      <c r="M53" s="1865"/>
      <c r="N53" s="1865"/>
      <c r="O53" s="1865"/>
      <c r="P53" s="1865"/>
      <c r="Q53" s="1865"/>
      <c r="R53" s="1865"/>
      <c r="S53" s="1865"/>
      <c r="T53" s="1877"/>
    </row>
    <row r="54" spans="1:20" s="1515" customFormat="1" ht="18" customHeight="1">
      <c r="B54" s="1514">
        <f>B52+1</f>
        <v>25</v>
      </c>
      <c r="D54" s="1867" t="s">
        <v>198</v>
      </c>
      <c r="E54" s="1868"/>
      <c r="F54" s="1842"/>
      <c r="G54" s="1841"/>
      <c r="H54" s="1841"/>
      <c r="I54" s="1878">
        <f>I46+I52</f>
        <v>765405896.85419977</v>
      </c>
      <c r="J54" s="1879">
        <f t="shared" ref="J54:P54" si="12">J46+J52</f>
        <v>300841422.43999994</v>
      </c>
      <c r="K54" s="1879">
        <f t="shared" si="12"/>
        <v>464564474.56000006</v>
      </c>
      <c r="L54" s="1879">
        <f t="shared" si="12"/>
        <v>40659669.400000021</v>
      </c>
      <c r="M54" s="1879">
        <f t="shared" si="12"/>
        <v>682721215.59420013</v>
      </c>
      <c r="N54" s="1879">
        <f t="shared" si="12"/>
        <v>265065842.94419986</v>
      </c>
      <c r="O54" s="1879">
        <f t="shared" si="12"/>
        <v>417655372.6500001</v>
      </c>
      <c r="P54" s="1879">
        <f t="shared" si="12"/>
        <v>34697342.620800003</v>
      </c>
      <c r="Q54" s="1879">
        <f>Q46+Q52</f>
        <v>724063556.22419989</v>
      </c>
      <c r="R54" s="1879">
        <f>R46+R52</f>
        <v>282953632.69209993</v>
      </c>
      <c r="S54" s="1844"/>
      <c r="T54" s="1880">
        <f>T46+T52</f>
        <v>441109923.53210008</v>
      </c>
    </row>
    <row r="55" spans="1:20" s="181" customFormat="1" ht="18" customHeight="1">
      <c r="B55" s="449"/>
      <c r="D55" s="516"/>
      <c r="E55" s="522"/>
      <c r="F55" s="525"/>
      <c r="G55" s="524"/>
      <c r="H55" s="524"/>
      <c r="I55" s="526"/>
      <c r="J55" s="526"/>
      <c r="K55" s="526"/>
      <c r="L55" s="526"/>
      <c r="M55" s="526"/>
      <c r="N55" s="526"/>
      <c r="O55" s="526"/>
      <c r="P55" s="526"/>
      <c r="Q55" s="526"/>
      <c r="R55" s="526"/>
      <c r="S55" s="526"/>
      <c r="T55" s="526"/>
    </row>
    <row r="56" spans="1:20" s="181" customFormat="1" ht="18" customHeight="1">
      <c r="B56" s="449"/>
      <c r="D56" s="181" t="s">
        <v>341</v>
      </c>
      <c r="E56" s="508"/>
      <c r="F56" s="509"/>
      <c r="I56" s="527"/>
      <c r="J56" s="527"/>
      <c r="K56" s="527"/>
      <c r="L56" s="527"/>
      <c r="M56" s="527"/>
      <c r="N56" s="527"/>
      <c r="O56" s="527"/>
      <c r="P56" s="527"/>
      <c r="Q56" s="527"/>
      <c r="R56" s="527"/>
      <c r="S56" s="526"/>
      <c r="T56" s="527"/>
    </row>
    <row r="57" spans="1:20" s="181" customFormat="1" ht="18" customHeight="1">
      <c r="B57" s="449"/>
      <c r="D57" s="451" t="s">
        <v>1775</v>
      </c>
      <c r="E57" s="508"/>
      <c r="F57" s="509"/>
      <c r="I57" s="527"/>
      <c r="J57" s="527"/>
      <c r="K57" s="527"/>
      <c r="L57" s="527"/>
      <c r="M57" s="527"/>
      <c r="N57" s="527"/>
      <c r="O57" s="527"/>
      <c r="P57" s="527"/>
      <c r="Q57" s="527"/>
      <c r="R57" s="527"/>
      <c r="S57" s="526"/>
      <c r="T57" s="527"/>
    </row>
    <row r="58" spans="1:20" s="181" customFormat="1" ht="18" customHeight="1">
      <c r="D58" s="181" t="s">
        <v>880</v>
      </c>
      <c r="E58" s="508"/>
      <c r="F58" s="509"/>
      <c r="I58" s="527"/>
    </row>
    <row r="59" spans="1:20" s="181" customFormat="1" ht="18" customHeight="1">
      <c r="D59" s="181" t="s">
        <v>1773</v>
      </c>
      <c r="E59" s="508"/>
      <c r="F59" s="509"/>
    </row>
    <row r="60" spans="1:20" s="181" customFormat="1" ht="18" customHeight="1">
      <c r="B60" s="449"/>
      <c r="D60" s="181" t="s">
        <v>1091</v>
      </c>
      <c r="E60" s="508"/>
      <c r="F60" s="509"/>
      <c r="S60" s="526"/>
    </row>
    <row r="61" spans="1:20" s="181" customFormat="1" ht="18" customHeight="1">
      <c r="D61" s="181" t="s">
        <v>1774</v>
      </c>
      <c r="E61" s="508"/>
      <c r="F61" s="509"/>
    </row>
    <row r="62" spans="1:20" ht="16.5" customHeight="1">
      <c r="D62" s="181" t="s">
        <v>1776</v>
      </c>
    </row>
    <row r="63" spans="1:20" ht="13.5" customHeight="1">
      <c r="A63" s="25"/>
      <c r="B63" s="25"/>
      <c r="C63" s="25"/>
      <c r="D63" s="181"/>
      <c r="E63" s="25"/>
      <c r="F63" s="509"/>
      <c r="G63" s="25"/>
      <c r="H63" s="25"/>
      <c r="I63" s="25"/>
      <c r="J63" s="25"/>
      <c r="K63" s="25"/>
      <c r="L63" s="25"/>
      <c r="M63" s="25"/>
      <c r="N63" s="25"/>
      <c r="O63" s="25"/>
      <c r="P63" s="25"/>
      <c r="Q63" s="25"/>
      <c r="R63" s="25"/>
      <c r="S63" s="25"/>
      <c r="T63" s="25"/>
    </row>
    <row r="64" spans="1:20" ht="13.5" customHeight="1">
      <c r="A64" s="25"/>
      <c r="B64" s="25"/>
      <c r="C64" s="25"/>
      <c r="D64" s="450"/>
      <c r="E64" s="451"/>
      <c r="F64" s="509"/>
      <c r="G64" s="25"/>
      <c r="H64" s="25"/>
      <c r="I64" s="25"/>
      <c r="J64" s="25"/>
      <c r="K64" s="25"/>
      <c r="L64" s="25"/>
      <c r="M64" s="25"/>
      <c r="N64" s="25"/>
      <c r="O64" s="25"/>
      <c r="P64" s="25"/>
      <c r="Q64" s="25"/>
      <c r="R64" s="25"/>
      <c r="S64" s="25"/>
      <c r="T64" s="25"/>
    </row>
    <row r="65" spans="1:20" ht="13.5" customHeight="1">
      <c r="A65" s="25"/>
      <c r="B65" s="25"/>
      <c r="C65" s="25"/>
      <c r="D65" s="450"/>
      <c r="E65" s="451"/>
      <c r="F65" s="509"/>
      <c r="G65" s="25"/>
      <c r="H65" s="25"/>
      <c r="I65" s="25"/>
      <c r="J65" s="25"/>
      <c r="K65" s="25"/>
      <c r="L65" s="25"/>
      <c r="M65" s="25"/>
      <c r="N65" s="25"/>
      <c r="O65" s="25"/>
      <c r="P65" s="25"/>
      <c r="Q65" s="25"/>
      <c r="R65" s="25"/>
      <c r="S65" s="25"/>
      <c r="T65" s="25"/>
    </row>
    <row r="66" spans="1:20" ht="13.5" customHeight="1">
      <c r="A66" s="25"/>
      <c r="B66" s="25"/>
      <c r="C66" s="25"/>
      <c r="D66" s="25"/>
      <c r="E66" s="528"/>
      <c r="F66" s="509"/>
      <c r="G66" s="25"/>
      <c r="H66" s="25"/>
      <c r="I66" s="25"/>
      <c r="J66" s="25"/>
      <c r="K66" s="25"/>
      <c r="L66" s="25"/>
      <c r="M66" s="25"/>
      <c r="N66" s="25"/>
      <c r="O66" s="25"/>
      <c r="P66" s="25"/>
      <c r="Q66" s="25"/>
      <c r="R66" s="25"/>
      <c r="S66" s="25"/>
      <c r="T66" s="25"/>
    </row>
    <row r="67" spans="1:20" ht="13.5" customHeight="1">
      <c r="A67" s="25"/>
      <c r="B67" s="25"/>
      <c r="C67" s="25"/>
      <c r="D67" s="25"/>
      <c r="E67" s="528"/>
      <c r="F67" s="509"/>
      <c r="G67" s="25"/>
      <c r="H67" s="25"/>
      <c r="I67" s="25"/>
      <c r="J67" s="25"/>
      <c r="K67" s="25"/>
      <c r="L67" s="25"/>
      <c r="M67" s="25"/>
      <c r="N67" s="25"/>
      <c r="O67" s="25"/>
      <c r="P67" s="25"/>
      <c r="Q67" s="25"/>
      <c r="R67" s="25"/>
      <c r="S67" s="25"/>
      <c r="T67" s="25"/>
    </row>
    <row r="68" spans="1:20" ht="13.5" customHeight="1">
      <c r="A68" s="25"/>
      <c r="B68" s="25"/>
      <c r="C68" s="25"/>
      <c r="D68" s="25"/>
      <c r="E68" s="528"/>
      <c r="F68" s="509"/>
      <c r="G68" s="25"/>
      <c r="H68" s="25"/>
      <c r="I68" s="25"/>
      <c r="J68" s="25"/>
      <c r="K68" s="25"/>
      <c r="L68" s="25"/>
      <c r="M68" s="25"/>
      <c r="N68" s="25"/>
      <c r="O68" s="25"/>
      <c r="P68" s="25"/>
      <c r="Q68" s="25"/>
      <c r="R68" s="25"/>
      <c r="S68" s="25"/>
      <c r="T68" s="25"/>
    </row>
    <row r="69" spans="1:20" ht="13.5" customHeight="1">
      <c r="A69" s="25"/>
      <c r="B69" s="25"/>
      <c r="C69" s="25"/>
      <c r="D69" s="25"/>
      <c r="E69" s="528"/>
      <c r="F69" s="509"/>
      <c r="G69" s="25"/>
      <c r="H69" s="25"/>
      <c r="I69" s="25"/>
      <c r="J69" s="25"/>
      <c r="K69" s="25"/>
      <c r="L69" s="25"/>
      <c r="M69" s="25"/>
      <c r="N69" s="25"/>
      <c r="O69" s="25"/>
      <c r="P69" s="25"/>
      <c r="Q69" s="25"/>
      <c r="R69" s="25"/>
      <c r="S69" s="25"/>
      <c r="T69" s="25"/>
    </row>
    <row r="70" spans="1:20" ht="13.5" customHeight="1">
      <c r="A70" s="25"/>
      <c r="B70" s="25"/>
      <c r="C70" s="25"/>
      <c r="D70" s="25"/>
      <c r="E70" s="528"/>
      <c r="F70" s="509"/>
      <c r="G70" s="25"/>
      <c r="H70" s="25"/>
      <c r="I70" s="25"/>
      <c r="J70" s="25"/>
      <c r="K70" s="25"/>
      <c r="L70" s="25"/>
      <c r="M70" s="25"/>
      <c r="N70" s="25"/>
      <c r="O70" s="25"/>
      <c r="P70" s="25"/>
      <c r="Q70" s="25"/>
      <c r="R70" s="25"/>
      <c r="S70" s="25"/>
      <c r="T70" s="25"/>
    </row>
    <row r="71" spans="1:20" ht="13.5" customHeight="1">
      <c r="A71" s="25"/>
      <c r="B71" s="25"/>
      <c r="C71" s="25"/>
      <c r="D71" s="25"/>
      <c r="E71" s="528"/>
      <c r="F71" s="509"/>
      <c r="G71" s="25"/>
      <c r="H71" s="25"/>
      <c r="I71" s="25"/>
      <c r="J71" s="25"/>
      <c r="K71" s="25"/>
      <c r="L71" s="25"/>
      <c r="M71" s="25"/>
      <c r="N71" s="25"/>
      <c r="O71" s="25"/>
      <c r="P71" s="25"/>
      <c r="Q71" s="25"/>
      <c r="R71" s="25"/>
      <c r="S71" s="25"/>
      <c r="T71" s="25"/>
    </row>
    <row r="72" spans="1:20" ht="13.5" customHeight="1">
      <c r="A72" s="25"/>
      <c r="B72" s="25"/>
      <c r="C72" s="25"/>
      <c r="D72" s="25"/>
      <c r="E72" s="528"/>
      <c r="F72" s="509"/>
      <c r="G72" s="25"/>
      <c r="H72" s="25"/>
      <c r="I72" s="25"/>
      <c r="J72" s="25"/>
      <c r="K72" s="25"/>
      <c r="L72" s="25"/>
      <c r="M72" s="25"/>
      <c r="N72" s="25"/>
      <c r="O72" s="25"/>
      <c r="P72" s="25"/>
      <c r="Q72" s="25"/>
      <c r="R72" s="25"/>
      <c r="S72" s="25"/>
      <c r="T72" s="25"/>
    </row>
    <row r="73" spans="1:20" ht="13.5" customHeight="1">
      <c r="A73" s="25"/>
      <c r="B73" s="25"/>
      <c r="C73" s="25"/>
      <c r="D73" s="25"/>
      <c r="E73" s="528"/>
      <c r="F73" s="509"/>
      <c r="G73" s="25"/>
      <c r="H73" s="25"/>
      <c r="I73" s="25"/>
      <c r="J73" s="25"/>
      <c r="K73" s="25"/>
      <c r="L73" s="25"/>
      <c r="M73" s="25"/>
      <c r="N73" s="25"/>
      <c r="O73" s="25"/>
      <c r="P73" s="25"/>
      <c r="Q73" s="25"/>
      <c r="R73" s="25"/>
      <c r="S73" s="25"/>
      <c r="T73" s="25"/>
    </row>
    <row r="74" spans="1:20" ht="13.5" customHeight="1">
      <c r="A74" s="25"/>
      <c r="B74" s="25"/>
      <c r="C74" s="25"/>
      <c r="D74" s="25"/>
      <c r="E74" s="528"/>
      <c r="F74" s="509"/>
      <c r="G74" s="25"/>
      <c r="H74" s="25"/>
      <c r="I74" s="25"/>
      <c r="J74" s="25"/>
      <c r="K74" s="25"/>
      <c r="L74" s="25"/>
      <c r="M74" s="25"/>
      <c r="N74" s="25"/>
      <c r="O74" s="25"/>
      <c r="P74" s="25"/>
      <c r="Q74" s="25"/>
      <c r="R74" s="25"/>
      <c r="S74" s="25"/>
      <c r="T74" s="25"/>
    </row>
    <row r="75" spans="1:20" ht="13.5" customHeight="1">
      <c r="A75" s="25"/>
      <c r="B75" s="25"/>
      <c r="C75" s="25"/>
      <c r="D75" s="25"/>
      <c r="E75" s="528"/>
      <c r="F75" s="509"/>
      <c r="G75" s="25"/>
      <c r="H75" s="25"/>
      <c r="I75" s="25"/>
      <c r="J75" s="25"/>
      <c r="K75" s="25"/>
      <c r="L75" s="25"/>
      <c r="M75" s="25"/>
      <c r="N75" s="25"/>
      <c r="O75" s="25"/>
      <c r="P75" s="25"/>
      <c r="Q75" s="25"/>
      <c r="R75" s="25"/>
      <c r="S75" s="25"/>
      <c r="T75" s="25"/>
    </row>
    <row r="76" spans="1:20" ht="13.5" customHeight="1">
      <c r="M76" s="25"/>
      <c r="N76" s="25"/>
      <c r="O76" s="25"/>
      <c r="P76" s="25"/>
    </row>
    <row r="77" spans="1:20" ht="13.5" customHeight="1">
      <c r="M77" s="25"/>
      <c r="N77" s="25"/>
      <c r="O77" s="25"/>
      <c r="P77" s="25"/>
    </row>
    <row r="78" spans="1:20" ht="13.5" customHeight="1">
      <c r="M78" s="25"/>
      <c r="N78" s="25"/>
      <c r="O78" s="25"/>
      <c r="P78" s="25"/>
    </row>
    <row r="79" spans="1:20" ht="13.5" customHeight="1">
      <c r="M79" s="25"/>
      <c r="N79" s="25"/>
      <c r="O79" s="25"/>
      <c r="P79" s="25"/>
    </row>
    <row r="80" spans="1:20" ht="13.5" customHeight="1">
      <c r="M80" s="25"/>
      <c r="N80" s="25"/>
      <c r="O80" s="25"/>
      <c r="P80" s="25"/>
    </row>
    <row r="81" spans="11:16" ht="13.5" customHeight="1">
      <c r="M81" s="25"/>
      <c r="N81" s="25"/>
      <c r="O81" s="25"/>
      <c r="P81" s="25"/>
    </row>
    <row r="82" spans="11:16" ht="13.5" customHeight="1">
      <c r="M82" s="25"/>
      <c r="N82" s="25"/>
      <c r="O82" s="25"/>
      <c r="P82" s="25"/>
    </row>
    <row r="83" spans="11:16" ht="13.5" customHeight="1">
      <c r="M83" s="25"/>
      <c r="N83" s="25"/>
      <c r="O83" s="25"/>
      <c r="P83" s="25"/>
    </row>
    <row r="88" spans="11:16" ht="13.5" customHeight="1">
      <c r="K88" s="379"/>
      <c r="N88" s="379"/>
      <c r="O88" s="379"/>
    </row>
    <row r="89" spans="11:16" ht="13.5" customHeight="1">
      <c r="K89" s="379"/>
      <c r="N89" s="379"/>
      <c r="O89" s="379"/>
    </row>
  </sheetData>
  <customSheetViews>
    <customSheetView guid="{B321D76C-CDE5-48BB-9CDE-80FF97D58FCF}" scale="115" showPageBreaks="1" fitToPage="1" printArea="1" view="pageBreakPreview" topLeftCell="I49">
      <selection activeCell="D33" sqref="D33"/>
      <rowBreaks count="1" manualBreakCount="1">
        <brk id="60" max="20" man="1"/>
      </rowBreaks>
      <pageMargins left="0.1" right="0.1" top="0" bottom="0" header="0.3" footer="0.3"/>
      <printOptions horizontalCentered="1"/>
      <pageSetup scale="47" orientation="landscape" r:id="rId1"/>
    </customSheetView>
  </customSheetViews>
  <mergeCells count="9">
    <mergeCell ref="G16:H16"/>
    <mergeCell ref="A5:T5"/>
    <mergeCell ref="Q11:T11"/>
    <mergeCell ref="A3:U3"/>
    <mergeCell ref="A4:U4"/>
    <mergeCell ref="A7:U7"/>
    <mergeCell ref="A8:U8"/>
    <mergeCell ref="I11:L11"/>
    <mergeCell ref="M11:P11"/>
  </mergeCells>
  <printOptions horizontalCentered="1"/>
  <pageMargins left="0.1" right="0.1" top="0" bottom="0" header="0.3" footer="0.3"/>
  <pageSetup scale="47" orientation="landscape" r:id="rId2"/>
  <rowBreaks count="1" manualBreakCount="1">
    <brk id="60" max="2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rgb="FF0070C0"/>
    <pageSetUpPr fitToPage="1"/>
  </sheetPr>
  <dimension ref="A1:O64"/>
  <sheetViews>
    <sheetView zoomScale="80" zoomScaleNormal="80" zoomScaleSheetLayoutView="90" workbookViewId="0">
      <selection activeCell="H65" sqref="H65"/>
    </sheetView>
  </sheetViews>
  <sheetFormatPr defaultColWidth="9" defaultRowHeight="12"/>
  <cols>
    <col min="1" max="1" width="11" style="12" customWidth="1"/>
    <col min="2" max="2" width="3.77734375" style="12" bestFit="1" customWidth="1"/>
    <col min="3" max="3" width="19" style="12" customWidth="1"/>
    <col min="4" max="4" width="9" style="12"/>
    <col min="5" max="5" width="37.77734375" style="12" customWidth="1"/>
    <col min="6" max="6" width="11.77734375" style="12" bestFit="1" customWidth="1"/>
    <col min="7" max="7" width="16" style="12" bestFit="1" customWidth="1"/>
    <col min="8" max="8" width="7.33203125" style="12" bestFit="1" customWidth="1"/>
    <col min="9" max="9" width="14.33203125" style="12" bestFit="1" customWidth="1"/>
    <col min="10" max="11" width="14.109375" style="12" bestFit="1" customWidth="1"/>
    <col min="12" max="12" width="11.44140625" style="12" bestFit="1" customWidth="1"/>
    <col min="13" max="13" width="23.77734375" style="12" bestFit="1" customWidth="1"/>
    <col min="14" max="14" width="10.44140625" style="12" bestFit="1" customWidth="1"/>
    <col min="15" max="16384" width="9" style="12"/>
  </cols>
  <sheetData>
    <row r="1" spans="1:15" ht="14.4">
      <c r="A1" s="139" t="s">
        <v>914</v>
      </c>
      <c r="B1" s="165"/>
      <c r="H1" s="58"/>
      <c r="I1" s="58"/>
      <c r="J1" s="58"/>
      <c r="K1" s="58"/>
    </row>
    <row r="2" spans="1:15" ht="13.8">
      <c r="A2" s="165"/>
      <c r="B2" s="165"/>
      <c r="H2" s="58"/>
      <c r="I2" s="58"/>
      <c r="J2" s="58"/>
      <c r="K2" s="58"/>
    </row>
    <row r="3" spans="1:15" ht="13.8">
      <c r="A3" s="165"/>
      <c r="B3" s="165"/>
      <c r="C3" s="169"/>
      <c r="D3" s="169"/>
      <c r="E3" s="169"/>
      <c r="F3" s="169"/>
      <c r="G3" s="169"/>
      <c r="H3" s="58"/>
      <c r="I3" s="58"/>
      <c r="J3" s="58"/>
      <c r="K3" s="58"/>
    </row>
    <row r="4" spans="1:15" ht="15" customHeight="1">
      <c r="A4" s="1994" t="s">
        <v>932</v>
      </c>
      <c r="B4" s="1994"/>
      <c r="C4" s="1994"/>
      <c r="D4" s="1994"/>
      <c r="E4" s="1994"/>
      <c r="F4" s="1994"/>
      <c r="G4" s="1994"/>
      <c r="H4" s="1994"/>
      <c r="I4" s="1994"/>
      <c r="J4" s="1994"/>
      <c r="K4" s="1994"/>
      <c r="L4" s="1994"/>
      <c r="M4" s="1994"/>
      <c r="N4" s="1994"/>
    </row>
    <row r="5" spans="1:15" ht="15" customHeight="1">
      <c r="A5" s="1994" t="str">
        <f>+'F1-Proj RR'!A6</f>
        <v>NEW YORK POWER AUTHORITY</v>
      </c>
      <c r="B5" s="1994"/>
      <c r="C5" s="1994"/>
      <c r="D5" s="1994"/>
      <c r="E5" s="1994"/>
      <c r="F5" s="1994"/>
      <c r="G5" s="1994"/>
      <c r="H5" s="1994"/>
      <c r="I5" s="1994"/>
      <c r="J5" s="1994"/>
      <c r="K5" s="1994"/>
      <c r="L5" s="1994"/>
      <c r="M5" s="1994"/>
      <c r="N5" s="1994"/>
    </row>
    <row r="6" spans="1:15" ht="15" customHeight="1">
      <c r="D6" s="816"/>
      <c r="E6" s="816"/>
      <c r="G6" s="737" t="s">
        <v>1838</v>
      </c>
      <c r="H6" s="816"/>
      <c r="I6" s="816"/>
      <c r="J6" s="816"/>
      <c r="K6" s="816"/>
      <c r="L6" s="816"/>
      <c r="M6" s="816"/>
      <c r="N6" s="816"/>
    </row>
    <row r="7" spans="1:15" s="25" customFormat="1" ht="15" customHeight="1">
      <c r="A7" s="529"/>
      <c r="B7" s="529"/>
      <c r="C7" s="181"/>
    </row>
    <row r="8" spans="1:15" s="25" customFormat="1" ht="15" customHeight="1">
      <c r="A8" s="530" t="s">
        <v>1</v>
      </c>
      <c r="B8" s="530"/>
      <c r="C8" s="531" t="s">
        <v>1157</v>
      </c>
      <c r="D8" s="531" t="s">
        <v>1158</v>
      </c>
      <c r="E8" s="523"/>
      <c r="F8" s="523"/>
      <c r="G8" s="1993" t="s">
        <v>1825</v>
      </c>
      <c r="H8" s="1993"/>
      <c r="I8" s="1993"/>
      <c r="J8" s="1993"/>
      <c r="K8" s="1993"/>
      <c r="L8" s="1993"/>
      <c r="M8" s="1993"/>
      <c r="N8" s="1993"/>
    </row>
    <row r="9" spans="1:15" s="25" customFormat="1" ht="15" customHeight="1">
      <c r="A9" s="529"/>
      <c r="B9" s="529"/>
      <c r="C9" s="532" t="s">
        <v>994</v>
      </c>
      <c r="F9" s="509" t="s">
        <v>85</v>
      </c>
      <c r="G9" s="509" t="s">
        <v>752</v>
      </c>
      <c r="H9" s="509" t="s">
        <v>64</v>
      </c>
      <c r="I9" s="509" t="s">
        <v>65</v>
      </c>
      <c r="J9" s="509" t="s">
        <v>827</v>
      </c>
      <c r="K9" s="509" t="s">
        <v>753</v>
      </c>
      <c r="L9" s="509" t="s">
        <v>754</v>
      </c>
      <c r="M9" s="509" t="s">
        <v>1826</v>
      </c>
      <c r="N9" s="509" t="s">
        <v>755</v>
      </c>
    </row>
    <row r="10" spans="1:15" s="25" customFormat="1" ht="15" customHeight="1">
      <c r="A10" s="529">
        <v>1</v>
      </c>
      <c r="B10" s="529"/>
      <c r="C10" s="533">
        <v>350</v>
      </c>
      <c r="D10" s="25" t="s">
        <v>995</v>
      </c>
      <c r="E10" s="181"/>
    </row>
    <row r="11" spans="1:15" s="25" customFormat="1" ht="15" customHeight="1">
      <c r="A11" s="529">
        <f t="shared" ref="A11:A18" si="0">+A10+1</f>
        <v>2</v>
      </c>
      <c r="B11" s="529"/>
      <c r="C11" s="533" t="s">
        <v>580</v>
      </c>
      <c r="D11" s="25" t="s">
        <v>996</v>
      </c>
      <c r="E11" s="181"/>
      <c r="F11" s="534"/>
      <c r="G11" s="534">
        <v>1.34E-2</v>
      </c>
      <c r="H11" s="534">
        <v>1.2200000000000001E-2</v>
      </c>
      <c r="I11" s="534">
        <v>1.0500000000000001E-2</v>
      </c>
      <c r="J11" s="534"/>
      <c r="K11" s="534">
        <v>1.2999999999999999E-2</v>
      </c>
      <c r="L11" s="534"/>
      <c r="M11" s="534">
        <v>3.3300000000000003E-2</v>
      </c>
      <c r="N11" s="534">
        <v>1.6E-2</v>
      </c>
      <c r="O11" s="535"/>
    </row>
    <row r="12" spans="1:15" s="25" customFormat="1" ht="15" customHeight="1">
      <c r="A12" s="529">
        <f t="shared" si="0"/>
        <v>3</v>
      </c>
      <c r="B12" s="529"/>
      <c r="C12" s="533" t="s">
        <v>581</v>
      </c>
      <c r="D12" s="25" t="s">
        <v>997</v>
      </c>
      <c r="E12" s="181"/>
      <c r="F12" s="534"/>
      <c r="G12" s="534">
        <v>1.5100000000000001E-2</v>
      </c>
      <c r="H12" s="534">
        <v>1.6199999999999999E-2</v>
      </c>
      <c r="I12" s="534">
        <v>1.7500000000000002E-2</v>
      </c>
      <c r="J12" s="534"/>
      <c r="K12" s="534">
        <v>1.4800000000000001E-2</v>
      </c>
      <c r="L12" s="534">
        <v>1.55E-2</v>
      </c>
      <c r="M12" s="534">
        <v>3.3300000000000003E-2</v>
      </c>
      <c r="N12" s="534">
        <v>1.8700000000000001E-2</v>
      </c>
      <c r="O12" s="535"/>
    </row>
    <row r="13" spans="1:15" s="25" customFormat="1" ht="15" customHeight="1">
      <c r="A13" s="529">
        <f t="shared" si="0"/>
        <v>4</v>
      </c>
      <c r="B13" s="529"/>
      <c r="C13" s="533" t="s">
        <v>998</v>
      </c>
      <c r="D13" s="25" t="s">
        <v>999</v>
      </c>
      <c r="E13" s="181"/>
      <c r="F13" s="534"/>
      <c r="G13" s="534">
        <v>3.2000000000000001E-2</v>
      </c>
      <c r="H13" s="534">
        <v>2.0400000000000001E-2</v>
      </c>
      <c r="I13" s="534">
        <v>1.72E-2</v>
      </c>
      <c r="J13" s="534">
        <v>1.06E-2</v>
      </c>
      <c r="K13" s="534">
        <v>1.89E-2</v>
      </c>
      <c r="L13" s="534">
        <v>2.0400000000000001E-2</v>
      </c>
      <c r="M13" s="534"/>
      <c r="N13" s="534">
        <v>2.06E-2</v>
      </c>
      <c r="O13" s="535"/>
    </row>
    <row r="14" spans="1:15" s="25" customFormat="1" ht="15" customHeight="1">
      <c r="A14" s="529">
        <f t="shared" si="0"/>
        <v>5</v>
      </c>
      <c r="B14" s="529"/>
      <c r="C14" s="533" t="s">
        <v>1000</v>
      </c>
      <c r="D14" s="25" t="s">
        <v>1001</v>
      </c>
      <c r="E14" s="181"/>
      <c r="F14" s="534"/>
      <c r="G14" s="534">
        <v>2.2200000000000001E-2</v>
      </c>
      <c r="H14" s="534">
        <v>1.9800000000000002E-2</v>
      </c>
      <c r="I14" s="534">
        <v>1.2999999999999999E-2</v>
      </c>
      <c r="J14" s="534"/>
      <c r="K14" s="534">
        <v>1.4500000000000001E-2</v>
      </c>
      <c r="L14" s="534">
        <v>1.77E-2</v>
      </c>
      <c r="M14" s="534"/>
      <c r="N14" s="534">
        <v>2.06E-2</v>
      </c>
      <c r="O14" s="535"/>
    </row>
    <row r="15" spans="1:15" s="25" customFormat="1" ht="15" customHeight="1">
      <c r="A15" s="529">
        <f t="shared" si="0"/>
        <v>6</v>
      </c>
      <c r="B15" s="529"/>
      <c r="C15" s="533" t="s">
        <v>1002</v>
      </c>
      <c r="D15" s="25" t="s">
        <v>1003</v>
      </c>
      <c r="E15" s="181"/>
      <c r="F15" s="534"/>
      <c r="G15" s="534">
        <v>2.5000000000000001E-2</v>
      </c>
      <c r="H15" s="534">
        <v>1.95E-2</v>
      </c>
      <c r="I15" s="534">
        <v>1.3599999999999999E-2</v>
      </c>
      <c r="J15" s="534">
        <v>9.7000000000000003E-3</v>
      </c>
      <c r="K15" s="534">
        <v>2.1399999999999999E-2</v>
      </c>
      <c r="L15" s="534">
        <v>1.7399999999999999E-2</v>
      </c>
      <c r="M15" s="534"/>
      <c r="N15" s="534">
        <v>1.8800000000000001E-2</v>
      </c>
      <c r="O15" s="535"/>
    </row>
    <row r="16" spans="1:15" s="25" customFormat="1" ht="15" customHeight="1">
      <c r="A16" s="529">
        <f t="shared" si="0"/>
        <v>7</v>
      </c>
      <c r="B16" s="529"/>
      <c r="C16" s="533" t="s">
        <v>1004</v>
      </c>
      <c r="D16" s="25" t="s">
        <v>1005</v>
      </c>
      <c r="E16" s="181"/>
      <c r="F16" s="534"/>
      <c r="G16" s="534">
        <v>1.8E-3</v>
      </c>
      <c r="H16" s="534"/>
      <c r="I16" s="534"/>
      <c r="J16" s="534"/>
      <c r="K16" s="534"/>
      <c r="L16" s="534">
        <v>1.23E-2</v>
      </c>
      <c r="M16" s="534">
        <v>3.3300000000000003E-2</v>
      </c>
      <c r="N16" s="534">
        <v>1.4E-2</v>
      </c>
      <c r="O16" s="535"/>
    </row>
    <row r="17" spans="1:15" s="25" customFormat="1" ht="15" customHeight="1">
      <c r="A17" s="529">
        <f t="shared" si="0"/>
        <v>8</v>
      </c>
      <c r="B17" s="529"/>
      <c r="C17" s="533" t="s">
        <v>1006</v>
      </c>
      <c r="D17" s="25" t="s">
        <v>1007</v>
      </c>
      <c r="E17" s="181"/>
      <c r="F17" s="534"/>
      <c r="G17" s="534">
        <v>1.6999999999999999E-3</v>
      </c>
      <c r="H17" s="534"/>
      <c r="I17" s="534"/>
      <c r="J17" s="534"/>
      <c r="K17" s="534"/>
      <c r="L17" s="534">
        <v>1.29E-2</v>
      </c>
      <c r="M17" s="534">
        <v>3.3300000000000003E-2</v>
      </c>
      <c r="N17" s="534">
        <v>1.7500000000000002E-2</v>
      </c>
      <c r="O17" s="535"/>
    </row>
    <row r="18" spans="1:15" s="25" customFormat="1" ht="15" customHeight="1">
      <c r="A18" s="529">
        <f t="shared" si="0"/>
        <v>9</v>
      </c>
      <c r="B18" s="529"/>
      <c r="C18" s="533" t="s">
        <v>1008</v>
      </c>
      <c r="D18" s="25" t="s">
        <v>1009</v>
      </c>
      <c r="E18" s="181"/>
      <c r="F18" s="534"/>
      <c r="G18" s="534">
        <v>5.4999999999999997E-3</v>
      </c>
      <c r="H18" s="534">
        <v>2.8E-3</v>
      </c>
      <c r="I18" s="534">
        <v>6.4000000000000003E-3</v>
      </c>
      <c r="J18" s="534">
        <v>1.2999999999999999E-3</v>
      </c>
      <c r="K18" s="534">
        <v>7.3000000000000001E-3</v>
      </c>
      <c r="L18" s="534">
        <v>8.9999999999999993E-3</v>
      </c>
      <c r="M18" s="534"/>
      <c r="N18" s="534">
        <v>0.01</v>
      </c>
      <c r="O18" s="535"/>
    </row>
    <row r="19" spans="1:15" s="25" customFormat="1" ht="15" customHeight="1">
      <c r="A19" s="529"/>
      <c r="B19" s="529"/>
      <c r="C19" s="533" t="s">
        <v>1010</v>
      </c>
    </row>
    <row r="20" spans="1:15" s="25" customFormat="1" ht="15" customHeight="1">
      <c r="A20" s="529">
        <f>A18+1</f>
        <v>10</v>
      </c>
      <c r="B20" s="529"/>
      <c r="C20" s="533" t="s">
        <v>1011</v>
      </c>
      <c r="D20" s="25" t="s">
        <v>1012</v>
      </c>
      <c r="E20" s="181"/>
      <c r="F20" s="534">
        <v>1.14E-2</v>
      </c>
      <c r="G20" s="534">
        <v>1.4500000000000001E-2</v>
      </c>
      <c r="H20" s="534">
        <v>9.7000000000000003E-3</v>
      </c>
      <c r="I20" s="534">
        <v>1.4999999999999999E-2</v>
      </c>
      <c r="J20" s="534"/>
      <c r="K20" s="534">
        <v>1.34E-2</v>
      </c>
      <c r="L20" s="534"/>
      <c r="M20" s="534">
        <v>3.4500000000000003E-2</v>
      </c>
      <c r="N20" s="534">
        <v>1.67E-2</v>
      </c>
    </row>
    <row r="21" spans="1:15" s="25" customFormat="1" ht="15" customHeight="1">
      <c r="A21" s="529">
        <f>A20+1</f>
        <v>11</v>
      </c>
      <c r="B21" s="529"/>
      <c r="C21" s="533" t="s">
        <v>1013</v>
      </c>
      <c r="D21" s="25" t="s">
        <v>1014</v>
      </c>
      <c r="E21" s="181"/>
      <c r="F21" s="534">
        <v>5.5599999999999997E-2</v>
      </c>
      <c r="G21" s="534">
        <v>5.5599999999999997E-2</v>
      </c>
      <c r="H21" s="534">
        <v>5.5599999999999997E-2</v>
      </c>
      <c r="I21" s="534">
        <v>5.5599999999999997E-2</v>
      </c>
      <c r="J21" s="534"/>
      <c r="K21" s="534">
        <v>5.5599999999999997E-2</v>
      </c>
      <c r="L21" s="534"/>
      <c r="M21" s="534">
        <v>9.0800000000000006E-2</v>
      </c>
      <c r="N21" s="534">
        <v>5.5599999999999997E-2</v>
      </c>
    </row>
    <row r="22" spans="1:15" s="25" customFormat="1" ht="15" customHeight="1">
      <c r="A22" s="529">
        <f t="shared" ref="A22:A34" si="1">A21+1</f>
        <v>12</v>
      </c>
      <c r="B22" s="529"/>
      <c r="C22" s="533" t="s">
        <v>1813</v>
      </c>
      <c r="D22" s="25" t="s">
        <v>1815</v>
      </c>
      <c r="E22" s="181"/>
      <c r="F22" s="534">
        <v>0.2</v>
      </c>
      <c r="G22" s="534">
        <v>0.2</v>
      </c>
      <c r="H22" s="534">
        <v>0.2</v>
      </c>
      <c r="I22" s="534">
        <v>0.2</v>
      </c>
      <c r="J22" s="534"/>
      <c r="K22" s="534">
        <v>0.2</v>
      </c>
      <c r="L22" s="534"/>
      <c r="M22" s="534"/>
      <c r="N22" s="534">
        <v>0.2</v>
      </c>
    </row>
    <row r="23" spans="1:15" s="25" customFormat="1" ht="15" customHeight="1">
      <c r="A23" s="529">
        <f t="shared" si="1"/>
        <v>13</v>
      </c>
      <c r="B23" s="529"/>
      <c r="C23" s="533" t="s">
        <v>1814</v>
      </c>
      <c r="D23" s="25" t="s">
        <v>1816</v>
      </c>
      <c r="E23" s="181"/>
      <c r="F23" s="534">
        <v>0.1</v>
      </c>
      <c r="G23" s="534">
        <v>0.1</v>
      </c>
      <c r="H23" s="534">
        <v>0.1</v>
      </c>
      <c r="I23" s="534">
        <v>0.1</v>
      </c>
      <c r="J23" s="534"/>
      <c r="K23" s="534">
        <v>0.1</v>
      </c>
      <c r="L23" s="534"/>
      <c r="M23" s="534"/>
      <c r="N23" s="534">
        <v>0.1</v>
      </c>
    </row>
    <row r="24" spans="1:15" s="25" customFormat="1" ht="15" customHeight="1">
      <c r="A24" s="529">
        <f t="shared" si="1"/>
        <v>14</v>
      </c>
      <c r="B24" s="529"/>
      <c r="C24" s="533" t="s">
        <v>1015</v>
      </c>
      <c r="D24" s="25" t="s">
        <v>1016</v>
      </c>
      <c r="E24" s="181"/>
      <c r="F24" s="534">
        <v>2.5600000000000001E-2</v>
      </c>
      <c r="G24" s="534">
        <v>4.4900000000000002E-2</v>
      </c>
      <c r="H24" s="534">
        <v>2.9600000000000001E-2</v>
      </c>
      <c r="I24" s="534">
        <v>5.0299999999999997E-2</v>
      </c>
      <c r="J24" s="534"/>
      <c r="K24" s="534">
        <v>4.48E-2</v>
      </c>
      <c r="L24" s="534"/>
      <c r="M24" s="534">
        <v>0.13039999999999999</v>
      </c>
      <c r="N24" s="534">
        <v>0.1</v>
      </c>
    </row>
    <row r="25" spans="1:15" s="25" customFormat="1" ht="15" customHeight="1">
      <c r="A25" s="529">
        <f t="shared" si="1"/>
        <v>15</v>
      </c>
      <c r="B25" s="529"/>
      <c r="C25" s="533" t="s">
        <v>1017</v>
      </c>
      <c r="D25" s="25" t="s">
        <v>1018</v>
      </c>
      <c r="E25" s="181"/>
      <c r="F25" s="534"/>
      <c r="G25" s="534">
        <v>2.6499999999999999E-2</v>
      </c>
      <c r="H25" s="534" t="s">
        <v>362</v>
      </c>
      <c r="I25" s="534">
        <v>3.2099999999999997E-2</v>
      </c>
      <c r="J25" s="534"/>
      <c r="K25" s="534">
        <v>3.3300000000000003E-2</v>
      </c>
      <c r="L25" s="534"/>
      <c r="M25" s="534">
        <v>3.15E-2</v>
      </c>
      <c r="N25" s="534">
        <v>3.3300000000000003E-2</v>
      </c>
    </row>
    <row r="26" spans="1:15" s="25" customFormat="1" ht="15" customHeight="1">
      <c r="A26" s="529">
        <f t="shared" si="1"/>
        <v>16</v>
      </c>
      <c r="B26" s="529"/>
      <c r="C26" s="533" t="s">
        <v>1019</v>
      </c>
      <c r="D26" s="25" t="s">
        <v>1020</v>
      </c>
      <c r="E26" s="181"/>
      <c r="F26" s="534">
        <v>2.8799999999999999E-2</v>
      </c>
      <c r="G26" s="534">
        <v>6.4500000000000002E-2</v>
      </c>
      <c r="H26" s="534">
        <v>4.1399999999999999E-2</v>
      </c>
      <c r="I26" s="534">
        <v>3.6700000000000003E-2</v>
      </c>
      <c r="J26" s="534"/>
      <c r="K26" s="534">
        <v>1.2E-2</v>
      </c>
      <c r="L26" s="534"/>
      <c r="M26" s="534">
        <v>4.9399999999999999E-2</v>
      </c>
      <c r="N26" s="534">
        <v>0.05</v>
      </c>
    </row>
    <row r="27" spans="1:15" s="25" customFormat="1" ht="15" customHeight="1">
      <c r="A27" s="529">
        <f t="shared" si="1"/>
        <v>17</v>
      </c>
      <c r="B27" s="529"/>
      <c r="C27" s="533" t="s">
        <v>1021</v>
      </c>
      <c r="D27" s="25" t="s">
        <v>1022</v>
      </c>
      <c r="E27" s="181"/>
      <c r="F27" s="534">
        <v>4.82E-2</v>
      </c>
      <c r="G27" s="534">
        <v>5.4800000000000001E-2</v>
      </c>
      <c r="H27" s="534">
        <v>1.5699999999999999E-2</v>
      </c>
      <c r="I27" s="534">
        <v>2.3E-2</v>
      </c>
      <c r="J27" s="534"/>
      <c r="K27" s="534">
        <v>1.52E-2</v>
      </c>
      <c r="L27" s="534"/>
      <c r="M27" s="534">
        <v>4.4299999999999999E-2</v>
      </c>
      <c r="N27" s="534">
        <v>0.05</v>
      </c>
    </row>
    <row r="28" spans="1:15" s="25" customFormat="1" ht="15" customHeight="1">
      <c r="A28" s="529">
        <f t="shared" si="1"/>
        <v>18</v>
      </c>
      <c r="B28" s="529"/>
      <c r="C28" s="533" t="s">
        <v>1023</v>
      </c>
      <c r="D28" s="25" t="s">
        <v>1024</v>
      </c>
      <c r="E28" s="181"/>
      <c r="F28" s="534"/>
      <c r="G28" s="534">
        <v>5.4699999999999999E-2</v>
      </c>
      <c r="H28" s="534">
        <v>6.5100000000000005E-2</v>
      </c>
      <c r="I28" s="534">
        <v>7.2300000000000003E-2</v>
      </c>
      <c r="J28" s="534"/>
      <c r="K28" s="534">
        <v>4.8099999999999997E-2</v>
      </c>
      <c r="L28" s="534" t="s">
        <v>362</v>
      </c>
      <c r="M28" s="534">
        <v>9.3299999999999994E-2</v>
      </c>
      <c r="N28" s="534">
        <v>8.3299999999999999E-2</v>
      </c>
    </row>
    <row r="29" spans="1:15" s="25" customFormat="1" ht="15" customHeight="1">
      <c r="A29" s="529">
        <f t="shared" si="1"/>
        <v>19</v>
      </c>
      <c r="B29" s="529"/>
      <c r="C29" s="533" t="s">
        <v>1025</v>
      </c>
      <c r="D29" s="25" t="s">
        <v>1026</v>
      </c>
      <c r="E29" s="181"/>
      <c r="F29" s="534">
        <v>6.6699999999999995E-2</v>
      </c>
      <c r="G29" s="534">
        <v>6.6699999999999995E-2</v>
      </c>
      <c r="H29" s="534">
        <v>6.6699999999999995E-2</v>
      </c>
      <c r="I29" s="534">
        <v>6.6699999999999995E-2</v>
      </c>
      <c r="J29" s="534"/>
      <c r="K29" s="534">
        <v>6.6699999999999995E-2</v>
      </c>
      <c r="L29" s="534">
        <v>6.6699999999999995E-2</v>
      </c>
      <c r="M29" s="534">
        <v>6.6299999999999998E-2</v>
      </c>
      <c r="N29" s="534">
        <v>6.6699999999999995E-2</v>
      </c>
    </row>
    <row r="30" spans="1:15" s="25" customFormat="1" ht="15" customHeight="1">
      <c r="A30" s="529">
        <f t="shared" si="1"/>
        <v>20</v>
      </c>
      <c r="B30" s="529"/>
      <c r="C30" s="533" t="s">
        <v>1027</v>
      </c>
      <c r="D30" s="25" t="s">
        <v>1827</v>
      </c>
      <c r="E30" s="181"/>
      <c r="F30" s="735">
        <v>2.0000000000000002E-5</v>
      </c>
      <c r="G30" s="534">
        <v>0.1104</v>
      </c>
      <c r="H30" s="534">
        <v>8.6E-3</v>
      </c>
      <c r="I30" s="534">
        <v>3.6700000000000003E-2</v>
      </c>
      <c r="J30" s="534"/>
      <c r="K30" s="534">
        <v>2.0000000000000001E-4</v>
      </c>
      <c r="L30" s="534"/>
      <c r="M30" s="534">
        <v>5.9400000000000001E-2</v>
      </c>
      <c r="N30" s="534">
        <v>0.05</v>
      </c>
    </row>
    <row r="31" spans="1:15" s="25" customFormat="1" ht="15" customHeight="1">
      <c r="A31" s="529">
        <f t="shared" si="1"/>
        <v>21</v>
      </c>
      <c r="B31" s="529"/>
      <c r="C31" s="533"/>
      <c r="D31" s="25" t="s">
        <v>582</v>
      </c>
      <c r="E31" s="181"/>
      <c r="F31" s="534">
        <f>1/5</f>
        <v>0.2</v>
      </c>
      <c r="G31" s="534">
        <f t="shared" ref="G31:N31" si="2">1/5</f>
        <v>0.2</v>
      </c>
      <c r="H31" s="534">
        <f t="shared" si="2"/>
        <v>0.2</v>
      </c>
      <c r="I31" s="534">
        <f t="shared" si="2"/>
        <v>0.2</v>
      </c>
      <c r="J31" s="534">
        <f t="shared" si="2"/>
        <v>0.2</v>
      </c>
      <c r="K31" s="534">
        <f t="shared" si="2"/>
        <v>0.2</v>
      </c>
      <c r="L31" s="534">
        <f t="shared" si="2"/>
        <v>0.2</v>
      </c>
      <c r="M31" s="534">
        <f t="shared" si="2"/>
        <v>0.2</v>
      </c>
      <c r="N31" s="534">
        <f t="shared" si="2"/>
        <v>0.2</v>
      </c>
    </row>
    <row r="32" spans="1:15" s="25" customFormat="1" ht="15" customHeight="1">
      <c r="A32" s="529">
        <f t="shared" si="1"/>
        <v>22</v>
      </c>
      <c r="B32" s="529"/>
      <c r="C32" s="533"/>
      <c r="D32" s="25" t="s">
        <v>583</v>
      </c>
      <c r="E32" s="181"/>
      <c r="F32" s="534">
        <f>1/10</f>
        <v>0.1</v>
      </c>
      <c r="G32" s="534">
        <f t="shared" ref="G32:N32" si="3">1/10</f>
        <v>0.1</v>
      </c>
      <c r="H32" s="534">
        <f t="shared" si="3"/>
        <v>0.1</v>
      </c>
      <c r="I32" s="534">
        <f t="shared" si="3"/>
        <v>0.1</v>
      </c>
      <c r="J32" s="534">
        <f t="shared" si="3"/>
        <v>0.1</v>
      </c>
      <c r="K32" s="534">
        <f t="shared" si="3"/>
        <v>0.1</v>
      </c>
      <c r="L32" s="534">
        <f t="shared" si="3"/>
        <v>0.1</v>
      </c>
      <c r="M32" s="534">
        <f t="shared" si="3"/>
        <v>0.1</v>
      </c>
      <c r="N32" s="534">
        <f t="shared" si="3"/>
        <v>0.1</v>
      </c>
    </row>
    <row r="33" spans="1:14" s="25" customFormat="1" ht="15" customHeight="1">
      <c r="A33" s="529">
        <f t="shared" si="1"/>
        <v>23</v>
      </c>
      <c r="B33" s="529"/>
      <c r="C33" s="533"/>
      <c r="D33" s="25" t="s">
        <v>584</v>
      </c>
      <c r="E33" s="181"/>
      <c r="F33" s="534">
        <f>1/20</f>
        <v>0.05</v>
      </c>
      <c r="G33" s="534">
        <f t="shared" ref="G33:N33" si="4">1/20</f>
        <v>0.05</v>
      </c>
      <c r="H33" s="534">
        <f t="shared" si="4"/>
        <v>0.05</v>
      </c>
      <c r="I33" s="534">
        <f t="shared" si="4"/>
        <v>0.05</v>
      </c>
      <c r="J33" s="534">
        <f t="shared" si="4"/>
        <v>0.05</v>
      </c>
      <c r="K33" s="534">
        <f t="shared" si="4"/>
        <v>0.05</v>
      </c>
      <c r="L33" s="534">
        <f t="shared" si="4"/>
        <v>0.05</v>
      </c>
      <c r="M33" s="534">
        <f t="shared" si="4"/>
        <v>0.05</v>
      </c>
      <c r="N33" s="534">
        <f t="shared" si="4"/>
        <v>0.05</v>
      </c>
    </row>
    <row r="34" spans="1:14" s="25" customFormat="1" ht="15" customHeight="1">
      <c r="A34" s="529">
        <f t="shared" si="1"/>
        <v>24</v>
      </c>
      <c r="B34" s="529"/>
      <c r="C34" s="533" t="s">
        <v>1817</v>
      </c>
      <c r="D34" s="25" t="s">
        <v>84</v>
      </c>
      <c r="E34" s="181"/>
      <c r="F34" s="534"/>
      <c r="G34" s="534">
        <v>6.6699999999999995E-2</v>
      </c>
      <c r="H34" s="534">
        <v>6.6699999999999995E-2</v>
      </c>
      <c r="I34" s="534">
        <v>6.6699999999999995E-2</v>
      </c>
      <c r="J34" s="534"/>
      <c r="K34" s="534"/>
      <c r="L34" s="534"/>
      <c r="M34" s="534"/>
      <c r="N34" s="534">
        <v>6.6699999999999995E-2</v>
      </c>
    </row>
    <row r="35" spans="1:14" s="25" customFormat="1" ht="15" customHeight="1">
      <c r="A35" s="529"/>
      <c r="B35" s="529"/>
      <c r="C35" s="533"/>
      <c r="F35" s="536"/>
      <c r="G35" s="536"/>
      <c r="H35" s="536"/>
      <c r="I35" s="536"/>
      <c r="J35" s="536"/>
      <c r="K35" s="536"/>
      <c r="L35" s="536"/>
      <c r="M35" s="536"/>
      <c r="N35" s="536"/>
    </row>
    <row r="36" spans="1:14" s="25" customFormat="1" ht="15" customHeight="1">
      <c r="A36" s="529"/>
      <c r="B36" s="529"/>
      <c r="C36" s="533" t="s">
        <v>1028</v>
      </c>
      <c r="F36" s="536"/>
      <c r="G36" s="536"/>
      <c r="H36" s="536"/>
      <c r="I36" s="536"/>
      <c r="J36" s="536"/>
      <c r="K36" s="536"/>
      <c r="L36" s="536"/>
      <c r="M36" s="536"/>
    </row>
    <row r="37" spans="1:14" s="25" customFormat="1" ht="15" customHeight="1">
      <c r="A37" s="529">
        <f>A34+1</f>
        <v>25</v>
      </c>
      <c r="B37" s="529"/>
      <c r="C37" s="533" t="s">
        <v>1029</v>
      </c>
      <c r="D37" s="25" t="s">
        <v>1030</v>
      </c>
      <c r="E37" s="181"/>
      <c r="F37" s="536"/>
      <c r="G37" s="536"/>
      <c r="H37" s="536"/>
      <c r="I37" s="536"/>
      <c r="J37" s="536"/>
      <c r="K37" s="536"/>
      <c r="L37" s="536"/>
      <c r="M37" s="536"/>
    </row>
    <row r="38" spans="1:14" s="25" customFormat="1" ht="15" customHeight="1">
      <c r="A38" s="529">
        <f>A37+1</f>
        <v>26</v>
      </c>
      <c r="B38" s="529"/>
      <c r="C38" s="533"/>
      <c r="D38" s="25" t="s">
        <v>582</v>
      </c>
      <c r="E38" s="181"/>
      <c r="F38" s="534">
        <f>1/5</f>
        <v>0.2</v>
      </c>
      <c r="G38" s="534">
        <f t="shared" ref="G38:N38" si="5">1/5</f>
        <v>0.2</v>
      </c>
      <c r="H38" s="534">
        <f t="shared" si="5"/>
        <v>0.2</v>
      </c>
      <c r="I38" s="534">
        <f t="shared" si="5"/>
        <v>0.2</v>
      </c>
      <c r="J38" s="534">
        <f t="shared" si="5"/>
        <v>0.2</v>
      </c>
      <c r="K38" s="534">
        <f t="shared" si="5"/>
        <v>0.2</v>
      </c>
      <c r="L38" s="534">
        <f t="shared" si="5"/>
        <v>0.2</v>
      </c>
      <c r="M38" s="534">
        <f t="shared" si="5"/>
        <v>0.2</v>
      </c>
      <c r="N38" s="534">
        <f t="shared" si="5"/>
        <v>0.2</v>
      </c>
    </row>
    <row r="39" spans="1:14" s="25" customFormat="1" ht="15" customHeight="1">
      <c r="A39" s="529">
        <f>+A38+1</f>
        <v>27</v>
      </c>
      <c r="B39" s="529"/>
      <c r="C39" s="533"/>
      <c r="D39" s="25" t="s">
        <v>585</v>
      </c>
      <c r="E39" s="181"/>
      <c r="F39" s="534">
        <f>1/7</f>
        <v>0.14285714285714285</v>
      </c>
      <c r="G39" s="534">
        <f t="shared" ref="G39:N39" si="6">1/7</f>
        <v>0.14285714285714285</v>
      </c>
      <c r="H39" s="534">
        <f t="shared" si="6"/>
        <v>0.14285714285714285</v>
      </c>
      <c r="I39" s="534">
        <f t="shared" si="6"/>
        <v>0.14285714285714285</v>
      </c>
      <c r="J39" s="534">
        <f t="shared" si="6"/>
        <v>0.14285714285714285</v>
      </c>
      <c r="K39" s="534">
        <f t="shared" si="6"/>
        <v>0.14285714285714285</v>
      </c>
      <c r="L39" s="534">
        <f t="shared" si="6"/>
        <v>0.14285714285714285</v>
      </c>
      <c r="M39" s="534">
        <f t="shared" si="6"/>
        <v>0.14285714285714285</v>
      </c>
      <c r="N39" s="534">
        <f t="shared" si="6"/>
        <v>0.14285714285714285</v>
      </c>
    </row>
    <row r="40" spans="1:14" s="25" customFormat="1" ht="15" customHeight="1">
      <c r="A40" s="529">
        <f>+A39+1</f>
        <v>28</v>
      </c>
      <c r="B40" s="529"/>
      <c r="C40" s="533"/>
      <c r="D40" s="25" t="s">
        <v>583</v>
      </c>
      <c r="E40" s="181"/>
      <c r="F40" s="534">
        <f>1/10</f>
        <v>0.1</v>
      </c>
      <c r="G40" s="534">
        <f t="shared" ref="G40:N40" si="7">1/10</f>
        <v>0.1</v>
      </c>
      <c r="H40" s="534">
        <f t="shared" si="7"/>
        <v>0.1</v>
      </c>
      <c r="I40" s="534">
        <f t="shared" si="7"/>
        <v>0.1</v>
      </c>
      <c r="J40" s="534">
        <f t="shared" si="7"/>
        <v>0.1</v>
      </c>
      <c r="K40" s="534">
        <f t="shared" si="7"/>
        <v>0.1</v>
      </c>
      <c r="L40" s="534">
        <f t="shared" si="7"/>
        <v>0.1</v>
      </c>
      <c r="M40" s="534">
        <f t="shared" si="7"/>
        <v>0.1</v>
      </c>
      <c r="N40" s="534">
        <f t="shared" si="7"/>
        <v>0.1</v>
      </c>
    </row>
    <row r="41" spans="1:14" s="25" customFormat="1" ht="15" customHeight="1">
      <c r="A41" s="529">
        <f>+A40+1</f>
        <v>29</v>
      </c>
      <c r="B41" s="529"/>
      <c r="C41" s="181"/>
      <c r="D41" s="537" t="s">
        <v>1031</v>
      </c>
      <c r="F41" s="538" t="s">
        <v>819</v>
      </c>
    </row>
    <row r="42" spans="1:14" s="25" customFormat="1" ht="15" customHeight="1">
      <c r="A42" s="529"/>
      <c r="B42" s="529"/>
      <c r="C42" s="731"/>
      <c r="D42" s="528"/>
      <c r="E42" s="508"/>
      <c r="F42" s="732"/>
      <c r="G42" s="732"/>
      <c r="H42" s="732"/>
      <c r="I42" s="732"/>
      <c r="J42" s="732"/>
      <c r="K42" s="732"/>
      <c r="L42" s="732"/>
      <c r="M42" s="732"/>
      <c r="N42" s="732"/>
    </row>
    <row r="43" spans="1:14" s="25" customFormat="1" ht="15" customHeight="1">
      <c r="A43" s="529"/>
      <c r="B43" s="529"/>
      <c r="C43" s="736" t="s">
        <v>571</v>
      </c>
      <c r="D43" s="528"/>
      <c r="E43" s="508"/>
      <c r="F43" s="730"/>
      <c r="G43" s="730"/>
      <c r="H43" s="730"/>
      <c r="I43" s="730"/>
      <c r="J43" s="730"/>
      <c r="K43" s="730"/>
      <c r="L43" s="730"/>
      <c r="M43" s="730"/>
      <c r="N43" s="730"/>
    </row>
    <row r="44" spans="1:14" s="25" customFormat="1" ht="15" customHeight="1">
      <c r="A44" s="529"/>
      <c r="B44" s="529" t="s">
        <v>360</v>
      </c>
      <c r="C44" s="533" t="s">
        <v>1828</v>
      </c>
      <c r="D44" s="528"/>
      <c r="E44" s="508"/>
      <c r="F44" s="730"/>
      <c r="G44" s="730"/>
      <c r="H44" s="730"/>
      <c r="I44" s="730"/>
      <c r="J44" s="730"/>
      <c r="K44" s="730"/>
      <c r="L44" s="730"/>
      <c r="M44" s="730"/>
      <c r="N44" s="730"/>
    </row>
    <row r="45" spans="1:14" s="25" customFormat="1" ht="15" customHeight="1">
      <c r="A45" s="529"/>
      <c r="B45" s="529"/>
      <c r="C45" s="533" t="s">
        <v>1829</v>
      </c>
      <c r="D45" s="528"/>
      <c r="E45" s="508"/>
      <c r="F45" s="730"/>
      <c r="G45" s="730"/>
      <c r="H45" s="730"/>
      <c r="I45" s="730"/>
      <c r="J45" s="730"/>
      <c r="K45" s="730"/>
      <c r="L45" s="730"/>
      <c r="M45" s="730"/>
      <c r="N45" s="730"/>
    </row>
    <row r="46" spans="1:14" s="25" customFormat="1" ht="15" customHeight="1">
      <c r="A46" s="529"/>
      <c r="B46" s="529"/>
      <c r="C46" s="533" t="s">
        <v>1831</v>
      </c>
      <c r="D46" s="528"/>
      <c r="E46" s="508"/>
      <c r="F46" s="730"/>
      <c r="G46" s="730"/>
      <c r="H46" s="730"/>
      <c r="I46" s="730"/>
      <c r="J46" s="730"/>
      <c r="K46" s="730"/>
      <c r="L46" s="730"/>
      <c r="M46" s="730"/>
      <c r="N46" s="730"/>
    </row>
    <row r="47" spans="1:14" s="25" customFormat="1" ht="15" customHeight="1">
      <c r="A47" s="529"/>
      <c r="B47" s="529" t="s">
        <v>361</v>
      </c>
      <c r="C47" s="537" t="s">
        <v>1823</v>
      </c>
      <c r="D47" s="508"/>
      <c r="E47" s="508"/>
      <c r="F47" s="730"/>
      <c r="G47" s="730"/>
      <c r="H47" s="730"/>
      <c r="I47" s="730"/>
      <c r="J47" s="730"/>
      <c r="K47" s="730"/>
      <c r="L47" s="730"/>
      <c r="M47" s="730"/>
      <c r="N47" s="730"/>
    </row>
    <row r="48" spans="1:14" s="25" customFormat="1" ht="15" customHeight="1">
      <c r="A48" s="529"/>
      <c r="B48" s="529"/>
      <c r="C48" s="537" t="s">
        <v>1834</v>
      </c>
      <c r="D48" s="181"/>
      <c r="E48" s="181"/>
      <c r="F48" s="734"/>
      <c r="G48" s="181"/>
      <c r="H48" s="181"/>
    </row>
    <row r="49" spans="1:11" s="25" customFormat="1" ht="15" customHeight="1">
      <c r="A49" s="529"/>
      <c r="B49" s="529"/>
      <c r="C49" s="537" t="s">
        <v>1833</v>
      </c>
      <c r="D49" s="181"/>
      <c r="E49" s="181"/>
      <c r="F49" s="181"/>
      <c r="G49" s="181"/>
      <c r="H49" s="181"/>
    </row>
    <row r="50" spans="1:11" s="25" customFormat="1" ht="15" customHeight="1">
      <c r="A50" s="529"/>
      <c r="B50" s="529"/>
      <c r="C50" s="537" t="s">
        <v>1824</v>
      </c>
      <c r="D50" s="181"/>
      <c r="E50" s="181"/>
      <c r="F50" s="181"/>
      <c r="G50" s="181"/>
      <c r="H50" s="181"/>
    </row>
    <row r="51" spans="1:11" s="25" customFormat="1" ht="15" customHeight="1">
      <c r="A51" s="529"/>
      <c r="B51" s="529" t="s">
        <v>362</v>
      </c>
      <c r="C51" s="537" t="s">
        <v>1830</v>
      </c>
      <c r="D51" s="181"/>
      <c r="E51" s="181"/>
      <c r="F51" s="181"/>
      <c r="G51" s="181"/>
      <c r="H51" s="181"/>
    </row>
    <row r="52" spans="1:11" s="25" customFormat="1" ht="15" customHeight="1">
      <c r="A52" s="529"/>
      <c r="B52" s="529" t="s">
        <v>363</v>
      </c>
      <c r="C52" s="537" t="s">
        <v>1832</v>
      </c>
      <c r="D52" s="181"/>
      <c r="E52" s="181"/>
      <c r="F52" s="181"/>
      <c r="G52" s="181"/>
      <c r="H52" s="181"/>
    </row>
    <row r="53" spans="1:11" s="25" customFormat="1" ht="15" customHeight="1">
      <c r="A53" s="529"/>
      <c r="B53" s="529" t="s">
        <v>819</v>
      </c>
      <c r="C53" s="537" t="s">
        <v>1822</v>
      </c>
      <c r="D53" s="181"/>
      <c r="E53" s="181"/>
      <c r="F53" s="181"/>
      <c r="G53" s="181"/>
      <c r="H53" s="181"/>
    </row>
    <row r="54" spans="1:11" s="25" customFormat="1" ht="15" customHeight="1">
      <c r="A54" s="529"/>
      <c r="B54" s="529"/>
      <c r="C54" s="537" t="s">
        <v>1819</v>
      </c>
      <c r="D54" s="181"/>
      <c r="E54" s="181"/>
      <c r="F54" s="181"/>
      <c r="G54" s="181"/>
      <c r="H54" s="181"/>
    </row>
    <row r="55" spans="1:11" s="25" customFormat="1" ht="15" customHeight="1">
      <c r="A55" s="529"/>
      <c r="B55" s="529"/>
      <c r="C55" s="537" t="s">
        <v>1820</v>
      </c>
      <c r="D55" s="181"/>
      <c r="E55" s="181"/>
      <c r="F55" s="181"/>
      <c r="G55" s="181"/>
      <c r="H55" s="181"/>
    </row>
    <row r="56" spans="1:11" s="25" customFormat="1" ht="15" customHeight="1">
      <c r="A56" s="529"/>
      <c r="B56" s="529"/>
      <c r="C56" s="537" t="s">
        <v>1835</v>
      </c>
      <c r="D56" s="181"/>
      <c r="E56" s="181"/>
      <c r="F56" s="181"/>
      <c r="G56" s="181"/>
      <c r="H56" s="181"/>
    </row>
    <row r="57" spans="1:11" s="25" customFormat="1" ht="15" customHeight="1">
      <c r="A57" s="529"/>
      <c r="B57" s="529"/>
      <c r="C57" s="537" t="s">
        <v>1836</v>
      </c>
      <c r="D57" s="181"/>
      <c r="E57" s="181"/>
      <c r="F57" s="181"/>
      <c r="G57" s="181"/>
      <c r="H57" s="181"/>
    </row>
    <row r="58" spans="1:11" s="25" customFormat="1" ht="15" customHeight="1">
      <c r="A58" s="529"/>
      <c r="B58" s="529"/>
      <c r="C58" s="537" t="s">
        <v>1821</v>
      </c>
      <c r="D58" s="181"/>
      <c r="E58" s="181"/>
      <c r="F58" s="181"/>
      <c r="G58" s="181"/>
      <c r="H58" s="181"/>
    </row>
    <row r="59" spans="1:11" s="25" customFormat="1" ht="15" customHeight="1">
      <c r="A59" s="529"/>
      <c r="B59" s="529"/>
      <c r="C59" s="539"/>
      <c r="G59" s="181"/>
    </row>
    <row r="60" spans="1:11" s="25" customFormat="1" ht="15" customHeight="1">
      <c r="A60" s="529"/>
      <c r="B60" s="529"/>
      <c r="C60" s="25" t="s">
        <v>1837</v>
      </c>
      <c r="G60" s="181"/>
    </row>
    <row r="61" spans="1:11" ht="13.8">
      <c r="A61" s="165"/>
      <c r="B61" s="165"/>
      <c r="C61" s="166"/>
      <c r="D61" s="166"/>
      <c r="E61" s="166"/>
      <c r="F61" s="166"/>
      <c r="G61" s="166"/>
      <c r="H61" s="58"/>
      <c r="I61" s="58"/>
      <c r="J61" s="58"/>
      <c r="K61" s="58"/>
    </row>
    <row r="62" spans="1:11" ht="13.8">
      <c r="A62" s="58"/>
      <c r="B62" s="58"/>
      <c r="C62" s="58"/>
      <c r="D62" s="58"/>
      <c r="E62" s="58"/>
      <c r="F62" s="58"/>
      <c r="G62" s="58"/>
      <c r="H62" s="58"/>
      <c r="I62" s="58"/>
      <c r="J62" s="58"/>
      <c r="K62" s="58"/>
    </row>
    <row r="63" spans="1:11" ht="13.8">
      <c r="A63" s="58"/>
      <c r="B63" s="58"/>
      <c r="C63" s="58"/>
      <c r="D63" s="58"/>
      <c r="E63" s="58"/>
      <c r="F63" s="58"/>
      <c r="G63" s="58"/>
      <c r="H63" s="58"/>
      <c r="I63" s="58"/>
      <c r="J63" s="58"/>
      <c r="K63" s="58"/>
    </row>
    <row r="64" spans="1:11" ht="13.8">
      <c r="A64" s="58"/>
      <c r="B64" s="58"/>
      <c r="C64" s="58"/>
      <c r="D64" s="58"/>
      <c r="E64" s="58"/>
      <c r="F64" s="58"/>
      <c r="G64" s="58"/>
      <c r="H64" s="58"/>
      <c r="I64" s="58"/>
      <c r="J64" s="58"/>
      <c r="K64" s="58"/>
    </row>
  </sheetData>
  <sheetProtection algorithmName="SHA-512" hashValue="n/yjFdhc1S2WRY8whhrgOP8VLVMGdCdcKRbvqotp9kBkxgsIoE+exemw/HBH/i4UVjqobVfhWuxoNnwqL2JVqA==" saltValue="kGchPwfFfad4q8XJuO+ZOg==" spinCount="100000" sheet="1" objects="1" scenarios="1"/>
  <customSheetViews>
    <customSheetView guid="{B321D76C-CDE5-48BB-9CDE-80FF97D58FCF}" scale="90" showPageBreaks="1" fitToPage="1" printArea="1" view="pageBreakPreview">
      <selection activeCell="I11" sqref="I11"/>
      <pageMargins left="0.7" right="0.7" top="0.75" bottom="0.75" header="0.3" footer="0.3"/>
      <pageSetup scale="59" orientation="landscape" r:id="rId1"/>
    </customSheetView>
  </customSheetViews>
  <mergeCells count="3">
    <mergeCell ref="G8:N8"/>
    <mergeCell ref="A4:N4"/>
    <mergeCell ref="A5:N5"/>
  </mergeCells>
  <pageMargins left="0.7" right="0.7" top="0.75" bottom="0.75" header="0.3" footer="0.3"/>
  <pageSetup scale="57"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7">
    <tabColor theme="9"/>
    <pageSetUpPr fitToPage="1"/>
  </sheetPr>
  <dimension ref="A1:Y284"/>
  <sheetViews>
    <sheetView showGridLines="0" defaultGridColor="0" view="pageBreakPreview" colorId="22" zoomScale="80" zoomScaleNormal="80" zoomScaleSheetLayoutView="80" workbookViewId="0">
      <selection activeCell="D24" sqref="D24"/>
    </sheetView>
  </sheetViews>
  <sheetFormatPr defaultColWidth="15.44140625" defaultRowHeight="12"/>
  <cols>
    <col min="1" max="1" width="4.109375" customWidth="1"/>
    <col min="2" max="2" width="27.44140625" customWidth="1"/>
    <col min="3" max="3" width="16.21875" bestFit="1" customWidth="1"/>
    <col min="4" max="4" width="19" customWidth="1"/>
    <col min="5" max="5" width="5.44140625" customWidth="1"/>
    <col min="6" max="6" width="23.44140625" customWidth="1"/>
    <col min="7" max="7" width="3.44140625" customWidth="1"/>
    <col min="8" max="8" width="15.44140625" bestFit="1" customWidth="1"/>
    <col min="9" max="9" width="3.77734375" customWidth="1"/>
    <col min="10" max="10" width="21.44140625" bestFit="1" customWidth="1"/>
    <col min="11" max="11" width="29.109375" customWidth="1"/>
    <col min="12" max="12" width="21.44140625" bestFit="1" customWidth="1"/>
    <col min="13" max="13" width="3.33203125" customWidth="1"/>
    <col min="14" max="14" width="11" customWidth="1"/>
    <col min="15" max="15" width="2.44140625" customWidth="1"/>
    <col min="16" max="16" width="17.5546875" customWidth="1"/>
    <col min="17" max="17" width="2.77734375" customWidth="1"/>
    <col min="18" max="18" width="11.44140625" customWidth="1"/>
  </cols>
  <sheetData>
    <row r="1" spans="1:25" s="7" customFormat="1" ht="21">
      <c r="A1" s="360" t="s">
        <v>916</v>
      </c>
      <c r="C1" s="83"/>
      <c r="D1" s="3"/>
      <c r="E1" s="3"/>
      <c r="F1" s="3"/>
      <c r="G1" s="3"/>
      <c r="H1" s="3"/>
      <c r="I1" s="3"/>
      <c r="J1" s="3"/>
      <c r="K1" s="3"/>
      <c r="L1" s="3"/>
      <c r="M1" s="3"/>
      <c r="O1" s="3"/>
      <c r="P1" s="122"/>
      <c r="Q1" s="3"/>
      <c r="R1" s="3"/>
      <c r="S1" s="3"/>
      <c r="T1" s="3"/>
      <c r="U1" s="3"/>
      <c r="V1" s="3"/>
      <c r="W1" s="3"/>
      <c r="X1" s="3"/>
      <c r="Y1" s="3"/>
    </row>
    <row r="2" spans="1:25" s="8" customFormat="1" ht="17.399999999999999">
      <c r="A2" s="1"/>
      <c r="C2" s="1"/>
      <c r="D2" s="1"/>
      <c r="E2" s="1"/>
      <c r="F2" s="1"/>
      <c r="G2" s="1"/>
      <c r="H2" s="1"/>
      <c r="I2" s="1"/>
      <c r="J2" s="1"/>
      <c r="K2" s="1"/>
      <c r="L2" s="1"/>
      <c r="M2" s="1"/>
      <c r="Q2" s="821"/>
      <c r="R2" s="1"/>
      <c r="S2" s="1"/>
      <c r="T2" s="1"/>
      <c r="U2" s="1"/>
      <c r="V2" s="1"/>
      <c r="W2" s="1"/>
      <c r="X2" s="1"/>
      <c r="Y2" s="1"/>
    </row>
    <row r="3" spans="1:25" ht="16.5" customHeight="1">
      <c r="A3" s="2"/>
      <c r="B3" s="2"/>
      <c r="C3" s="2"/>
      <c r="D3" s="2"/>
      <c r="E3" s="2"/>
      <c r="F3" s="2"/>
      <c r="G3" s="2"/>
      <c r="H3" s="2"/>
      <c r="I3" s="2"/>
      <c r="J3" s="2"/>
      <c r="K3" s="2"/>
      <c r="L3" s="2"/>
      <c r="M3" s="2"/>
      <c r="N3" s="2"/>
      <c r="O3" s="2"/>
      <c r="P3" s="2"/>
      <c r="Q3" s="2"/>
      <c r="R3" s="2"/>
      <c r="S3" s="2"/>
      <c r="T3" s="2"/>
      <c r="U3" s="2"/>
      <c r="V3" s="2"/>
      <c r="W3" s="2"/>
      <c r="X3" s="2"/>
      <c r="Y3" s="2"/>
    </row>
    <row r="4" spans="1:25" s="7" customFormat="1" ht="15.6">
      <c r="A4" s="1980" t="s">
        <v>199</v>
      </c>
      <c r="B4" s="1980"/>
      <c r="C4" s="1980"/>
      <c r="D4" s="1980"/>
      <c r="E4" s="1980"/>
      <c r="F4" s="1980"/>
      <c r="G4" s="1980"/>
      <c r="H4" s="1980"/>
      <c r="I4" s="1980"/>
      <c r="J4" s="1980"/>
      <c r="K4" s="1980"/>
      <c r="L4" s="1980"/>
      <c r="M4" s="1980"/>
      <c r="N4" s="1980"/>
      <c r="O4" s="1980"/>
      <c r="P4" s="1980"/>
      <c r="Q4" s="1980"/>
      <c r="R4" s="6"/>
      <c r="S4" s="6"/>
      <c r="T4" s="6"/>
      <c r="U4" s="6"/>
      <c r="V4" s="6"/>
      <c r="W4" s="6"/>
      <c r="X4" s="6"/>
      <c r="Y4" s="6"/>
    </row>
    <row r="5" spans="1:25" s="7" customFormat="1" ht="15.6">
      <c r="A5" s="1980" t="s">
        <v>103</v>
      </c>
      <c r="B5" s="1980"/>
      <c r="C5" s="1980"/>
      <c r="D5" s="1980"/>
      <c r="E5" s="1980"/>
      <c r="F5" s="1980"/>
      <c r="G5" s="1980"/>
      <c r="H5" s="1980"/>
      <c r="I5" s="1980"/>
      <c r="J5" s="1980"/>
      <c r="K5" s="1980"/>
      <c r="L5" s="1980"/>
      <c r="M5" s="1980"/>
      <c r="N5" s="1980"/>
      <c r="O5" s="1980"/>
      <c r="P5" s="1980"/>
      <c r="Q5" s="1980"/>
      <c r="R5" s="6"/>
      <c r="S5" s="6"/>
      <c r="T5" s="6"/>
      <c r="U5" s="6"/>
      <c r="V5" s="6"/>
      <c r="W5" s="6"/>
      <c r="X5" s="6"/>
      <c r="Y5" s="6"/>
    </row>
    <row r="6" spans="1:25" s="7" customFormat="1" ht="18" customHeight="1">
      <c r="A6" s="1981" t="str">
        <f>SUMMARY!$A$7</f>
        <v>YEAR ENDING DECEMBER 31, 2021</v>
      </c>
      <c r="B6" s="1981"/>
      <c r="C6" s="1981"/>
      <c r="D6" s="1981"/>
      <c r="E6" s="1981"/>
      <c r="F6" s="1981"/>
      <c r="G6" s="1981"/>
      <c r="H6" s="1981"/>
      <c r="I6" s="1981"/>
      <c r="J6" s="1981"/>
      <c r="K6" s="1981"/>
      <c r="L6" s="1981"/>
      <c r="M6" s="1981"/>
      <c r="N6" s="1981"/>
      <c r="O6" s="1981"/>
      <c r="P6" s="1981"/>
      <c r="Q6" s="1981"/>
      <c r="R6" s="6"/>
      <c r="S6" s="6"/>
      <c r="T6" s="6"/>
      <c r="U6" s="6"/>
      <c r="V6" s="6"/>
      <c r="W6" s="6"/>
      <c r="X6" s="6"/>
      <c r="Y6" s="6"/>
    </row>
    <row r="7" spans="1:25" s="7" customFormat="1" ht="15">
      <c r="A7" s="6"/>
      <c r="B7" s="6"/>
      <c r="C7" s="6"/>
      <c r="D7" s="6"/>
      <c r="E7" s="6"/>
      <c r="F7" s="6"/>
      <c r="G7" s="6"/>
      <c r="H7" s="6"/>
      <c r="I7" s="6"/>
      <c r="J7" s="6"/>
      <c r="K7" s="6"/>
      <c r="L7" s="6"/>
      <c r="M7" s="6"/>
      <c r="N7" s="6"/>
      <c r="O7" s="6"/>
      <c r="P7" s="6"/>
      <c r="Q7" s="6"/>
      <c r="R7" s="6"/>
      <c r="S7" s="6"/>
      <c r="T7" s="6"/>
      <c r="U7" s="6"/>
      <c r="V7" s="6"/>
      <c r="W7" s="6"/>
      <c r="X7" s="6"/>
      <c r="Y7" s="6"/>
    </row>
    <row r="8" spans="1:25" s="7" customFormat="1" ht="15.6">
      <c r="A8" s="1982" t="s">
        <v>915</v>
      </c>
      <c r="B8" s="1982"/>
      <c r="C8" s="1982"/>
      <c r="D8" s="1982"/>
      <c r="E8" s="1982"/>
      <c r="F8" s="1982"/>
      <c r="G8" s="1982"/>
      <c r="H8" s="1982"/>
      <c r="I8" s="1982"/>
      <c r="J8" s="1982"/>
      <c r="K8" s="1982"/>
      <c r="L8" s="1982"/>
      <c r="M8" s="1982"/>
      <c r="N8" s="1982"/>
      <c r="O8" s="1982"/>
      <c r="P8" s="1982"/>
      <c r="Q8" s="1982"/>
      <c r="R8" s="6"/>
      <c r="S8" s="6"/>
      <c r="T8" s="6"/>
      <c r="U8" s="6"/>
      <c r="V8" s="6"/>
      <c r="W8" s="6"/>
      <c r="X8" s="6"/>
      <c r="Y8" s="6"/>
    </row>
    <row r="9" spans="1:25" s="7" customFormat="1" ht="15.6">
      <c r="A9" s="1980" t="s">
        <v>204</v>
      </c>
      <c r="B9" s="1980"/>
      <c r="C9" s="1980"/>
      <c r="D9" s="1980"/>
      <c r="E9" s="1980"/>
      <c r="F9" s="1980"/>
      <c r="G9" s="1980"/>
      <c r="H9" s="1980"/>
      <c r="I9" s="1980"/>
      <c r="J9" s="1980"/>
      <c r="K9" s="1980"/>
      <c r="L9" s="1980"/>
      <c r="M9" s="1980"/>
      <c r="N9" s="1980"/>
      <c r="O9" s="1980"/>
      <c r="P9" s="1980"/>
      <c r="Q9" s="1980"/>
      <c r="R9" s="6"/>
      <c r="S9" s="6"/>
      <c r="T9" s="6"/>
      <c r="U9" s="6"/>
      <c r="V9" s="6"/>
      <c r="W9" s="6"/>
      <c r="X9" s="6"/>
      <c r="Y9" s="6"/>
    </row>
    <row r="10" spans="1:25" s="7" customFormat="1" ht="15">
      <c r="A10" s="6"/>
      <c r="B10" s="6"/>
      <c r="C10" s="6"/>
      <c r="D10" s="6"/>
      <c r="E10" s="6"/>
      <c r="F10" s="6"/>
      <c r="G10" s="6"/>
      <c r="H10" s="6"/>
      <c r="I10" s="6"/>
      <c r="J10" s="6"/>
      <c r="K10" s="6"/>
      <c r="L10" s="6"/>
      <c r="M10" s="6"/>
      <c r="N10" s="6"/>
      <c r="O10" s="6"/>
      <c r="P10" s="6"/>
      <c r="Q10" s="6"/>
      <c r="R10" s="6"/>
      <c r="S10" s="6"/>
      <c r="T10" s="6"/>
      <c r="U10" s="6"/>
      <c r="V10" s="6"/>
      <c r="W10" s="6"/>
      <c r="X10" s="6"/>
      <c r="Y10" s="6"/>
    </row>
    <row r="11" spans="1:25" s="121" customFormat="1" ht="15.6">
      <c r="A11" s="3"/>
      <c r="B11" s="3"/>
      <c r="C11" s="3"/>
      <c r="D11" s="3"/>
      <c r="E11" s="3"/>
      <c r="F11" s="3"/>
      <c r="G11" s="3"/>
      <c r="H11" s="811"/>
      <c r="I11" s="3"/>
      <c r="J11" s="3"/>
      <c r="K11" s="3"/>
      <c r="L11" s="3"/>
      <c r="M11" s="3"/>
      <c r="N11" s="3"/>
      <c r="O11" s="3"/>
      <c r="P11" s="3"/>
      <c r="Q11" s="3"/>
      <c r="R11" s="3"/>
      <c r="S11" s="3"/>
      <c r="T11" s="3"/>
      <c r="U11" s="3"/>
      <c r="V11" s="3"/>
      <c r="W11" s="3"/>
      <c r="X11" s="3"/>
      <c r="Y11" s="3"/>
    </row>
    <row r="12" spans="1:25" s="121" customFormat="1" ht="15.6">
      <c r="A12" s="3"/>
      <c r="B12" s="3"/>
      <c r="C12" s="3"/>
      <c r="D12" s="3"/>
      <c r="E12" s="3"/>
      <c r="F12" s="3"/>
      <c r="G12" s="3"/>
      <c r="H12" s="811" t="s">
        <v>24</v>
      </c>
      <c r="I12" s="3"/>
      <c r="J12" s="811" t="s">
        <v>1095</v>
      </c>
      <c r="K12" s="3"/>
      <c r="L12" s="3"/>
      <c r="M12" s="3"/>
      <c r="O12" s="3"/>
      <c r="P12" s="3"/>
      <c r="Q12" s="3"/>
      <c r="R12" s="3"/>
      <c r="S12" s="3"/>
      <c r="T12" s="3"/>
      <c r="U12" s="3"/>
      <c r="V12" s="3"/>
      <c r="W12" s="3"/>
      <c r="X12" s="3"/>
      <c r="Y12" s="3"/>
    </row>
    <row r="13" spans="1:25" s="121" customFormat="1" ht="15.6">
      <c r="A13" s="3"/>
      <c r="B13" s="3"/>
      <c r="C13" s="3"/>
      <c r="D13" s="3"/>
      <c r="E13" s="3"/>
      <c r="F13" s="3"/>
      <c r="G13" s="3"/>
      <c r="H13" s="811" t="s">
        <v>25</v>
      </c>
      <c r="I13" s="3"/>
      <c r="J13" s="811" t="s">
        <v>26</v>
      </c>
      <c r="K13" s="3"/>
      <c r="L13" s="811" t="s">
        <v>32</v>
      </c>
      <c r="M13" s="3"/>
      <c r="N13" s="811" t="s">
        <v>46</v>
      </c>
      <c r="O13" s="3"/>
      <c r="P13" s="811" t="s">
        <v>48</v>
      </c>
      <c r="Q13" s="3"/>
      <c r="R13" s="3"/>
      <c r="S13" s="3"/>
      <c r="T13" s="3"/>
      <c r="U13" s="3"/>
      <c r="V13" s="3"/>
      <c r="W13" s="3"/>
      <c r="X13" s="3"/>
      <c r="Y13" s="3"/>
    </row>
    <row r="14" spans="1:25" s="121" customFormat="1" ht="15.6">
      <c r="A14" s="3"/>
      <c r="B14" s="540" t="s">
        <v>49</v>
      </c>
      <c r="C14" s="3"/>
      <c r="D14" s="811" t="s">
        <v>27</v>
      </c>
      <c r="E14" s="3"/>
      <c r="F14" s="811" t="s">
        <v>32</v>
      </c>
      <c r="G14" s="3"/>
      <c r="H14" s="811" t="s">
        <v>61</v>
      </c>
      <c r="I14" s="3"/>
      <c r="J14" s="811" t="s">
        <v>814</v>
      </c>
      <c r="K14" s="3"/>
      <c r="L14" s="811" t="s">
        <v>814</v>
      </c>
      <c r="M14" s="3"/>
      <c r="N14" s="811" t="s">
        <v>47</v>
      </c>
      <c r="O14" s="3"/>
      <c r="P14" s="811" t="s">
        <v>49</v>
      </c>
      <c r="Q14" s="3"/>
      <c r="R14" s="3"/>
      <c r="S14" s="3"/>
      <c r="T14" s="3"/>
      <c r="U14" s="3"/>
      <c r="V14" s="3"/>
      <c r="W14" s="3"/>
      <c r="X14" s="3"/>
      <c r="Y14" s="3"/>
    </row>
    <row r="15" spans="1:25" s="121" customFormat="1" ht="15.6">
      <c r="A15" s="3"/>
      <c r="B15" s="3"/>
      <c r="C15" s="3"/>
      <c r="D15" s="290" t="s">
        <v>812</v>
      </c>
      <c r="E15" s="3"/>
      <c r="F15" s="290" t="s">
        <v>813</v>
      </c>
      <c r="G15" s="3"/>
      <c r="H15" s="290" t="s">
        <v>1094</v>
      </c>
      <c r="I15" s="3"/>
      <c r="J15" s="290" t="s">
        <v>285</v>
      </c>
      <c r="K15" s="3"/>
      <c r="L15" s="290" t="s">
        <v>832</v>
      </c>
      <c r="M15" s="3"/>
      <c r="N15" s="290" t="s">
        <v>1096</v>
      </c>
      <c r="O15" s="3"/>
      <c r="P15" s="290" t="s">
        <v>1104</v>
      </c>
      <c r="Q15" s="3"/>
      <c r="R15" s="3"/>
      <c r="S15" s="3"/>
      <c r="T15" s="3"/>
      <c r="U15" s="3"/>
      <c r="V15" s="3"/>
      <c r="W15" s="3"/>
      <c r="X15" s="3"/>
      <c r="Y15" s="3"/>
    </row>
    <row r="16" spans="1:25" s="121" customFormat="1" ht="15">
      <c r="A16" s="3"/>
      <c r="B16" s="3"/>
      <c r="C16" s="3"/>
      <c r="D16" s="291" t="s">
        <v>6</v>
      </c>
      <c r="E16" s="3"/>
      <c r="F16" s="291" t="s">
        <v>7</v>
      </c>
      <c r="G16" s="3"/>
      <c r="H16" s="291" t="s">
        <v>8</v>
      </c>
      <c r="I16" s="3"/>
      <c r="J16" s="291" t="s">
        <v>9</v>
      </c>
      <c r="K16" s="3"/>
      <c r="L16" s="291" t="s">
        <v>28</v>
      </c>
      <c r="M16" s="3"/>
      <c r="N16" s="291" t="s">
        <v>29</v>
      </c>
      <c r="O16" s="3"/>
      <c r="P16" s="291" t="s">
        <v>50</v>
      </c>
      <c r="Q16" s="3"/>
      <c r="R16" s="3"/>
      <c r="S16" s="3"/>
      <c r="T16" s="3"/>
      <c r="U16" s="3"/>
      <c r="V16" s="3"/>
      <c r="W16" s="3"/>
      <c r="X16" s="3"/>
      <c r="Y16" s="3"/>
    </row>
    <row r="17" spans="1:25" s="121" customFormat="1" ht="15">
      <c r="A17" s="3"/>
      <c r="B17" s="3"/>
      <c r="C17" s="3"/>
      <c r="D17" s="19"/>
      <c r="E17" s="19"/>
      <c r="F17" s="19"/>
      <c r="G17" s="19"/>
      <c r="H17" s="3"/>
      <c r="I17" s="3"/>
      <c r="J17" s="3"/>
      <c r="K17" s="3"/>
      <c r="L17" s="3"/>
      <c r="M17" s="3"/>
      <c r="N17" s="3"/>
      <c r="O17" s="3"/>
      <c r="P17" s="3"/>
      <c r="Q17" s="3"/>
      <c r="R17" s="3"/>
      <c r="S17" s="3"/>
      <c r="T17" s="3"/>
      <c r="U17" s="3"/>
      <c r="V17" s="3"/>
      <c r="W17" s="3"/>
      <c r="X17" s="3"/>
      <c r="Y17" s="3"/>
    </row>
    <row r="18" spans="1:25" s="121" customFormat="1" ht="15">
      <c r="A18" s="3"/>
      <c r="B18" s="3"/>
      <c r="C18" s="3"/>
      <c r="D18" s="19"/>
      <c r="E18" s="19"/>
      <c r="F18" s="19"/>
      <c r="G18" s="19"/>
      <c r="H18" s="3"/>
      <c r="I18" s="3"/>
      <c r="J18" s="3"/>
      <c r="K18" s="3"/>
      <c r="L18" s="3"/>
      <c r="M18" s="3"/>
      <c r="N18" s="3"/>
      <c r="O18" s="3"/>
      <c r="P18" s="3"/>
      <c r="Q18" s="3"/>
      <c r="R18" s="3"/>
      <c r="S18" s="3"/>
      <c r="T18" s="3"/>
      <c r="U18" s="3"/>
      <c r="V18" s="3"/>
      <c r="W18" s="3"/>
      <c r="X18" s="3"/>
      <c r="Y18" s="3"/>
    </row>
    <row r="19" spans="1:25" s="121" customFormat="1" ht="15.6">
      <c r="A19" s="3">
        <v>1</v>
      </c>
      <c r="B19" s="4" t="s">
        <v>51</v>
      </c>
      <c r="C19" s="3"/>
      <c r="D19" s="541">
        <f>'B2-Plant'!T40</f>
        <v>1008991436.8199993</v>
      </c>
      <c r="E19" s="491" t="s">
        <v>360</v>
      </c>
      <c r="F19" s="542">
        <f>'B2-Plant'!T54</f>
        <v>441109923.53210008</v>
      </c>
      <c r="G19" s="491" t="s">
        <v>361</v>
      </c>
      <c r="H19" s="756">
        <f>+'E1-Labor Ratio'!H21</f>
        <v>0.35069999486318831</v>
      </c>
      <c r="I19" s="3"/>
      <c r="J19" s="543">
        <f>F19*H19</f>
        <v>154697247.9168089</v>
      </c>
      <c r="K19" s="544"/>
      <c r="L19" s="543">
        <f>D19+J19</f>
        <v>1163688684.7368083</v>
      </c>
      <c r="M19" s="3"/>
      <c r="N19" s="3"/>
      <c r="O19" s="3"/>
      <c r="P19" s="3"/>
      <c r="Q19" s="3"/>
      <c r="R19" s="3"/>
      <c r="S19" s="3"/>
      <c r="T19" s="3"/>
      <c r="U19" s="3"/>
      <c r="V19" s="3"/>
      <c r="W19" s="3"/>
      <c r="X19" s="3"/>
      <c r="Y19" s="3"/>
    </row>
    <row r="20" spans="1:25" s="121" customFormat="1" ht="15">
      <c r="A20" s="3"/>
      <c r="B20" s="3"/>
      <c r="C20" s="3"/>
      <c r="D20" s="506"/>
      <c r="E20" s="19"/>
      <c r="F20" s="19"/>
      <c r="G20" s="19"/>
      <c r="H20" s="702"/>
      <c r="I20" s="3"/>
      <c r="J20" s="3"/>
      <c r="K20" s="3"/>
      <c r="L20" s="3"/>
      <c r="M20" s="3"/>
      <c r="N20" s="3"/>
      <c r="O20" s="3"/>
      <c r="P20" s="3"/>
      <c r="Q20" s="3"/>
      <c r="R20" s="3"/>
      <c r="S20" s="3"/>
      <c r="T20" s="3"/>
      <c r="U20" s="3"/>
      <c r="V20" s="3"/>
      <c r="W20" s="3"/>
      <c r="X20" s="3"/>
      <c r="Y20" s="3"/>
    </row>
    <row r="21" spans="1:25" s="121" customFormat="1" ht="15.6">
      <c r="A21" s="3">
        <v>2</v>
      </c>
      <c r="B21" s="4" t="s">
        <v>52</v>
      </c>
      <c r="C21" s="3"/>
      <c r="D21" s="506"/>
      <c r="E21" s="19"/>
      <c r="F21" s="19"/>
      <c r="G21" s="19"/>
      <c r="H21" s="702"/>
      <c r="I21" s="3"/>
      <c r="J21" s="3"/>
      <c r="K21" s="3"/>
      <c r="L21" s="3"/>
      <c r="M21" s="3"/>
      <c r="N21" s="3"/>
      <c r="O21" s="3"/>
      <c r="P21" s="3"/>
      <c r="Q21" s="3"/>
      <c r="R21" s="3"/>
      <c r="S21" s="3"/>
      <c r="T21" s="3"/>
      <c r="U21" s="3"/>
      <c r="V21" s="3"/>
      <c r="W21" s="3"/>
      <c r="X21" s="3"/>
      <c r="Y21" s="3"/>
    </row>
    <row r="22" spans="1:25" s="121" customFormat="1" ht="15">
      <c r="A22" s="3"/>
      <c r="B22" s="3"/>
      <c r="C22" s="3"/>
      <c r="D22" s="506"/>
      <c r="E22" s="19"/>
      <c r="F22" s="19"/>
      <c r="G22" s="19"/>
      <c r="H22" s="702"/>
      <c r="I22" s="3"/>
      <c r="J22" s="3"/>
      <c r="K22" s="3"/>
      <c r="L22" s="3"/>
      <c r="M22" s="3"/>
      <c r="N22" s="3"/>
      <c r="O22" s="3"/>
      <c r="P22" s="3"/>
      <c r="Q22" s="3"/>
      <c r="R22" s="3"/>
      <c r="S22" s="3"/>
      <c r="T22" s="3"/>
      <c r="U22" s="3"/>
      <c r="V22" s="3"/>
      <c r="W22" s="3"/>
      <c r="X22" s="3"/>
      <c r="Y22" s="3"/>
    </row>
    <row r="23" spans="1:25" s="121" customFormat="1" ht="15.6">
      <c r="A23" s="3">
        <v>3</v>
      </c>
      <c r="B23" s="580" t="s">
        <v>1097</v>
      </c>
      <c r="C23" s="3"/>
      <c r="D23" s="499">
        <f>('A1-O&amp;M'!J37+'A2-A&amp;G'!J40)/8</f>
        <v>21377244.353781991</v>
      </c>
      <c r="E23" s="19" t="s">
        <v>362</v>
      </c>
      <c r="F23" s="19"/>
      <c r="G23" s="19"/>
      <c r="H23" s="702"/>
      <c r="I23" s="3"/>
      <c r="J23" s="3"/>
      <c r="K23" s="3"/>
      <c r="L23" s="545">
        <f>D23+J23</f>
        <v>21377244.353781991</v>
      </c>
      <c r="M23" s="3"/>
      <c r="N23" s="3"/>
      <c r="O23" s="3"/>
      <c r="P23" s="3"/>
      <c r="Q23" s="3"/>
      <c r="R23" s="3"/>
      <c r="S23" s="1796"/>
      <c r="T23" s="3"/>
      <c r="U23" s="3"/>
      <c r="V23" s="3"/>
      <c r="W23" s="3"/>
      <c r="X23" s="3"/>
      <c r="Y23" s="3"/>
    </row>
    <row r="24" spans="1:25" s="121" customFormat="1" ht="15.6">
      <c r="A24" s="3">
        <v>4</v>
      </c>
      <c r="B24" s="580" t="s">
        <v>1098</v>
      </c>
      <c r="C24" s="3"/>
      <c r="D24" s="499">
        <f>+'WP-BD'!J51</f>
        <v>35949136.73999992</v>
      </c>
      <c r="E24" s="19" t="s">
        <v>363</v>
      </c>
      <c r="F24" s="19"/>
      <c r="G24" s="19"/>
      <c r="H24" s="702"/>
      <c r="I24" s="3"/>
      <c r="J24" s="3"/>
      <c r="K24" s="3"/>
      <c r="L24" s="546">
        <f>D24+J24</f>
        <v>35949136.73999992</v>
      </c>
      <c r="M24" s="3"/>
      <c r="N24" s="3"/>
      <c r="O24" s="3"/>
      <c r="P24" s="3"/>
      <c r="Q24" s="3"/>
      <c r="R24" s="3"/>
      <c r="S24" s="1796"/>
      <c r="T24" s="3"/>
      <c r="U24" s="3"/>
      <c r="V24" s="3"/>
      <c r="W24" s="3"/>
      <c r="X24" s="3"/>
      <c r="Y24" s="3"/>
    </row>
    <row r="25" spans="1:25" s="121" customFormat="1" ht="15.6">
      <c r="A25" s="3">
        <v>5</v>
      </c>
      <c r="B25" s="580" t="s">
        <v>1099</v>
      </c>
      <c r="C25" s="3"/>
      <c r="D25" s="547">
        <f>'WP-CA'!J30</f>
        <v>86544423.534999996</v>
      </c>
      <c r="E25" s="19" t="s">
        <v>819</v>
      </c>
      <c r="F25" s="19"/>
      <c r="G25" s="19"/>
      <c r="H25" s="756">
        <f>+'E1-Labor Ratio'!H21</f>
        <v>0.35069999486318831</v>
      </c>
      <c r="I25" s="3"/>
      <c r="J25" s="3"/>
      <c r="K25" s="3"/>
      <c r="L25" s="545">
        <f>D25*H25</f>
        <v>30351128.889162093</v>
      </c>
      <c r="M25" s="3"/>
      <c r="N25" s="3"/>
      <c r="O25" s="3"/>
      <c r="P25" s="3"/>
      <c r="Q25" s="3"/>
      <c r="R25" s="3"/>
      <c r="S25" s="1796"/>
      <c r="T25" s="3"/>
      <c r="U25" s="3"/>
      <c r="V25" s="3"/>
      <c r="W25" s="3"/>
      <c r="X25" s="3"/>
      <c r="Y25" s="3"/>
    </row>
    <row r="26" spans="1:25" s="121" customFormat="1" ht="15.6">
      <c r="A26" s="3">
        <v>6</v>
      </c>
      <c r="B26" s="581" t="s">
        <v>1100</v>
      </c>
      <c r="C26" s="549"/>
      <c r="D26" s="499">
        <f>'WP-CB'!F21</f>
        <v>19309633.5</v>
      </c>
      <c r="E26" s="19" t="s">
        <v>820</v>
      </c>
      <c r="F26" s="550"/>
      <c r="G26" s="19"/>
      <c r="H26" s="756">
        <f>+'E1-Labor Ratio'!H21</f>
        <v>0.35069999486318831</v>
      </c>
      <c r="I26" s="3"/>
      <c r="J26" s="551"/>
      <c r="K26" s="3"/>
      <c r="L26" s="546">
        <f>D26*H26</f>
        <v>6771888.3692600494</v>
      </c>
      <c r="M26" s="3"/>
      <c r="N26" s="3"/>
      <c r="O26" s="3"/>
      <c r="P26" s="3"/>
      <c r="Q26" s="3"/>
      <c r="R26" s="3"/>
      <c r="S26" s="1796"/>
      <c r="T26" s="3"/>
      <c r="U26" s="3"/>
      <c r="V26" s="3"/>
      <c r="W26" s="3"/>
      <c r="X26" s="3"/>
      <c r="Y26" s="3"/>
    </row>
    <row r="27" spans="1:25" s="121" customFormat="1" ht="15.6">
      <c r="A27" s="3">
        <v>7</v>
      </c>
      <c r="B27" s="581" t="s">
        <v>1101</v>
      </c>
      <c r="C27" s="549"/>
      <c r="D27" s="499">
        <f>D48</f>
        <v>75657945</v>
      </c>
      <c r="E27" s="19" t="s">
        <v>1700</v>
      </c>
      <c r="F27" s="550"/>
      <c r="G27" s="19"/>
      <c r="H27" s="702"/>
      <c r="I27" s="3"/>
      <c r="J27" s="551"/>
      <c r="K27" s="3"/>
      <c r="L27" s="545">
        <f>D27+J27</f>
        <v>75657945</v>
      </c>
      <c r="M27" s="3"/>
      <c r="N27" s="3"/>
      <c r="O27" s="3"/>
      <c r="P27" s="3"/>
      <c r="Q27" s="3"/>
      <c r="R27" s="3"/>
      <c r="S27" s="1796"/>
      <c r="T27" s="3"/>
      <c r="U27" s="3"/>
      <c r="V27" s="3"/>
      <c r="W27" s="3"/>
      <c r="X27" s="3"/>
      <c r="Y27" s="3"/>
    </row>
    <row r="28" spans="1:25" s="121" customFormat="1" ht="15.6">
      <c r="A28" s="3">
        <v>8</v>
      </c>
      <c r="B28" s="581" t="s">
        <v>1102</v>
      </c>
      <c r="C28" s="549"/>
      <c r="D28" s="499">
        <v>0</v>
      </c>
      <c r="E28" s="19" t="s">
        <v>1700</v>
      </c>
      <c r="F28" s="550"/>
      <c r="G28" s="19"/>
      <c r="H28" s="702"/>
      <c r="I28" s="3"/>
      <c r="J28" s="551"/>
      <c r="K28" s="3"/>
      <c r="L28" s="546"/>
      <c r="M28" s="3"/>
      <c r="N28" s="3"/>
      <c r="O28" s="3"/>
      <c r="P28" s="3"/>
      <c r="Q28" s="3"/>
      <c r="R28" s="3"/>
      <c r="S28" s="3"/>
      <c r="T28" s="3"/>
      <c r="U28" s="3"/>
      <c r="V28" s="3"/>
      <c r="W28" s="3"/>
      <c r="X28" s="3"/>
      <c r="Y28" s="3"/>
    </row>
    <row r="29" spans="1:25" s="121" customFormat="1" ht="15.6">
      <c r="A29" s="3">
        <v>9</v>
      </c>
      <c r="B29" s="581" t="s">
        <v>1103</v>
      </c>
      <c r="C29" s="549"/>
      <c r="D29" s="499">
        <v>0</v>
      </c>
      <c r="E29" s="19" t="s">
        <v>1700</v>
      </c>
      <c r="F29" s="550"/>
      <c r="G29" s="19"/>
      <c r="H29" s="702"/>
      <c r="I29" s="3"/>
      <c r="J29" s="551"/>
      <c r="K29" s="3"/>
      <c r="L29" s="546"/>
      <c r="M29" s="3"/>
      <c r="N29" s="3"/>
      <c r="O29" s="3"/>
      <c r="P29" s="3"/>
      <c r="Q29" s="3"/>
      <c r="R29" s="3"/>
      <c r="S29" s="3"/>
      <c r="T29" s="3"/>
      <c r="U29" s="3"/>
      <c r="V29" s="3"/>
      <c r="W29" s="3"/>
      <c r="X29" s="3"/>
      <c r="Y29" s="3"/>
    </row>
    <row r="30" spans="1:25" s="121" customFormat="1" ht="15">
      <c r="A30" s="3"/>
      <c r="B30" s="3"/>
      <c r="C30" s="3"/>
      <c r="D30" s="19"/>
      <c r="E30" s="19"/>
      <c r="F30" s="19"/>
      <c r="G30" s="19"/>
      <c r="H30" s="702"/>
      <c r="I30" s="3"/>
      <c r="J30" s="3"/>
      <c r="K30" s="3"/>
      <c r="L30" s="3"/>
      <c r="M30" s="3"/>
      <c r="N30" s="3"/>
      <c r="O30" s="3"/>
      <c r="P30" s="3"/>
      <c r="Q30" s="3"/>
      <c r="R30" s="3"/>
      <c r="S30" s="3"/>
      <c r="T30" s="3"/>
      <c r="U30" s="3"/>
      <c r="V30" s="3"/>
      <c r="W30" s="3"/>
      <c r="X30" s="3"/>
      <c r="Y30" s="3"/>
    </row>
    <row r="31" spans="1:25" s="121" customFormat="1" ht="15.6">
      <c r="A31" s="3">
        <v>10</v>
      </c>
      <c r="B31" s="552" t="s">
        <v>579</v>
      </c>
      <c r="C31" s="3"/>
      <c r="D31" s="553">
        <f>SUM(D19:D29)</f>
        <v>1247829819.9487813</v>
      </c>
      <c r="E31" s="554"/>
      <c r="F31" s="553">
        <f>SUM(F19:F29)</f>
        <v>441109923.53210008</v>
      </c>
      <c r="G31" s="19"/>
      <c r="H31" s="756">
        <f>+'E1-Labor Ratio'!H21</f>
        <v>0.35069999486318831</v>
      </c>
      <c r="I31" s="3"/>
      <c r="J31" s="553">
        <f>SUM(J19:J29)</f>
        <v>154697247.9168089</v>
      </c>
      <c r="K31" s="3"/>
      <c r="L31" s="555">
        <f>SUM(L19:L30)</f>
        <v>1333796028.0890124</v>
      </c>
      <c r="M31" s="3"/>
      <c r="N31" s="757">
        <f>'D1-Cap Structure'!H25</f>
        <v>6.7529670550321386E-2</v>
      </c>
      <c r="O31" s="3"/>
      <c r="P31" s="555">
        <f>L31*N31</f>
        <v>90070806.358178213</v>
      </c>
      <c r="Q31" s="3"/>
      <c r="R31" s="3"/>
      <c r="S31" s="3"/>
      <c r="T31" s="3"/>
      <c r="U31" s="3"/>
      <c r="V31" s="3"/>
      <c r="W31" s="3"/>
      <c r="X31" s="3"/>
      <c r="Y31" s="3"/>
    </row>
    <row r="32" spans="1:25" s="121" customFormat="1" ht="15">
      <c r="A32" s="3"/>
      <c r="B32" s="3"/>
      <c r="C32" s="3"/>
      <c r="D32" s="3"/>
      <c r="E32" s="3"/>
      <c r="F32" s="3"/>
      <c r="G32" s="3"/>
      <c r="H32" s="702"/>
      <c r="I32" s="3"/>
      <c r="J32" s="3"/>
      <c r="K32" s="3"/>
      <c r="L32" s="3"/>
      <c r="M32" s="3"/>
      <c r="N32" s="3"/>
      <c r="O32" s="3"/>
      <c r="P32" s="3"/>
      <c r="Q32" s="3"/>
      <c r="R32" s="3"/>
      <c r="S32" s="3"/>
      <c r="T32" s="3"/>
      <c r="U32" s="3"/>
      <c r="V32" s="3"/>
      <c r="W32" s="3"/>
      <c r="X32" s="3"/>
      <c r="Y32" s="3"/>
    </row>
    <row r="33" spans="1:25" s="121" customFormat="1" ht="15">
      <c r="A33" s="3"/>
      <c r="B33" s="3"/>
      <c r="C33" s="3"/>
      <c r="D33" s="3"/>
      <c r="E33" s="3"/>
      <c r="F33" s="3"/>
      <c r="G33" s="3"/>
      <c r="H33" s="702"/>
      <c r="I33" s="3"/>
      <c r="J33" s="3"/>
      <c r="K33" s="3"/>
      <c r="L33" s="3"/>
      <c r="M33" s="3"/>
      <c r="N33" s="3"/>
      <c r="O33" s="3"/>
      <c r="P33" s="3"/>
      <c r="Q33" s="3"/>
      <c r="R33" s="3"/>
      <c r="S33" s="3"/>
      <c r="T33" s="3"/>
      <c r="U33" s="3"/>
      <c r="V33" s="3"/>
      <c r="W33" s="3"/>
      <c r="X33" s="3"/>
      <c r="Y33" s="3"/>
    </row>
    <row r="34" spans="1:25" s="121" customFormat="1" ht="15.6">
      <c r="A34" s="3"/>
      <c r="B34" s="13" t="s">
        <v>917</v>
      </c>
      <c r="C34" s="3"/>
      <c r="D34" s="3"/>
      <c r="E34" s="3"/>
      <c r="F34" s="3"/>
      <c r="G34" s="3"/>
      <c r="H34" s="702"/>
      <c r="I34" s="3"/>
      <c r="J34" s="3"/>
      <c r="K34" s="3"/>
      <c r="L34" s="3"/>
      <c r="M34" s="3"/>
      <c r="N34" s="3"/>
      <c r="O34" s="3"/>
      <c r="P34" s="3"/>
      <c r="Q34" s="3"/>
      <c r="R34" s="3"/>
      <c r="S34" s="3"/>
      <c r="T34" s="3"/>
      <c r="U34" s="3"/>
      <c r="V34" s="3"/>
      <c r="W34" s="3"/>
      <c r="X34" s="3"/>
      <c r="Y34" s="3"/>
    </row>
    <row r="35" spans="1:25" s="121" customFormat="1" ht="15">
      <c r="A35" s="3"/>
      <c r="B35" s="19"/>
      <c r="C35" s="3"/>
      <c r="D35" s="3"/>
      <c r="E35" s="3"/>
      <c r="F35" s="3"/>
      <c r="G35" s="3"/>
      <c r="H35" s="3"/>
      <c r="I35" s="3"/>
      <c r="J35" s="3"/>
      <c r="K35" s="3"/>
      <c r="L35" s="3"/>
      <c r="M35" s="3"/>
      <c r="N35" s="3"/>
      <c r="O35" s="3"/>
      <c r="P35" s="3"/>
      <c r="Q35" s="3"/>
      <c r="R35" s="3"/>
      <c r="S35" s="3"/>
      <c r="T35" s="3"/>
      <c r="U35" s="3"/>
      <c r="V35" s="3"/>
      <c r="W35" s="3"/>
      <c r="X35" s="3"/>
      <c r="Y35" s="3"/>
    </row>
    <row r="36" spans="1:25" s="121" customFormat="1" ht="15.6">
      <c r="A36" s="3"/>
      <c r="B36" s="13" t="s">
        <v>918</v>
      </c>
      <c r="C36" s="3"/>
      <c r="D36" s="3"/>
      <c r="E36" s="3"/>
      <c r="F36" s="3"/>
      <c r="G36" s="3"/>
      <c r="H36" s="3"/>
      <c r="I36" s="3"/>
      <c r="J36" s="3"/>
      <c r="K36" s="3"/>
      <c r="L36" s="3"/>
      <c r="M36" s="3"/>
      <c r="N36" s="3"/>
      <c r="O36" s="3"/>
      <c r="P36" s="702"/>
      <c r="Q36" s="3"/>
      <c r="R36" s="3"/>
      <c r="S36" s="3"/>
      <c r="T36" s="3"/>
      <c r="U36" s="3"/>
      <c r="V36" s="3"/>
      <c r="W36" s="3"/>
      <c r="X36" s="3"/>
      <c r="Y36" s="3"/>
    </row>
    <row r="37" spans="1:25" s="121" customFormat="1" ht="15">
      <c r="A37" s="3"/>
      <c r="B37" s="19"/>
      <c r="C37" s="3"/>
      <c r="D37" s="3"/>
      <c r="E37" s="3"/>
      <c r="F37" s="3"/>
      <c r="G37" s="3"/>
      <c r="H37" s="3"/>
      <c r="I37" s="3"/>
      <c r="J37" s="3"/>
      <c r="K37" s="3"/>
      <c r="L37" s="3"/>
      <c r="M37" s="3"/>
      <c r="N37" s="3"/>
      <c r="O37" s="3"/>
      <c r="P37" s="3"/>
      <c r="Q37" s="3"/>
      <c r="R37" s="3"/>
      <c r="S37" s="3"/>
      <c r="T37" s="3"/>
      <c r="U37" s="3"/>
      <c r="V37" s="3"/>
      <c r="W37" s="3"/>
      <c r="X37" s="3"/>
      <c r="Y37" s="3"/>
    </row>
    <row r="38" spans="1:25" s="121" customFormat="1" ht="15.6">
      <c r="A38" s="3"/>
      <c r="B38" s="556" t="s">
        <v>1064</v>
      </c>
      <c r="C38" s="3"/>
      <c r="D38" s="549"/>
      <c r="E38" s="3"/>
      <c r="F38" s="3"/>
      <c r="G38" s="3"/>
      <c r="H38" s="3"/>
      <c r="I38" s="3"/>
      <c r="J38" s="3"/>
      <c r="K38" s="3"/>
      <c r="L38" s="3"/>
      <c r="M38" s="3"/>
      <c r="N38" s="3"/>
      <c r="O38" s="3"/>
      <c r="P38" s="3"/>
      <c r="Q38" s="3"/>
      <c r="R38" s="3"/>
      <c r="S38" s="3"/>
      <c r="T38" s="3"/>
      <c r="U38" s="3"/>
      <c r="V38" s="3"/>
      <c r="W38" s="3"/>
      <c r="X38" s="3"/>
      <c r="Y38" s="3"/>
    </row>
    <row r="39" spans="1:25" s="121" customFormat="1" ht="15">
      <c r="A39" s="3"/>
      <c r="B39" s="19"/>
      <c r="C39" s="3"/>
      <c r="D39" s="3"/>
      <c r="E39" s="3"/>
      <c r="F39" s="3"/>
      <c r="G39" s="3"/>
      <c r="H39" s="3"/>
      <c r="I39" s="3"/>
      <c r="J39" s="3"/>
      <c r="K39" s="3"/>
      <c r="L39" s="3"/>
      <c r="M39" s="3"/>
      <c r="N39" s="3"/>
      <c r="O39" s="3"/>
      <c r="P39" s="3"/>
      <c r="Q39" s="3"/>
      <c r="R39" s="3"/>
      <c r="S39" s="3"/>
      <c r="T39" s="3"/>
      <c r="U39" s="3"/>
      <c r="V39" s="3"/>
      <c r="W39" s="3"/>
      <c r="X39" s="3"/>
      <c r="Y39" s="3"/>
    </row>
    <row r="40" spans="1:25" s="121" customFormat="1" ht="15.6">
      <c r="A40" s="3"/>
      <c r="B40" s="556" t="s">
        <v>921</v>
      </c>
      <c r="C40" s="3"/>
      <c r="D40" s="3"/>
      <c r="E40" s="3"/>
      <c r="F40" s="3"/>
      <c r="G40" s="3"/>
      <c r="H40" s="3"/>
      <c r="I40" s="3"/>
      <c r="J40" s="3"/>
      <c r="K40" s="3"/>
      <c r="L40" s="3"/>
      <c r="M40" s="3"/>
      <c r="N40" s="3"/>
      <c r="O40" s="3"/>
      <c r="P40" s="3"/>
      <c r="Q40" s="3"/>
      <c r="R40" s="3"/>
      <c r="S40" s="3"/>
      <c r="T40" s="3"/>
      <c r="U40" s="3"/>
      <c r="V40" s="3"/>
      <c r="W40" s="3"/>
      <c r="X40" s="3"/>
      <c r="Y40" s="3"/>
    </row>
    <row r="41" spans="1:25" s="121" customFormat="1" ht="15">
      <c r="A41" s="3"/>
      <c r="B41" s="19"/>
      <c r="C41" s="3"/>
      <c r="D41" s="3"/>
      <c r="E41" s="3"/>
      <c r="F41" s="3"/>
      <c r="G41" s="3"/>
      <c r="H41" s="3"/>
      <c r="I41" s="3"/>
      <c r="J41" s="3"/>
      <c r="K41" s="3"/>
      <c r="L41" s="3"/>
      <c r="M41" s="3"/>
      <c r="N41" s="3"/>
      <c r="O41" s="3"/>
      <c r="P41" s="3"/>
      <c r="Q41" s="3"/>
      <c r="R41" s="3"/>
      <c r="S41" s="3"/>
      <c r="T41" s="3"/>
      <c r="U41" s="3"/>
      <c r="V41" s="3"/>
      <c r="W41" s="3"/>
      <c r="X41" s="3"/>
      <c r="Y41" s="3"/>
    </row>
    <row r="42" spans="1:25" s="121" customFormat="1" ht="15.6">
      <c r="A42" s="3"/>
      <c r="B42" s="13" t="s">
        <v>1793</v>
      </c>
      <c r="C42" s="3"/>
      <c r="D42" s="3"/>
      <c r="E42" s="3"/>
      <c r="F42" s="3"/>
      <c r="G42" s="3"/>
      <c r="H42" s="3"/>
      <c r="I42" s="3"/>
      <c r="J42" s="3"/>
      <c r="K42" s="3"/>
      <c r="L42" s="3"/>
      <c r="M42" s="3"/>
      <c r="N42" s="3"/>
      <c r="O42" s="3"/>
      <c r="P42" s="3"/>
      <c r="Q42" s="3"/>
      <c r="R42" s="3"/>
      <c r="S42" s="3"/>
      <c r="T42" s="3"/>
      <c r="U42" s="3"/>
      <c r="V42" s="3"/>
      <c r="W42" s="3"/>
      <c r="X42" s="3"/>
      <c r="Y42" s="3"/>
    </row>
    <row r="43" spans="1:25" s="121" customFormat="1" ht="15">
      <c r="A43" s="3"/>
      <c r="B43" s="19"/>
      <c r="C43" s="3"/>
      <c r="D43" s="3"/>
      <c r="E43" s="3"/>
      <c r="F43" s="3"/>
      <c r="G43" s="3"/>
      <c r="H43" s="3"/>
      <c r="I43" s="3"/>
      <c r="J43" s="3"/>
      <c r="K43" s="3"/>
      <c r="L43" s="3"/>
      <c r="M43" s="3"/>
      <c r="N43" s="3"/>
      <c r="O43" s="3"/>
      <c r="P43" s="3"/>
      <c r="Q43" s="3"/>
      <c r="R43" s="3"/>
      <c r="S43" s="3"/>
      <c r="T43" s="3"/>
      <c r="U43" s="3"/>
      <c r="V43" s="3"/>
      <c r="W43" s="3"/>
      <c r="X43" s="3"/>
      <c r="Y43" s="3"/>
    </row>
    <row r="44" spans="1:25" s="121" customFormat="1" ht="15.6">
      <c r="A44" s="3"/>
      <c r="B44" s="13" t="s">
        <v>1701</v>
      </c>
      <c r="C44" s="3"/>
      <c r="D44" s="3"/>
      <c r="E44" s="3"/>
      <c r="F44" s="3"/>
      <c r="G44" s="3"/>
      <c r="H44" s="3"/>
      <c r="I44" s="3"/>
      <c r="J44" s="3"/>
      <c r="K44" s="3"/>
      <c r="L44" s="3"/>
      <c r="M44" s="3"/>
      <c r="N44" s="3"/>
      <c r="O44" s="3"/>
      <c r="P44" s="3"/>
      <c r="Q44" s="3"/>
      <c r="R44" s="3"/>
      <c r="S44" s="3"/>
      <c r="T44" s="3"/>
      <c r="U44" s="3"/>
      <c r="V44" s="3"/>
      <c r="W44" s="3"/>
      <c r="X44" s="3"/>
      <c r="Y44" s="3"/>
    </row>
    <row r="45" spans="1:25" s="121" customFormat="1" ht="15">
      <c r="A45" s="3"/>
      <c r="B45" s="19"/>
      <c r="C45" s="3"/>
      <c r="D45" s="3"/>
      <c r="E45" s="3"/>
      <c r="F45" s="3"/>
      <c r="G45" s="3"/>
      <c r="H45" s="3"/>
      <c r="I45" s="3"/>
      <c r="J45" s="3"/>
      <c r="K45" s="3"/>
      <c r="L45" s="3"/>
      <c r="M45" s="3"/>
      <c r="N45" s="3"/>
      <c r="O45" s="3"/>
      <c r="P45" s="3"/>
      <c r="Q45" s="3"/>
      <c r="R45" s="3"/>
      <c r="S45" s="3"/>
      <c r="T45" s="3"/>
      <c r="U45" s="3"/>
      <c r="V45" s="3"/>
      <c r="W45" s="3"/>
      <c r="X45" s="3"/>
      <c r="Y45" s="3"/>
    </row>
    <row r="46" spans="1:25" s="121" customFormat="1" ht="15.6">
      <c r="A46" s="3"/>
      <c r="B46" s="13" t="s">
        <v>1762</v>
      </c>
      <c r="C46" s="3"/>
      <c r="D46" s="3"/>
      <c r="E46" s="3"/>
      <c r="F46" s="3"/>
      <c r="G46" s="3"/>
      <c r="H46" s="3"/>
      <c r="I46" s="3"/>
      <c r="J46" s="3"/>
      <c r="K46" s="3"/>
      <c r="L46" s="3"/>
      <c r="M46" s="3"/>
      <c r="N46" s="3"/>
      <c r="O46" s="3"/>
      <c r="P46" s="3"/>
      <c r="Q46" s="3"/>
      <c r="R46" s="3"/>
      <c r="S46" s="3"/>
      <c r="T46" s="3"/>
      <c r="U46" s="3"/>
      <c r="V46" s="3"/>
      <c r="W46" s="3"/>
      <c r="X46" s="3"/>
      <c r="Y46" s="3"/>
    </row>
    <row r="47" spans="1:25" s="121" customFormat="1" ht="15">
      <c r="A47" s="3"/>
      <c r="B47" s="3"/>
      <c r="C47" s="364" t="s">
        <v>577</v>
      </c>
      <c r="D47" s="364" t="s">
        <v>578</v>
      </c>
      <c r="E47" s="3"/>
      <c r="F47" s="3"/>
      <c r="G47" s="3"/>
      <c r="H47" s="3"/>
      <c r="I47" s="3"/>
      <c r="J47" s="3"/>
      <c r="K47" s="3"/>
      <c r="L47" s="3"/>
      <c r="M47" s="3"/>
      <c r="N47" s="3"/>
      <c r="O47" s="3"/>
      <c r="P47" s="3"/>
      <c r="Q47" s="3"/>
      <c r="R47" s="3"/>
      <c r="S47" s="3"/>
      <c r="T47" s="3"/>
      <c r="U47" s="3"/>
      <c r="V47" s="3"/>
      <c r="W47" s="3"/>
      <c r="X47" s="3"/>
      <c r="Y47" s="3"/>
    </row>
    <row r="48" spans="1:25" s="121" customFormat="1" ht="15">
      <c r="A48" s="3"/>
      <c r="B48" s="3"/>
      <c r="C48" s="865" t="s">
        <v>2009</v>
      </c>
      <c r="D48" s="865">
        <v>75657945</v>
      </c>
      <c r="E48" s="3"/>
      <c r="F48" s="3"/>
      <c r="G48" s="3"/>
      <c r="H48" s="3"/>
      <c r="I48" s="3"/>
      <c r="J48" s="3"/>
      <c r="K48" s="3"/>
      <c r="L48" s="3"/>
      <c r="M48" s="3"/>
      <c r="N48" s="3"/>
      <c r="O48" s="3"/>
      <c r="P48" s="3"/>
      <c r="Q48" s="3"/>
      <c r="R48" s="3"/>
      <c r="S48" s="3"/>
      <c r="T48" s="3"/>
      <c r="U48" s="3"/>
      <c r="V48" s="3"/>
      <c r="W48" s="3"/>
      <c r="X48" s="3"/>
      <c r="Y48" s="3"/>
    </row>
    <row r="49" spans="1:25" s="121" customFormat="1" ht="15">
      <c r="A49" s="3"/>
      <c r="B49" s="3"/>
      <c r="C49" s="866"/>
      <c r="D49" s="866"/>
      <c r="E49" s="3"/>
      <c r="F49" s="3"/>
      <c r="G49" s="3"/>
      <c r="H49" s="3"/>
      <c r="I49" s="3"/>
      <c r="J49" s="3"/>
      <c r="K49" s="3"/>
      <c r="L49" s="3"/>
      <c r="M49" s="3"/>
      <c r="N49" s="3"/>
      <c r="O49" s="3"/>
      <c r="P49" s="3"/>
      <c r="Q49" s="3"/>
      <c r="R49" s="3"/>
      <c r="S49" s="3"/>
      <c r="T49" s="3"/>
      <c r="U49" s="3"/>
      <c r="V49" s="3"/>
      <c r="W49" s="3"/>
      <c r="X49" s="3"/>
      <c r="Y49" s="3"/>
    </row>
    <row r="50" spans="1:25" s="121" customFormat="1" ht="15">
      <c r="A50" s="3"/>
      <c r="B50" s="3"/>
      <c r="C50" s="866"/>
      <c r="D50" s="866"/>
      <c r="E50" s="3"/>
      <c r="F50" s="3"/>
      <c r="G50" s="3"/>
      <c r="H50" s="3"/>
      <c r="I50" s="3"/>
      <c r="J50" s="3"/>
      <c r="K50" s="3"/>
      <c r="L50" s="3"/>
      <c r="M50" s="3"/>
      <c r="N50" s="3"/>
      <c r="O50" s="3"/>
      <c r="P50" s="3"/>
      <c r="Q50" s="3"/>
      <c r="R50" s="3"/>
      <c r="S50" s="3"/>
      <c r="T50" s="3"/>
      <c r="U50" s="3"/>
      <c r="V50" s="3"/>
      <c r="W50" s="3"/>
      <c r="X50" s="3"/>
      <c r="Y50" s="3"/>
    </row>
    <row r="51" spans="1:25" s="7" customFormat="1" ht="15">
      <c r="A51" s="6"/>
      <c r="B51" s="6"/>
      <c r="C51" s="6"/>
      <c r="D51" s="6"/>
      <c r="E51" s="6"/>
      <c r="F51" s="6"/>
      <c r="G51" s="6"/>
      <c r="H51" s="6"/>
      <c r="I51" s="6"/>
      <c r="J51" s="6"/>
      <c r="K51" s="6"/>
      <c r="L51" s="6"/>
      <c r="M51" s="6"/>
      <c r="N51" s="6"/>
      <c r="O51" s="6"/>
      <c r="P51" s="6"/>
      <c r="Q51" s="6"/>
      <c r="R51" s="6"/>
      <c r="S51" s="6"/>
      <c r="T51" s="6"/>
      <c r="U51" s="6"/>
      <c r="V51" s="6"/>
      <c r="W51" s="6"/>
      <c r="X51" s="6"/>
      <c r="Y51" s="6"/>
    </row>
    <row r="52" spans="1:25" s="7" customFormat="1" ht="15">
      <c r="A52" s="6"/>
      <c r="B52" s="6"/>
      <c r="C52" s="6"/>
      <c r="D52" s="6"/>
      <c r="E52" s="6"/>
      <c r="F52" s="6"/>
      <c r="G52" s="6"/>
      <c r="H52" s="6"/>
      <c r="I52" s="6"/>
      <c r="J52" s="6"/>
      <c r="K52" s="6"/>
      <c r="L52" s="6"/>
      <c r="M52" s="6"/>
      <c r="N52" s="6"/>
      <c r="O52" s="6"/>
      <c r="P52" s="6"/>
      <c r="Q52" s="6"/>
      <c r="R52" s="6"/>
      <c r="S52" s="6"/>
      <c r="T52" s="6"/>
      <c r="U52" s="6"/>
      <c r="V52" s="6"/>
      <c r="W52" s="6"/>
      <c r="X52" s="6"/>
      <c r="Y52" s="6"/>
    </row>
    <row r="53" spans="1:25" s="7" customFormat="1" ht="15"/>
    <row r="54" spans="1:25" s="7" customFormat="1" ht="15">
      <c r="F54" s="1795"/>
    </row>
    <row r="55" spans="1:25" s="7" customFormat="1" ht="15"/>
    <row r="56" spans="1:25" s="7" customFormat="1" ht="15"/>
    <row r="57" spans="1:25" s="7" customFormat="1" ht="15"/>
    <row r="58" spans="1:25" s="7" customFormat="1" ht="15"/>
    <row r="59" spans="1:25" s="7" customFormat="1" ht="15"/>
    <row r="60" spans="1:25" s="7" customFormat="1" ht="15"/>
    <row r="61" spans="1:25" s="7" customFormat="1" ht="15"/>
    <row r="62" spans="1:25" s="7" customFormat="1" ht="15"/>
    <row r="63" spans="1:25" s="7" customFormat="1" ht="15"/>
    <row r="64" spans="1:25"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row r="87" s="7" customFormat="1" ht="15"/>
    <row r="88" s="7" customFormat="1" ht="15"/>
    <row r="89" s="7" customFormat="1" ht="15"/>
    <row r="90" s="7" customFormat="1" ht="15"/>
    <row r="91" s="7" customFormat="1" ht="15"/>
    <row r="92" s="7" customFormat="1" ht="15"/>
    <row r="93" s="7" customFormat="1" ht="15"/>
    <row r="94" s="7" customFormat="1" ht="15"/>
    <row r="95" s="7" customFormat="1" ht="15"/>
    <row r="96" s="7" customFormat="1" ht="15"/>
    <row r="97" s="7" customFormat="1" ht="15"/>
    <row r="98" s="7" customFormat="1" ht="15"/>
    <row r="99" s="7" customFormat="1" ht="15"/>
    <row r="100" s="7" customFormat="1" ht="15"/>
    <row r="101" s="7" customFormat="1" ht="15"/>
    <row r="102" s="7" customFormat="1" ht="15"/>
    <row r="103" s="7" customFormat="1" ht="15"/>
    <row r="104" s="7" customFormat="1" ht="15"/>
    <row r="105" s="7" customFormat="1" ht="15"/>
    <row r="106" s="7" customFormat="1" ht="15"/>
    <row r="107" s="7" customFormat="1" ht="15"/>
    <row r="108" s="7" customFormat="1" ht="15"/>
    <row r="109" s="7" customFormat="1" ht="15"/>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row r="193" s="7" customFormat="1" ht="15"/>
    <row r="194" s="7" customFormat="1" ht="15"/>
    <row r="195" s="7" customFormat="1" ht="15"/>
    <row r="196" s="7" customFormat="1" ht="15"/>
    <row r="197" s="7" customFormat="1" ht="15"/>
    <row r="198" s="7" customFormat="1" ht="15"/>
    <row r="199" s="7" customFormat="1" ht="15"/>
    <row r="200" s="7" customFormat="1" ht="15"/>
    <row r="201" s="7" customFormat="1" ht="15"/>
    <row r="202" s="7" customFormat="1" ht="15"/>
    <row r="203" s="7" customFormat="1" ht="15"/>
    <row r="204" s="7" customFormat="1" ht="15"/>
    <row r="205" s="7" customFormat="1" ht="15"/>
    <row r="206" s="7" customFormat="1" ht="15"/>
    <row r="207" s="7" customFormat="1" ht="15"/>
    <row r="208" s="7" customFormat="1" ht="15"/>
    <row r="209" s="7" customFormat="1" ht="15"/>
    <row r="210" s="7" customFormat="1" ht="15"/>
    <row r="211" s="7" customFormat="1" ht="15"/>
    <row r="212" s="7" customFormat="1" ht="15"/>
    <row r="213" s="7" customFormat="1" ht="15"/>
    <row r="214" s="7" customFormat="1" ht="15"/>
    <row r="215" s="7" customFormat="1" ht="15"/>
    <row r="216" s="7" customFormat="1" ht="15"/>
    <row r="217" s="7" customFormat="1" ht="15"/>
    <row r="218" s="7" customFormat="1" ht="15"/>
    <row r="219" s="7" customFormat="1" ht="15"/>
    <row r="220" s="7" customFormat="1" ht="15"/>
    <row r="221" s="7" customFormat="1" ht="15"/>
    <row r="222" s="7" customFormat="1" ht="15"/>
    <row r="223" s="7" customFormat="1" ht="15"/>
    <row r="224" s="7" customFormat="1" ht="15"/>
    <row r="225" s="7" customFormat="1" ht="15"/>
    <row r="226" s="7" customFormat="1" ht="15"/>
    <row r="227" s="7" customFormat="1" ht="15"/>
    <row r="228" s="7" customFormat="1" ht="15"/>
    <row r="229" s="7" customFormat="1" ht="15"/>
    <row r="230" s="7" customFormat="1" ht="15"/>
    <row r="231" s="7" customFormat="1" ht="15"/>
    <row r="232" s="7" customFormat="1" ht="15"/>
    <row r="233" s="7" customFormat="1" ht="15"/>
    <row r="234" s="7" customFormat="1" ht="15"/>
    <row r="235" s="7" customFormat="1" ht="15"/>
    <row r="236" s="7" customFormat="1" ht="15"/>
    <row r="237" s="7" customFormat="1" ht="15"/>
    <row r="238" s="7" customFormat="1" ht="15"/>
    <row r="239" s="7" customFormat="1" ht="15"/>
    <row r="240" s="7" customFormat="1" ht="15"/>
    <row r="241" s="7" customFormat="1" ht="15"/>
    <row r="242" s="7" customFormat="1" ht="15"/>
    <row r="243" s="7" customFormat="1" ht="15"/>
    <row r="244" s="7" customFormat="1" ht="15"/>
    <row r="245" s="7" customFormat="1" ht="15"/>
    <row r="246" s="7" customFormat="1" ht="15"/>
    <row r="247" s="7" customFormat="1" ht="15"/>
    <row r="248" s="7" customFormat="1" ht="15"/>
    <row r="249" s="7" customFormat="1" ht="15"/>
    <row r="250" s="7" customFormat="1" ht="15"/>
    <row r="251" s="7" customFormat="1" ht="15"/>
    <row r="252" s="7" customFormat="1" ht="15"/>
    <row r="253" s="7" customFormat="1" ht="15"/>
    <row r="254" s="7" customFormat="1" ht="15"/>
    <row r="255" s="7" customFormat="1" ht="15"/>
    <row r="256" s="7" customFormat="1" ht="15"/>
    <row r="257" s="7" customFormat="1" ht="15"/>
    <row r="258" s="7" customFormat="1" ht="15"/>
    <row r="259" s="7" customFormat="1" ht="15"/>
    <row r="260" s="7" customFormat="1" ht="15"/>
    <row r="261" s="7" customFormat="1" ht="15"/>
    <row r="262" s="7" customFormat="1" ht="15"/>
    <row r="263" s="7" customFormat="1" ht="15"/>
    <row r="264" s="7" customFormat="1" ht="15"/>
    <row r="265" s="7" customFormat="1" ht="15"/>
    <row r="266" s="7" customFormat="1" ht="15"/>
    <row r="267" s="7" customFormat="1" ht="15"/>
    <row r="268" s="7" customFormat="1" ht="15"/>
    <row r="269" s="7" customFormat="1" ht="15"/>
    <row r="270" s="7" customFormat="1" ht="15"/>
    <row r="271" s="7" customFormat="1" ht="15"/>
    <row r="272" s="7" customFormat="1" ht="15"/>
    <row r="273" s="7" customFormat="1" ht="15"/>
    <row r="274" s="7" customFormat="1" ht="15"/>
    <row r="275" s="7" customFormat="1" ht="15"/>
    <row r="276" s="7" customFormat="1" ht="15"/>
    <row r="277" s="7" customFormat="1" ht="15"/>
    <row r="278" s="7" customFormat="1" ht="15"/>
    <row r="279" s="7" customFormat="1" ht="15"/>
    <row r="280" s="7" customFormat="1" ht="15"/>
    <row r="281" s="7" customFormat="1" ht="15"/>
    <row r="282" s="7" customFormat="1" ht="15"/>
    <row r="283" s="7" customFormat="1" ht="15"/>
    <row r="284" s="7" customFormat="1" ht="15"/>
  </sheetData>
  <customSheetViews>
    <customSheetView guid="{B321D76C-CDE5-48BB-9CDE-80FF97D58FCF}" scale="70" colorId="22" showPageBreaks="1" showGridLines="0" fitToPage="1" printArea="1" view="pageBreakPreview" topLeftCell="A7">
      <selection activeCell="H38" sqref="H38"/>
      <pageMargins left="0.25" right="0.25" top="0.5" bottom="0.5" header="0.5" footer="0.5"/>
      <printOptions horizontalCentered="1"/>
      <pageSetup scale="57" orientation="landscape" r:id="rId1"/>
      <headerFooter alignWithMargins="0"/>
    </customSheetView>
  </customSheetViews>
  <mergeCells count="5">
    <mergeCell ref="A4:Q4"/>
    <mergeCell ref="A5:Q5"/>
    <mergeCell ref="A9:Q9"/>
    <mergeCell ref="A6:Q6"/>
    <mergeCell ref="A8:Q8"/>
  </mergeCells>
  <phoneticPr fontId="0" type="noConversion"/>
  <printOptions horizontalCentered="1"/>
  <pageMargins left="0.25" right="0.25" top="0.5" bottom="0.5" header="0.5" footer="0.5"/>
  <pageSetup scale="57"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8">
    <tabColor rgb="FF7030A0"/>
    <pageSetUpPr fitToPage="1"/>
  </sheetPr>
  <dimension ref="A1:L36"/>
  <sheetViews>
    <sheetView showGridLines="0" defaultGridColor="0" view="pageBreakPreview" colorId="22" zoomScale="80" zoomScaleNormal="70" zoomScaleSheetLayoutView="80" workbookViewId="0">
      <selection activeCell="H65" sqref="H65"/>
    </sheetView>
  </sheetViews>
  <sheetFormatPr defaultColWidth="9.44140625" defaultRowHeight="12"/>
  <cols>
    <col min="1" max="1" width="2.44140625" style="12" customWidth="1"/>
    <col min="2" max="2" width="9.44140625" style="12" customWidth="1"/>
    <col min="3" max="3" width="30.44140625" style="12" bestFit="1" customWidth="1"/>
    <col min="4" max="4" width="26.44140625" style="12" bestFit="1" customWidth="1"/>
    <col min="5" max="5" width="6.77734375" style="12" customWidth="1"/>
    <col min="6" max="6" width="14.44140625" style="12" bestFit="1" customWidth="1"/>
    <col min="7" max="7" width="6.109375" style="12" customWidth="1"/>
    <col min="8" max="8" width="15" style="12" customWidth="1"/>
    <col min="9" max="9" width="5" style="12" customWidth="1"/>
    <col min="10" max="10" width="24.33203125" style="12" bestFit="1" customWidth="1"/>
    <col min="11" max="11" width="29.109375" style="12" customWidth="1"/>
    <col min="12" max="12" width="5.44140625" style="12" customWidth="1"/>
    <col min="13" max="16384" width="9.44140625" style="12"/>
  </cols>
  <sheetData>
    <row r="1" spans="1:12" s="85" customFormat="1" ht="15.6">
      <c r="A1" s="126" t="s">
        <v>920</v>
      </c>
      <c r="B1" s="122"/>
      <c r="C1" s="86"/>
      <c r="J1" s="122"/>
      <c r="L1" s="87"/>
    </row>
    <row r="2" spans="1:12" ht="15.6">
      <c r="A2" s="19"/>
      <c r="C2" s="13"/>
      <c r="D2" s="19"/>
      <c r="E2" s="19"/>
      <c r="F2" s="19"/>
      <c r="G2" s="19"/>
      <c r="H2" s="19"/>
    </row>
    <row r="3" spans="1:12" ht="15">
      <c r="A3" s="19"/>
      <c r="B3" s="19"/>
      <c r="D3" s="19"/>
      <c r="E3" s="19"/>
      <c r="F3" s="19"/>
      <c r="G3" s="19"/>
      <c r="H3" s="19"/>
      <c r="I3" s="19"/>
      <c r="J3" s="19"/>
    </row>
    <row r="6" spans="1:12" ht="15.6">
      <c r="A6" s="1995" t="s">
        <v>199</v>
      </c>
      <c r="B6" s="1995"/>
      <c r="C6" s="1995"/>
      <c r="D6" s="1995"/>
      <c r="E6" s="1995"/>
      <c r="F6" s="1995"/>
      <c r="G6" s="1995"/>
      <c r="H6" s="1995"/>
      <c r="I6" s="1995"/>
      <c r="J6" s="1995"/>
      <c r="K6" s="1995"/>
      <c r="L6" s="1995"/>
    </row>
    <row r="7" spans="1:12" ht="15.6">
      <c r="A7" s="1995" t="s">
        <v>103</v>
      </c>
      <c r="B7" s="1995"/>
      <c r="C7" s="1995"/>
      <c r="D7" s="1995"/>
      <c r="E7" s="1995"/>
      <c r="F7" s="1995"/>
      <c r="G7" s="1995"/>
      <c r="H7" s="1995"/>
      <c r="I7" s="1995"/>
      <c r="J7" s="1995"/>
      <c r="K7" s="1995"/>
      <c r="L7" s="1995"/>
    </row>
    <row r="8" spans="1:12" ht="15.6">
      <c r="A8" s="1981" t="str">
        <f>SUMMARY!A7</f>
        <v>YEAR ENDING DECEMBER 31, 2021</v>
      </c>
      <c r="B8" s="1981"/>
      <c r="C8" s="1981"/>
      <c r="D8" s="1981"/>
      <c r="E8" s="1981"/>
      <c r="F8" s="1981"/>
      <c r="G8" s="1981"/>
      <c r="H8" s="1981"/>
      <c r="I8" s="1981"/>
      <c r="J8" s="1981"/>
      <c r="K8" s="1981"/>
      <c r="L8" s="1981"/>
    </row>
    <row r="9" spans="1:12" ht="15.6">
      <c r="A9" s="817"/>
      <c r="B9" s="817"/>
      <c r="C9" s="817"/>
      <c r="D9" s="817"/>
      <c r="E9" s="817"/>
      <c r="F9" s="817"/>
      <c r="G9" s="817"/>
      <c r="H9" s="817"/>
      <c r="I9" s="817"/>
      <c r="J9" s="817"/>
      <c r="K9" s="817"/>
      <c r="L9" s="817"/>
    </row>
    <row r="10" spans="1:12" ht="15.6">
      <c r="A10" s="1979" t="s">
        <v>919</v>
      </c>
      <c r="B10" s="1979"/>
      <c r="C10" s="1979"/>
      <c r="D10" s="1979"/>
      <c r="E10" s="1979"/>
      <c r="F10" s="1979"/>
      <c r="G10" s="1979"/>
      <c r="H10" s="1979"/>
      <c r="I10" s="1979"/>
      <c r="J10" s="1979"/>
      <c r="K10" s="1979"/>
      <c r="L10" s="1979"/>
    </row>
    <row r="11" spans="1:12" ht="15.6">
      <c r="A11" s="1995" t="s">
        <v>747</v>
      </c>
      <c r="B11" s="1995"/>
      <c r="C11" s="1995"/>
      <c r="D11" s="1995"/>
      <c r="E11" s="1995"/>
      <c r="F11" s="1995"/>
      <c r="G11" s="1995"/>
      <c r="H11" s="1995"/>
      <c r="I11" s="1995"/>
      <c r="J11" s="1995"/>
      <c r="K11" s="1995"/>
      <c r="L11" s="1995"/>
    </row>
    <row r="12" spans="1:12" ht="15.6">
      <c r="A12" s="1995"/>
      <c r="B12" s="1995"/>
      <c r="C12" s="1995"/>
      <c r="D12" s="1995"/>
      <c r="E12" s="1995"/>
      <c r="F12" s="1995"/>
      <c r="G12" s="1995"/>
      <c r="H12" s="1995"/>
      <c r="I12" s="1995"/>
      <c r="J12" s="1995"/>
      <c r="K12" s="1995"/>
      <c r="L12" s="1995"/>
    </row>
    <row r="14" spans="1:12" s="25" customFormat="1" ht="13.2"/>
    <row r="15" spans="1:12" s="25" customFormat="1" ht="15.6">
      <c r="H15" s="817"/>
    </row>
    <row r="16" spans="1:12" s="509" customFormat="1" ht="15.6">
      <c r="A16" s="20"/>
      <c r="B16" s="20"/>
      <c r="C16" s="20"/>
      <c r="D16" s="817" t="s">
        <v>833</v>
      </c>
      <c r="E16" s="20"/>
      <c r="F16" s="817" t="s">
        <v>834</v>
      </c>
      <c r="G16" s="20"/>
      <c r="H16" s="557" t="s">
        <v>836</v>
      </c>
      <c r="I16" s="20"/>
      <c r="J16" s="558"/>
    </row>
    <row r="17" spans="1:10" s="509" customFormat="1" ht="31.2">
      <c r="A17" s="20"/>
      <c r="B17" s="471" t="s">
        <v>1</v>
      </c>
      <c r="C17" s="471" t="s">
        <v>54</v>
      </c>
      <c r="D17" s="471" t="s">
        <v>1765</v>
      </c>
      <c r="E17" s="582"/>
      <c r="F17" s="471" t="s">
        <v>1766</v>
      </c>
      <c r="G17" s="582"/>
      <c r="H17" s="558" t="s">
        <v>835</v>
      </c>
      <c r="I17" s="582"/>
      <c r="J17" s="558" t="s">
        <v>55</v>
      </c>
    </row>
    <row r="18" spans="1:10" s="25" customFormat="1" ht="15.6">
      <c r="A18" s="19"/>
      <c r="C18" s="19"/>
      <c r="D18" s="559" t="s">
        <v>192</v>
      </c>
      <c r="E18" s="19"/>
      <c r="F18" s="559" t="s">
        <v>193</v>
      </c>
      <c r="G18" s="19"/>
      <c r="H18" s="559" t="s">
        <v>194</v>
      </c>
      <c r="I18" s="19"/>
      <c r="J18" s="559" t="s">
        <v>195</v>
      </c>
    </row>
    <row r="19" spans="1:10" s="25" customFormat="1" ht="13.2"/>
    <row r="20" spans="1:10" s="25" customFormat="1" ht="13.2">
      <c r="H20" s="152"/>
    </row>
    <row r="21" spans="1:10" s="25" customFormat="1" ht="15.6">
      <c r="A21" s="19"/>
      <c r="B21" s="817">
        <v>1</v>
      </c>
      <c r="C21" s="817" t="s">
        <v>1105</v>
      </c>
      <c r="D21" s="560">
        <f>+'WP-DA'!K14</f>
        <v>0.5</v>
      </c>
      <c r="E21" s="19"/>
      <c r="F21" s="561">
        <f>'WP-DA'!M14</f>
        <v>4.0559341100642764E-2</v>
      </c>
      <c r="G21" s="19"/>
      <c r="H21" s="561">
        <f>D21*F21</f>
        <v>2.0279670550321382E-2</v>
      </c>
      <c r="I21" s="19"/>
      <c r="J21" s="19" t="s">
        <v>749</v>
      </c>
    </row>
    <row r="22" spans="1:10" s="25" customFormat="1" ht="15">
      <c r="A22" s="19"/>
      <c r="B22" s="20"/>
      <c r="C22" s="19"/>
      <c r="D22" s="562"/>
      <c r="E22" s="19"/>
      <c r="F22" s="563"/>
      <c r="G22" s="19"/>
      <c r="H22" s="563"/>
      <c r="I22" s="19"/>
      <c r="J22" s="19"/>
    </row>
    <row r="23" spans="1:10" s="25" customFormat="1" ht="15.6">
      <c r="A23" s="19"/>
      <c r="B23" s="817">
        <v>2</v>
      </c>
      <c r="C23" s="471" t="s">
        <v>56</v>
      </c>
      <c r="D23" s="564">
        <f>+'WP-DA'!K18</f>
        <v>0.5</v>
      </c>
      <c r="E23" s="19"/>
      <c r="F23" s="565">
        <f>'WP-DA'!M18</f>
        <v>9.4500000000000001E-2</v>
      </c>
      <c r="G23" s="19"/>
      <c r="H23" s="758">
        <f>D23*F23</f>
        <v>4.725E-2</v>
      </c>
      <c r="I23" s="19"/>
      <c r="J23" s="19" t="s">
        <v>749</v>
      </c>
    </row>
    <row r="24" spans="1:10" s="25" customFormat="1" ht="15">
      <c r="A24" s="19"/>
      <c r="B24" s="20"/>
      <c r="C24" s="19"/>
      <c r="D24" s="562"/>
      <c r="E24" s="19"/>
      <c r="F24" s="19"/>
      <c r="G24" s="19"/>
      <c r="H24" s="563"/>
      <c r="I24" s="19"/>
      <c r="J24" s="19"/>
    </row>
    <row r="25" spans="1:10" s="25" customFormat="1" ht="15.6">
      <c r="A25" s="19"/>
      <c r="B25" s="817">
        <v>3</v>
      </c>
      <c r="C25" s="817" t="s">
        <v>57</v>
      </c>
      <c r="D25" s="560">
        <f>SUM(D21:D23)</f>
        <v>1</v>
      </c>
      <c r="E25" s="19"/>
      <c r="F25" s="19"/>
      <c r="G25" s="19"/>
      <c r="H25" s="750">
        <f>SUM(H21:H23)</f>
        <v>6.7529670550321386E-2</v>
      </c>
      <c r="I25" s="19"/>
      <c r="J25" s="19" t="s">
        <v>750</v>
      </c>
    </row>
    <row r="26" spans="1:10" s="25" customFormat="1" ht="13.2">
      <c r="H26" s="152"/>
    </row>
    <row r="27" spans="1:10" s="25" customFormat="1" ht="13.2"/>
    <row r="28" spans="1:10" s="82" customFormat="1" ht="15">
      <c r="B28" s="82" t="s">
        <v>341</v>
      </c>
    </row>
    <row r="29" spans="1:10" s="82" customFormat="1" ht="15">
      <c r="B29" s="82" t="s">
        <v>1783</v>
      </c>
    </row>
    <row r="30" spans="1:10" s="82" customFormat="1" ht="15">
      <c r="B30" s="82" t="s">
        <v>1777</v>
      </c>
    </row>
    <row r="31" spans="1:10" s="82" customFormat="1" ht="15">
      <c r="B31" s="82" t="s">
        <v>1782</v>
      </c>
    </row>
    <row r="32" spans="1:10" s="82" customFormat="1" ht="15">
      <c r="B32" s="82" t="s">
        <v>1778</v>
      </c>
    </row>
    <row r="33" s="82" customFormat="1" ht="15"/>
    <row r="34" s="82" customFormat="1" ht="15"/>
    <row r="35" s="82" customFormat="1" ht="15"/>
    <row r="36" s="82" customFormat="1" ht="15"/>
  </sheetData>
  <sheetProtection algorithmName="SHA-512" hashValue="REvByhfOFEiInMNMyolk0B07ABXGHCODL/jmXIt5yOdnqkHSEMLrzZv85pof9OLDP36OBEpNOQhcKwriQw55eg==" saltValue="6qdRjl8iPX5NAeU5OiDeWw==" spinCount="100000" sheet="1" objects="1" scenarios="1"/>
  <customSheetViews>
    <customSheetView guid="{B321D76C-CDE5-48BB-9CDE-80FF97D58FCF}" colorId="22" showPageBreaks="1" showGridLines="0" fitToPage="1" printArea="1" view="pageBreakPreview" topLeftCell="A13">
      <selection activeCell="B29" sqref="B29"/>
      <pageMargins left="0.25" right="0.25" top="0.25" bottom="0.25" header="0.5" footer="0.5"/>
      <printOptions horizontalCentered="1"/>
      <pageSetup scale="77" orientation="landscape" r:id="rId1"/>
      <headerFooter alignWithMargins="0"/>
    </customSheetView>
  </customSheetViews>
  <mergeCells count="6">
    <mergeCell ref="A12:L12"/>
    <mergeCell ref="A6:L6"/>
    <mergeCell ref="A7:L7"/>
    <mergeCell ref="A11:L11"/>
    <mergeCell ref="A10:L10"/>
    <mergeCell ref="A8:L8"/>
  </mergeCells>
  <phoneticPr fontId="0" type="noConversion"/>
  <printOptions horizontalCentered="1"/>
  <pageMargins left="0.25" right="0.25" top="0.25" bottom="0.25" header="0.5" footer="0.5"/>
  <pageSetup scale="78"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FB91B4-85DC-4485-BB21-B056B69526D1}"/>
</file>

<file path=customXml/itemProps2.xml><?xml version="1.0" encoding="utf-8"?>
<ds:datastoreItem xmlns:ds="http://schemas.openxmlformats.org/officeDocument/2006/customXml" ds:itemID="{B4213BA1-CE70-4851-A8A9-D1A50D88B41D}"/>
</file>

<file path=customXml/itemProps3.xml><?xml version="1.0" encoding="utf-8"?>
<ds:datastoreItem xmlns:ds="http://schemas.openxmlformats.org/officeDocument/2006/customXml" ds:itemID="{C0E45C68-EA10-46B9-92CF-6E3587761F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47</vt:i4>
      </vt:variant>
    </vt:vector>
  </HeadingPairs>
  <TitlesOfParts>
    <vt:vector size="88" baseType="lpstr">
      <vt:lpstr>Index</vt:lpstr>
      <vt:lpstr>SUMMARY</vt:lpstr>
      <vt:lpstr>A1-O&amp;M</vt:lpstr>
      <vt:lpstr>A2-A&amp;G</vt:lpstr>
      <vt:lpstr>B1-Depn</vt:lpstr>
      <vt:lpstr>B2-Plant</vt:lpstr>
      <vt:lpstr>B3-Depn Rates</vt:lpstr>
      <vt:lpstr>C1-Rate Base</vt:lpstr>
      <vt:lpstr>D1-Cap Structure</vt:lpstr>
      <vt:lpstr>D2-Project Cap Structures</vt:lpstr>
      <vt:lpstr>E1-Labor Ratio</vt:lpstr>
      <vt:lpstr>F1-Proj RR</vt:lpstr>
      <vt:lpstr>F2-Incentives</vt:lpstr>
      <vt:lpstr>F3-True-Up</vt:lpstr>
      <vt:lpstr>WP-AA</vt:lpstr>
      <vt:lpstr>WP-AB</vt:lpstr>
      <vt:lpstr>WP-AC</vt:lpstr>
      <vt:lpstr>WP-AD</vt:lpstr>
      <vt:lpstr>WP-AE</vt:lpstr>
      <vt:lpstr>WP-AF</vt:lpstr>
      <vt:lpstr>WP-AG</vt:lpstr>
      <vt:lpstr>WP-AH</vt:lpstr>
      <vt:lpstr>WP-AI</vt:lpstr>
      <vt:lpstr>WP-BA</vt:lpstr>
      <vt:lpstr>WP-BB</vt:lpstr>
      <vt:lpstr>WP-BC</vt:lpstr>
      <vt:lpstr>WP-BD</vt:lpstr>
      <vt:lpstr>WP-BE</vt:lpstr>
      <vt:lpstr>WP-BF</vt:lpstr>
      <vt:lpstr>WP-BG</vt:lpstr>
      <vt:lpstr>WP-BH</vt:lpstr>
      <vt:lpstr>WP-BI</vt:lpstr>
      <vt:lpstr>WP-CA</vt:lpstr>
      <vt:lpstr>WP-CB</vt:lpstr>
      <vt:lpstr>WP-DA</vt:lpstr>
      <vt:lpstr>WP-DB</vt:lpstr>
      <vt:lpstr>WP-EA</vt:lpstr>
      <vt:lpstr>WP-AR-IS</vt:lpstr>
      <vt:lpstr>WP-AR-BS</vt:lpstr>
      <vt:lpstr>WP-AR-Cap Assets</vt:lpstr>
      <vt:lpstr>WP-Reconciliations</vt:lpstr>
      <vt:lpstr>'A1-O&amp;M'!Print_Area</vt:lpstr>
      <vt:lpstr>'A2-A&amp;G'!Print_Area</vt:lpstr>
      <vt:lpstr>'B1-Depn'!Print_Area</vt:lpstr>
      <vt:lpstr>'B2-Plant'!Print_Area</vt:lpstr>
      <vt:lpstr>'B3-Depn Rates'!Print_Area</vt:lpstr>
      <vt:lpstr>'C1-Rate Base'!Print_Area</vt:lpstr>
      <vt:lpstr>'D1-Cap Structure'!Print_Area</vt:lpstr>
      <vt:lpstr>'D2-Project Cap Structures'!Print_Area</vt:lpstr>
      <vt:lpstr>'E1-Labor Ratio'!Print_Area</vt:lpstr>
      <vt:lpstr>'F1-Proj RR'!Print_Area</vt:lpstr>
      <vt:lpstr>'F2-Incentives'!Print_Area</vt:lpstr>
      <vt:lpstr>'F3-True-Up'!Print_Area</vt:lpstr>
      <vt:lpstr>Index!Print_Area</vt:lpstr>
      <vt:lpstr>SUMMARY!Print_Area</vt:lpstr>
      <vt:lpstr>'WP-AA'!Print_Area</vt:lpstr>
      <vt:lpstr>'WP-AB'!Print_Area</vt:lpstr>
      <vt:lpstr>'WP-AC'!Print_Area</vt:lpstr>
      <vt:lpstr>'WP-AD'!Print_Area</vt:lpstr>
      <vt:lpstr>'WP-AE'!Print_Area</vt:lpstr>
      <vt:lpstr>'WP-AF'!Print_Area</vt:lpstr>
      <vt:lpstr>'WP-AG'!Print_Area</vt:lpstr>
      <vt:lpstr>'WP-AH'!Print_Area</vt:lpstr>
      <vt:lpstr>'WP-AI'!Print_Area</vt:lpstr>
      <vt:lpstr>'WP-AR-BS'!Print_Area</vt:lpstr>
      <vt:lpstr>'WP-AR-Cap Assets'!Print_Area</vt:lpstr>
      <vt:lpstr>'WP-AR-IS'!Print_Area</vt:lpstr>
      <vt:lpstr>'WP-BA'!Print_Area</vt:lpstr>
      <vt:lpstr>'WP-BB'!Print_Area</vt:lpstr>
      <vt:lpstr>'WP-BC'!Print_Area</vt:lpstr>
      <vt:lpstr>'WP-BD'!Print_Area</vt:lpstr>
      <vt:lpstr>'WP-BE'!Print_Area</vt:lpstr>
      <vt:lpstr>'WP-BF'!Print_Area</vt:lpstr>
      <vt:lpstr>'WP-BG'!Print_Area</vt:lpstr>
      <vt:lpstr>'WP-BH'!Print_Area</vt:lpstr>
      <vt:lpstr>'WP-BI'!Print_Area</vt:lpstr>
      <vt:lpstr>'WP-CA'!Print_Area</vt:lpstr>
      <vt:lpstr>'WP-CB'!Print_Area</vt:lpstr>
      <vt:lpstr>'WP-DA'!Print_Area</vt:lpstr>
      <vt:lpstr>'WP-DB'!Print_Area</vt:lpstr>
      <vt:lpstr>'WP-EA'!Print_Area</vt:lpstr>
      <vt:lpstr>'WP-Reconciliations'!Print_Area</vt:lpstr>
      <vt:lpstr>Print_Area</vt:lpstr>
      <vt:lpstr>'WP-AB'!Print_Titles</vt:lpstr>
      <vt:lpstr>'WP-AR-BS'!Print_Titles</vt:lpstr>
      <vt:lpstr>'WP-BA'!Print_Titles</vt:lpstr>
      <vt:lpstr>'WP-BB'!Print_Titles</vt:lpstr>
      <vt:lpstr>'WP-BC'!Print_Titles</vt:lpstr>
    </vt:vector>
  </TitlesOfParts>
  <Company>RSI,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Tarney</dc:creator>
  <cp:lastModifiedBy>Bissell, Garrett E</cp:lastModifiedBy>
  <cp:lastPrinted>2022-06-23T19:50:19Z</cp:lastPrinted>
  <dcterms:created xsi:type="dcterms:W3CDTF">1997-11-24T21:15:50Z</dcterms:created>
  <dcterms:modified xsi:type="dcterms:W3CDTF">2022-06-29T19:55:07Z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-717176047</vt:i4>
  </property>
  <property fmtid="{D5CDD505-2E9C-101B-9397-08002B2CF9AE}" pid="3" name="_NewReviewCycle">
    <vt:lpwstr/>
  </property>
  <property fmtid="{D5CDD505-2E9C-101B-9397-08002B2CF9AE}" pid="4" name="_EmailSubject">
    <vt:lpwstr>NYPA - 2022 ATRR Update</vt:lpwstr>
  </property>
  <property fmtid="{D5CDD505-2E9C-101B-9397-08002B2CF9AE}" pid="5" name="_AuthorEmail">
    <vt:lpwstr>GBissell@nyiso.com</vt:lpwstr>
  </property>
  <property fmtid="{D5CDD505-2E9C-101B-9397-08002B2CF9AE}" pid="6" name="_AuthorEmailDisplayName">
    <vt:lpwstr>Bissell, Garrett E</vt:lpwstr>
  </property>
</Properties>
</file>