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bissellge\Desktop\"/>
    </mc:Choice>
  </mc:AlternateContent>
  <xr:revisionPtr revIDLastSave="0" documentId="13_ncr:1_{30162F1E-4109-4E8A-9E8B-B32900B4ACB7}" xr6:coauthVersionLast="47" xr6:coauthVersionMax="47" xr10:uidLastSave="{00000000-0000-0000-0000-000000000000}"/>
  <bookViews>
    <workbookView xWindow="28680" yWindow="3300" windowWidth="29040" windowHeight="17640" xr2:uid="{FA834B87-F74B-4B54-851A-28B7A701D6F3}"/>
  </bookViews>
  <sheets>
    <sheet name="Index" sheetId="1" r:id="rId1"/>
    <sheet name="Appendix A" sheetId="2" r:id="rId2"/>
    <sheet name="1 - Revenue Credits" sheetId="3" r:id="rId3"/>
    <sheet name="2 - Cost Support " sheetId="4" r:id="rId4"/>
    <sheet name="3 - Cost Support" sheetId="5" r:id="rId5"/>
    <sheet name="3 - Cost Support (cont.)" sheetId="6" r:id="rId6"/>
    <sheet name="4 - Incentives" sheetId="7" r:id="rId7"/>
    <sheet name="5 - True-Up" sheetId="8" r:id="rId8"/>
    <sheet name="6a-ADIT Projection" sheetId="9" r:id="rId9"/>
    <sheet name="6b-ADIT Projection Proration" sheetId="10" r:id="rId10"/>
    <sheet name="6c- ADIT BOY" sheetId="11" r:id="rId11"/>
    <sheet name="6d- ADIT EOY" sheetId="12" r:id="rId12"/>
    <sheet name="6e-ADIT True-up" sheetId="13" r:id="rId13"/>
    <sheet name="7- Depreciation Rates" sheetId="15" r:id="rId14"/>
    <sheet name="8a - Workpaper" sheetId="16" r:id="rId15"/>
    <sheet name="8b - WP Incentives" sheetId="18" r:id="rId16"/>
    <sheet name="8c - WP Inc Tax Adj" sheetId="19" r:id="rId17"/>
  </sheets>
  <externalReferences>
    <externalReference r:id="rId18"/>
    <externalReference r:id="rId19"/>
    <externalReference r:id="rId20"/>
    <externalReference r:id="rId21"/>
    <externalReference r:id="rId22"/>
    <externalReference r:id="rId23"/>
  </externalReferences>
  <definedNames>
    <definedName name="__123Graph_A" localSheetId="16" hidden="1">'[1]Cash Flow'!#REF!</definedName>
    <definedName name="__123Graph_A" hidden="1">'[1]Cash Flow'!#REF!</definedName>
    <definedName name="__123Graph_A1991" localSheetId="16" hidden="1">[2]Sheet3!#REF!</definedName>
    <definedName name="__123Graph_A1991" hidden="1">[2]Sheet3!#REF!</definedName>
    <definedName name="__123Graph_A1992" localSheetId="16" hidden="1">[2]Sheet3!#REF!</definedName>
    <definedName name="__123Graph_A1992" hidden="1">[2]Sheet3!#REF!</definedName>
    <definedName name="__123Graph_A1993" localSheetId="16" hidden="1">[2]Sheet3!#REF!</definedName>
    <definedName name="__123Graph_A1993" hidden="1">[2]Sheet3!#REF!</definedName>
    <definedName name="__123Graph_A1994" localSheetId="16" hidden="1">[2]Sheet3!#REF!</definedName>
    <definedName name="__123Graph_A1994" hidden="1">[2]Sheet3!#REF!</definedName>
    <definedName name="__123Graph_A1995" hidden="1">[2]Sheet3!#REF!</definedName>
    <definedName name="__123Graph_A1996" hidden="1">[2]Sheet3!#REF!</definedName>
    <definedName name="__123Graph_ABAR" hidden="1">[2]Sheet3!#REF!</definedName>
    <definedName name="__123Graph_B" hidden="1">[2]Sheet3!#REF!</definedName>
    <definedName name="__123Graph_B1991" hidden="1">[2]Sheet3!#REF!</definedName>
    <definedName name="__123Graph_B1992" hidden="1">[2]Sheet3!#REF!</definedName>
    <definedName name="__123Graph_B1993" hidden="1">[2]Sheet3!#REF!</definedName>
    <definedName name="__123Graph_B1994" hidden="1">[2]Sheet3!#REF!</definedName>
    <definedName name="__123Graph_B1995" hidden="1">[2]Sheet3!#REF!</definedName>
    <definedName name="__123Graph_B1996" hidden="1">[2]Sheet3!#REF!</definedName>
    <definedName name="__123Graph_BBAR" hidden="1">[2]Sheet3!#REF!</definedName>
    <definedName name="__123Graph_CBAR" hidden="1">[2]Sheet3!#REF!</definedName>
    <definedName name="__123Graph_D" hidden="1">#REF!</definedName>
    <definedName name="__123Graph_DBAR" hidden="1">[2]Sheet3!#REF!</definedName>
    <definedName name="__123Graph_EBAR" hidden="1">[2]Sheet3!#REF!</definedName>
    <definedName name="__123Graph_FBAR" hidden="1">[2]Sheet3!#REF!</definedName>
    <definedName name="__123Graph_X" hidden="1">[2]Sheet3!#REF!</definedName>
    <definedName name="__123Graph_X1991" hidden="1">[2]Sheet3!#REF!</definedName>
    <definedName name="__123Graph_X1992" hidden="1">[2]Sheet3!#REF!</definedName>
    <definedName name="__123Graph_X1993" hidden="1">[2]Sheet3!#REF!</definedName>
    <definedName name="__123Graph_X1994" hidden="1">[2]Sheet3!#REF!</definedName>
    <definedName name="__123Graph_X1995" hidden="1">[2]Sheet3!#REF!</definedName>
    <definedName name="__123Graph_X1996" hidden="1">[2]Sheet3!#REF!</definedName>
    <definedName name="__rm9" localSheetId="16" hidden="1">{"detail305",#N/A,FALSE,"BI-305"}</definedName>
    <definedName name="__rm9" hidden="1">{"detail305",#N/A,FALSE,"BI-305"}</definedName>
    <definedName name="_1__123Graph_XCHART_2" hidden="1">'[3]Progress Tables'!$U$14:$U$46</definedName>
    <definedName name="_a1111" localSheetId="16" hidden="1">{"Cash Budget",#N/A,FALSE,"98 Cash";"Running Cash Budget",#N/A,FALSE,"98 Cash";"Actual Cash",#N/A,FALSE,"98 Cash";"Update Cash Budget",#N/A,FALSE,"98 Cash"}</definedName>
    <definedName name="_a1111" hidden="1">{"Cash Budget",#N/A,FALSE,"98 Cash";"Running Cash Budget",#N/A,FALSE,"98 Cash";"Actual Cash",#N/A,FALSE,"98 Cash";"Update Cash Budget",#N/A,FALSE,"98 Cash"}</definedName>
    <definedName name="_ATPRegress_Dlg_Results" localSheetId="16"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16" hidden="1">{"EXCELHLP.HLP!1802";5;10;5;10;13;13;13;8;5;5;10;14;13;13;13;13;5;10;14;13;5;10;1;2;24}</definedName>
    <definedName name="_ATPRegress_Dlg_Types" hidden="1">{"EXCELHLP.HLP!1802";5;10;5;10;13;13;13;8;5;5;10;14;13;13;13;13;5;10;14;13;5;10;1;2;24}</definedName>
    <definedName name="_ATPRegress_Range1" hidden="1">'[4]ST Corrections'!#REF!</definedName>
    <definedName name="_ATPRegress_Range2" hidden="1">'[4]ST Corrections'!#REF!</definedName>
    <definedName name="_ATPRegress_Range3" hidden="1">'[4]ST Corrections'!#REF!</definedName>
    <definedName name="_ATPRegress_Range4" hidden="1">"="</definedName>
    <definedName name="_ATPRegress_Range5" hidden="1">"="</definedName>
    <definedName name="_Fill" localSheetId="7" hidden="1">#REF!</definedName>
    <definedName name="_Fill" localSheetId="8" hidden="1">#REF!</definedName>
    <definedName name="_Fill" localSheetId="9" hidden="1">#REF!</definedName>
    <definedName name="_Fill" localSheetId="12" hidden="1">#REF!</definedName>
    <definedName name="_Fill" localSheetId="13" hidden="1">#REF!</definedName>
    <definedName name="_Fill" localSheetId="16" hidden="1">#REF!</definedName>
    <definedName name="_Fill" hidden="1">#REF!</definedName>
    <definedName name="_FLL2" localSheetId="16" hidden="1">#REF!</definedName>
    <definedName name="_FLL2" hidden="1">#REF!</definedName>
    <definedName name="_Key1" localSheetId="16" hidden="1">#REF!</definedName>
    <definedName name="_Key1" hidden="1">#REF!</definedName>
    <definedName name="_Key2" localSheetId="16" hidden="1">#REF!</definedName>
    <definedName name="_Key2" hidden="1">#REF!</definedName>
    <definedName name="_n4" localSheetId="16" hidden="1">{"EXCELHLP.HLP!1802";5;10;5;10;13;13;13;8;5;5;10;14;13;13;13;13;5;10;14;13;5;10;1;2;24}</definedName>
    <definedName name="_n4" hidden="1">{"EXCELHLP.HLP!1802";5;10;5;10;13;13;13;8;5;5;10;14;13;13;13;13;5;10;14;13;5;10;1;2;24}</definedName>
    <definedName name="_Order1" hidden="1">255</definedName>
    <definedName name="_Order2" hidden="1">255</definedName>
    <definedName name="_Regression_Out" hidden="1">[5]GASCOMPX!#REF!</definedName>
    <definedName name="_rm9" localSheetId="16" hidden="1">{"detail305",#N/A,FALSE,"BI-305"}</definedName>
    <definedName name="_rm9" hidden="1">{"detail305",#N/A,FALSE,"BI-305"}</definedName>
    <definedName name="_Sort" localSheetId="16" hidden="1">#REF!</definedName>
    <definedName name="_Sort" hidden="1">#REF!</definedName>
    <definedName name="_Table1_In1" localSheetId="16" hidden="1">#REF!</definedName>
    <definedName name="_Table1_In1" hidden="1">#REF!</definedName>
    <definedName name="_Table1_Out" localSheetId="16" hidden="1">#REF!</definedName>
    <definedName name="_Table1_Out" hidden="1">#REF!</definedName>
    <definedName name="_Table2_In1" localSheetId="16" hidden="1">#REF!</definedName>
    <definedName name="_Table2_In1" hidden="1">#REF!</definedName>
    <definedName name="_Table2_In2" localSheetId="16" hidden="1">#REF!</definedName>
    <definedName name="_Table2_In2" hidden="1">#REF!</definedName>
    <definedName name="_Table2_Out" localSheetId="16" hidden="1">#REF!</definedName>
    <definedName name="_Table2_Out" hidden="1">#REF!</definedName>
    <definedName name="_Table3_In2" localSheetId="16" hidden="1">#REF!</definedName>
    <definedName name="_Table3_In2" hidden="1">#REF!</definedName>
    <definedName name="_tet12" localSheetId="16" hidden="1">{"assumptions",#N/A,FALSE,"Scenario 1";"valuation",#N/A,FALSE,"Scenario 1"}</definedName>
    <definedName name="_tet12" hidden="1">{"assumptions",#N/A,FALSE,"Scenario 1";"valuation",#N/A,FALSE,"Scenario 1"}</definedName>
    <definedName name="_tet5" localSheetId="16" hidden="1">{"assumptions",#N/A,FALSE,"Scenario 1";"valuation",#N/A,FALSE,"Scenario 1"}</definedName>
    <definedName name="_tet5" hidden="1">{"assumptions",#N/A,FALSE,"Scenario 1";"valuation",#N/A,FALSE,"Scenario 1"}</definedName>
    <definedName name="a" localSheetId="16" hidden="1">{2;#N/A;"R13C16:R17C16";#N/A;"R13C14:R17C15";FALSE;FALSE;FALSE;95;#N/A;#N/A;"R13C19";#N/A;FALSE;FALSE;FALSE;FALSE;#N/A;"";#N/A;FALSE;"";"";#N/A;#N/A;#N/A}</definedName>
    <definedName name="a" hidden="1">{2;#N/A;"R13C16:R17C16";#N/A;"R13C14:R17C15";FALSE;FALSE;FALSE;95;#N/A;#N/A;"R13C19";#N/A;FALSE;FALSE;FALSE;FALSE;#N/A;"";#N/A;FALSE;"";"";#N/A;#N/A;#N/A}</definedName>
    <definedName name="aa" localSheetId="16" hidden="1">{"1999 Cash Budget",#N/A,FALSE,"99 Cash";"1999 Cash Budget YTD",#N/A,FALSE,"99 Cash";"1999 Cash Actual/Forcast",#N/A,FALSE,"99 Cash";"1999 Cash Actual/Forcast YTD",#N/A,FALSE,"99 Cash"}</definedName>
    <definedName name="aa" hidden="1">{"1999 Cash Budget",#N/A,FALSE,"99 Cash";"1999 Cash Budget YTD",#N/A,FALSE,"99 Cash";"1999 Cash Actual/Forcast",#N/A,FALSE,"99 Cash";"1999 Cash Actual/Forcast YTD",#N/A,FALSE,"99 Cash"}</definedName>
    <definedName name="aaa" localSheetId="7" hidden="1">{#N/A,#N/A,FALSE,"O&amp;M by processes";#N/A,#N/A,FALSE,"Elec Act vs Bud";#N/A,#N/A,FALSE,"G&amp;A";#N/A,#N/A,FALSE,"BGS";#N/A,#N/A,FALSE,"Res Cost"}</definedName>
    <definedName name="aaa" localSheetId="13" hidden="1">{#N/A,#N/A,FALSE,"O&amp;M by processes";#N/A,#N/A,FALSE,"Elec Act vs Bud";#N/A,#N/A,FALSE,"G&amp;A";#N/A,#N/A,FALSE,"BGS";#N/A,#N/A,FALSE,"Res Cost"}</definedName>
    <definedName name="aaa" localSheetId="16" hidden="1">{#N/A,#N/A,FALSE,"O&amp;M by processes";#N/A,#N/A,FALSE,"Elec Act vs Bud";#N/A,#N/A,FALSE,"G&amp;A";#N/A,#N/A,FALSE,"BGS";#N/A,#N/A,FALSE,"Res Cost"}</definedName>
    <definedName name="aaa" hidden="1">{#N/A,#N/A,FALSE,"O&amp;M by processes";#N/A,#N/A,FALSE,"Elec Act vs Bud";#N/A,#N/A,FALSE,"G&amp;A";#N/A,#N/A,FALSE,"BGS";#N/A,#N/A,FALSE,"Res Cost"}</definedName>
    <definedName name="AAA_DOCTOPS" hidden="1">"AAA_SET"</definedName>
    <definedName name="AAA_duser" hidden="1">"OFF"</definedName>
    <definedName name="aaaa" localSheetId="16" hidden="1">{"1999 Cash Budget",#N/A,FALSE,"99 Cash";"1999 Cash Budget YTD",#N/A,FALSE,"99 Cash";"1999 Cash Actual/Forcast",#N/A,FALSE,"99 Cash";"1999 Cash Actual/Forcast YTD",#N/A,FALSE,"99 Cash"}</definedName>
    <definedName name="aaaa" hidden="1">{"1999 Cash Budget",#N/A,FALSE,"99 Cash";"1999 Cash Budget YTD",#N/A,FALSE,"99 Cash";"1999 Cash Actual/Forcast",#N/A,FALSE,"99 Cash";"1999 Cash Actual/Forcast YTD",#N/A,FALSE,"99 Cash"}</definedName>
    <definedName name="aaaa1" localSheetId="16"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localSheetId="16" hidden="1">{"Income Budget",#N/A,FALSE,"98 Income";"Running GAAP Budget Income",#N/A,FALSE,"98 Income";"GAAP Actual",#N/A,FALSE,"98 Income";"GAAP Varinance",#N/A,FALSE,"98 Income"}</definedName>
    <definedName name="aaaaa" hidden="1">{"Income Budget",#N/A,FALSE,"98 Income";"Running GAAP Budget Income",#N/A,FALSE,"98 Income";"GAAP Actual",#N/A,FALSE,"98 Income";"GAAP Varinance",#N/A,FALSE,"98 Income"}</definedName>
    <definedName name="aaaaaa" localSheetId="16" hidden="1">{"Cash Budget",#N/A,FALSE,"98 Cash";"Running Cash Budget",#N/A,FALSE,"98 Cash";"Actual Cash",#N/A,FALSE,"98 Cash";"Update Cash Budget",#N/A,FALSE,"98 Cash"}</definedName>
    <definedName name="aaaaaa" hidden="1">{"Cash Budget",#N/A,FALSE,"98 Cash";"Running Cash Budget",#N/A,FALSE,"98 Cash";"Actual Cash",#N/A,FALSE,"98 Cash";"Update Cash Budget",#N/A,FALSE,"98 Cash"}</definedName>
    <definedName name="aaaaaaa" localSheetId="16" hidden="1">{"Cash Budget",#N/A,FALSE,"98 Cash";"Running Cash Budget",#N/A,FALSE,"98 Cash";"Actual Cash",#N/A,FALSE,"98 Cash";"Update Cash Budget",#N/A,FALSE,"98 Cash"}</definedName>
    <definedName name="aaaaaaa" hidden="1">{"Cash Budget",#N/A,FALSE,"98 Cash";"Running Cash Budget",#N/A,FALSE,"98 Cash";"Actual Cash",#N/A,FALSE,"98 Cash";"Update Cash Budget",#N/A,FALSE,"98 Cash"}</definedName>
    <definedName name="aaaaaaaa" localSheetId="16" hidden="1">{"Income Budget",#N/A,FALSE,"98 Income";"Running GAAP Budget Income",#N/A,FALSE,"98 Income";"GAAP Actual",#N/A,FALSE,"98 Income";"GAAP Varinance",#N/A,FALSE,"98 Income"}</definedName>
    <definedName name="aaaaaaaa" hidden="1">{"Income Budget",#N/A,FALSE,"98 Income";"Running GAAP Budget Income",#N/A,FALSE,"98 Income";"GAAP Actual",#N/A,FALSE,"98 Income";"GAAP Varinance",#N/A,FALSE,"98 Income"}</definedName>
    <definedName name="aaaaaaaaaa" localSheetId="16" hidden="1">{"Cash Budget",#N/A,FALSE,"98 Cash";"Running Cash Budget",#N/A,FALSE,"98 Cash";"Actual Cash",#N/A,FALSE,"98 Cash";"Update Cash Budget",#N/A,FALSE,"98 Cash"}</definedName>
    <definedName name="aaaaaaaaaa" hidden="1">{"Cash Budget",#N/A,FALSE,"98 Cash";"Running Cash Budget",#N/A,FALSE,"98 Cash";"Actual Cash",#N/A,FALSE,"98 Cash";"Update Cash Budget",#N/A,FALSE,"98 Cash"}</definedName>
    <definedName name="aaaaaaaaaaaaaaa" localSheetId="7" hidden="1">{#N/A,#N/A,FALSE,"O&amp;M by processes";#N/A,#N/A,FALSE,"Elec Act vs Bud";#N/A,#N/A,FALSE,"G&amp;A";#N/A,#N/A,FALSE,"BGS";#N/A,#N/A,FALSE,"Res Cost"}</definedName>
    <definedName name="aaaaaaaaaaaaaaa" localSheetId="13" hidden="1">{#N/A,#N/A,FALSE,"O&amp;M by processes";#N/A,#N/A,FALSE,"Elec Act vs Bud";#N/A,#N/A,FALSE,"G&amp;A";#N/A,#N/A,FALSE,"BGS";#N/A,#N/A,FALSE,"Res Cost"}</definedName>
    <definedName name="aaaaaaaaaaaaaaa" localSheetId="16"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lignment" hidden="1">"a1"</definedName>
    <definedName name="anscount" hidden="1">1</definedName>
    <definedName name="AS2DocOpenMode" hidden="1">"AS2DocumentEdit"</definedName>
    <definedName name="AS2HasNoAutoHeaderFooter" hidden="1">" "</definedName>
    <definedName name="AS2NamedRange" hidden="1">3</definedName>
    <definedName name="AS2ReportLS" hidden="1">1</definedName>
    <definedName name="AS2StaticLS" localSheetId="16" hidden="1">#REF!</definedName>
    <definedName name="AS2StaticLS" hidden="1">#REF!</definedName>
    <definedName name="AS2SyncStepLS" hidden="1">0</definedName>
    <definedName name="AS2TaxWorkpaper" hidden="1">" "</definedName>
    <definedName name="AS2TickmarkLS" localSheetId="16" hidden="1">#REF!</definedName>
    <definedName name="AS2TickmarkLS" hidden="1">#REF!</definedName>
    <definedName name="AS2VersionLS" hidden="1">300</definedName>
    <definedName name="asd" localSheetId="16" hidden="1">{2;#N/A;"R13C16:R17C16";#N/A;"R13C14:R17C15";FALSE;FALSE;FALSE;95;#N/A;#N/A;"R13C19";#N/A;FALSE;FALSE;FALSE;FALSE;#N/A;"";#N/A;FALSE;"";"";#N/A;#N/A;#N/A}</definedName>
    <definedName name="asd" hidden="1">{2;#N/A;"R13C16:R17C16";#N/A;"R13C14:R17C15";FALSE;FALSE;FALSE;95;#N/A;#N/A;"R13C19";#N/A;FALSE;FALSE;FALSE;FALSE;#N/A;"";#N/A;FALSE;"";"";#N/A;#N/A;#N/A}</definedName>
    <definedName name="AsSoldExcRev" localSheetId="16" hidden="1">{#N/A,#N/A,FALSE,"Sum6 (1)"}</definedName>
    <definedName name="AsSoldExcRev" hidden="1">{#N/A,#N/A,FALSE,"Sum6 (1)"}</definedName>
    <definedName name="atpr" localSheetId="16" hidden="1">{"EXCELHLP.HLP!1802";5;10;5;10;13;13;13;8;5;5;10;14;13;13;13;13;5;10;14;13;5;10;1;2;24}</definedName>
    <definedName name="atpr" hidden="1">{"EXCELHLP.HLP!1802";5;10;5;10;13;13;13;8;5;5;10;14;13;13;13;13;5;10;14;13;5;10;1;2;24}</definedName>
    <definedName name="bbb" localSheetId="7" hidden="1">{#N/A,#N/A,FALSE,"O&amp;M by processes";#N/A,#N/A,FALSE,"Elec Act vs Bud";#N/A,#N/A,FALSE,"G&amp;A";#N/A,#N/A,FALSE,"BGS";#N/A,#N/A,FALSE,"Res Cost"}</definedName>
    <definedName name="bbb" localSheetId="13" hidden="1">{#N/A,#N/A,FALSE,"O&amp;M by processes";#N/A,#N/A,FALSE,"Elec Act vs Bud";#N/A,#N/A,FALSE,"G&amp;A";#N/A,#N/A,FALSE,"BGS";#N/A,#N/A,FALSE,"Res Cost"}</definedName>
    <definedName name="bbb" localSheetId="16"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7" hidden="1">{#N/A,#N/A,FALSE,"O&amp;M by processes";#N/A,#N/A,FALSE,"Elec Act vs Bud";#N/A,#N/A,FALSE,"G&amp;A";#N/A,#N/A,FALSE,"BGS";#N/A,#N/A,FALSE,"Res Cost"}</definedName>
    <definedName name="bbbb" localSheetId="13" hidden="1">{#N/A,#N/A,FALSE,"O&amp;M by processes";#N/A,#N/A,FALSE,"Elec Act vs Bud";#N/A,#N/A,FALSE,"G&amp;A";#N/A,#N/A,FALSE,"BGS";#N/A,#N/A,FALSE,"Res Cost"}</definedName>
    <definedName name="bbbb" localSheetId="16"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7" hidden="1">{#N/A,#N/A,FALSE,"O&amp;M by processes";#N/A,#N/A,FALSE,"Elec Act vs Bud";#N/A,#N/A,FALSE,"G&amp;A";#N/A,#N/A,FALSE,"BGS";#N/A,#N/A,FALSE,"Res Cost"}</definedName>
    <definedName name="bbbbb" localSheetId="13" hidden="1">{#N/A,#N/A,FALSE,"O&amp;M by processes";#N/A,#N/A,FALSE,"Elec Act vs Bud";#N/A,#N/A,FALSE,"G&amp;A";#N/A,#N/A,FALSE,"BGS";#N/A,#N/A,FALSE,"Res Cost"}</definedName>
    <definedName name="bbbbb" localSheetId="16"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7" hidden="1">{#N/A,#N/A,FALSE,"O&amp;M by processes";#N/A,#N/A,FALSE,"Elec Act vs Bud";#N/A,#N/A,FALSE,"G&amp;A";#N/A,#N/A,FALSE,"BGS";#N/A,#N/A,FALSE,"Res Cost"}</definedName>
    <definedName name="bbc" localSheetId="13" hidden="1">{#N/A,#N/A,FALSE,"O&amp;M by processes";#N/A,#N/A,FALSE,"Elec Act vs Bud";#N/A,#N/A,FALSE,"G&amp;A";#N/A,#N/A,FALSE,"BGS";#N/A,#N/A,FALSE,"Res Cost"}</definedName>
    <definedName name="bbc" localSheetId="16" hidden="1">{#N/A,#N/A,FALSE,"O&amp;M by processes";#N/A,#N/A,FALSE,"Elec Act vs Bud";#N/A,#N/A,FALSE,"G&amp;A";#N/A,#N/A,FALSE,"BGS";#N/A,#N/A,FALSE,"Res Cost"}</definedName>
    <definedName name="bbc" hidden="1">{#N/A,#N/A,FALSE,"O&amp;M by processes";#N/A,#N/A,FALSE,"Elec Act vs Bud";#N/A,#N/A,FALSE,"G&amp;A";#N/A,#N/A,FALSE,"BGS";#N/A,#N/A,FALSE,"Res Cost"}</definedName>
    <definedName name="BG_Del" hidden="1">15</definedName>
    <definedName name="BG_Ins" hidden="1">4</definedName>
    <definedName name="BG_Mod" hidden="1">6</definedName>
    <definedName name="BLPH10" localSheetId="16" hidden="1">[6]Fundamentals!#REF!</definedName>
    <definedName name="BLPH10" hidden="1">[6]Fundamentals!#REF!</definedName>
    <definedName name="BLPH11" localSheetId="16" hidden="1">[6]Fundamentals!#REF!</definedName>
    <definedName name="BLPH11" hidden="1">[6]Fundamentals!#REF!</definedName>
    <definedName name="BLPH12" localSheetId="16" hidden="1">[6]Fundamentals!#REF!</definedName>
    <definedName name="BLPH12" hidden="1">[6]Fundamentals!#REF!</definedName>
    <definedName name="BLPH13" localSheetId="16" hidden="1">[6]Fundamentals!#REF!</definedName>
    <definedName name="BLPH13" hidden="1">[6]Fundamentals!#REF!</definedName>
    <definedName name="BLPH14" hidden="1">[6]Fundamentals!#REF!</definedName>
    <definedName name="BLPH15" hidden="1">[6]Fundamentals!#REF!</definedName>
    <definedName name="BLPH16" hidden="1">[6]Fundamentals!#REF!</definedName>
    <definedName name="BLPH17" hidden="1">[6]Fundamentals!#REF!</definedName>
    <definedName name="BLPH18" hidden="1">[6]Fundamentals!#REF!</definedName>
    <definedName name="BLPH19" hidden="1">[6]Fundamentals!#REF!</definedName>
    <definedName name="BLPH20" hidden="1">[6]Fundamentals!#REF!</definedName>
    <definedName name="BLPH21" hidden="1">[6]Fundamentals!#REF!</definedName>
    <definedName name="BLPH22" hidden="1">[6]Fundamentals!#REF!</definedName>
    <definedName name="BLPH23" hidden="1">[6]Fundamentals!#REF!</definedName>
    <definedName name="BLPH24" hidden="1">[6]Fundamentals!#REF!</definedName>
    <definedName name="BLPH25" hidden="1">[6]Fundamentals!#REF!</definedName>
    <definedName name="BLPH6" hidden="1">[6]BetaCalcs!#REF!</definedName>
    <definedName name="BLPH66" hidden="1">[6]BetaCalcs!#REF!</definedName>
    <definedName name="booby" localSheetId="16" hidden="1">{#N/A,#N/A,TRUE,"TOTAL DISTRIBUTION";#N/A,#N/A,TRUE,"SOUTH";#N/A,#N/A,TRUE,"NORTHEAST";#N/A,#N/A,TRUE,"WEST"}</definedName>
    <definedName name="booby" hidden="1">{#N/A,#N/A,TRUE,"TOTAL DISTRIBUTION";#N/A,#N/A,TRUE,"SOUTH";#N/A,#N/A,TRUE,"NORTHEAST";#N/A,#N/A,TRUE,"WEST"}</definedName>
    <definedName name="booby2" localSheetId="16" hidden="1">{#N/A,#N/A,TRUE,"TOTAL DSBN";#N/A,#N/A,TRUE,"WEST";#N/A,#N/A,TRUE,"SOUTH";#N/A,#N/A,TRUE,"NORTHEAST"}</definedName>
    <definedName name="booby2" hidden="1">{#N/A,#N/A,TRUE,"TOTAL DSBN";#N/A,#N/A,TRUE,"WEST";#N/A,#N/A,TRUE,"SOUTH";#N/A,#N/A,TRUE,"NORTHEAST"}</definedName>
    <definedName name="bud" localSheetId="16" hidden="1">{"summary",#N/A,FALSE,"PCR DIRECTORY"}</definedName>
    <definedName name="bud" hidden="1">{"summary",#N/A,FALSE,"PCR DIRECTORY"}</definedName>
    <definedName name="Bulk" localSheetId="16" hidden="1">{#N/A,#N/A,FALSE,"Sum6 (1)"}</definedName>
    <definedName name="Bulk" hidden="1">{#N/A,#N/A,FALSE,"Sum6 (1)"}</definedName>
    <definedName name="bym" localSheetId="16" hidden="1">{"summary",#N/A,FALSE,"PCR DIRECTORY"}</definedName>
    <definedName name="bym" hidden="1">{"summary",#N/A,FALSE,"PCR DIRECTORY"}</definedName>
    <definedName name="can" localSheetId="7" hidden="1">{#N/A,#N/A,FALSE,"O&amp;M by processes";#N/A,#N/A,FALSE,"Elec Act vs Bud";#N/A,#N/A,FALSE,"G&amp;A";#N/A,#N/A,FALSE,"BGS";#N/A,#N/A,FALSE,"Res Cost"}</definedName>
    <definedName name="can" localSheetId="13" hidden="1">{#N/A,#N/A,FALSE,"O&amp;M by processes";#N/A,#N/A,FALSE,"Elec Act vs Bud";#N/A,#N/A,FALSE,"G&amp;A";#N/A,#N/A,FALSE,"BGS";#N/A,#N/A,FALSE,"Res Cost"}</definedName>
    <definedName name="can" localSheetId="16" hidden="1">{#N/A,#N/A,FALSE,"O&amp;M by processes";#N/A,#N/A,FALSE,"Elec Act vs Bud";#N/A,#N/A,FALSE,"G&amp;A";#N/A,#N/A,FALSE,"BGS";#N/A,#N/A,FALSE,"Res Cost"}</definedName>
    <definedName name="can" hidden="1">{#N/A,#N/A,FALSE,"O&amp;M by processes";#N/A,#N/A,FALSE,"Elec Act vs Bud";#N/A,#N/A,FALSE,"G&amp;A";#N/A,#N/A,FALSE,"BGS";#N/A,#N/A,FALSE,"Res Cost"}</definedName>
    <definedName name="CBWorkbookPriority" hidden="1">-988078685</definedName>
    <definedName name="ccc" localSheetId="7" hidden="1">{#N/A,#N/A,FALSE,"O&amp;M by processes";#N/A,#N/A,FALSE,"Elec Act vs Bud";#N/A,#N/A,FALSE,"G&amp;A";#N/A,#N/A,FALSE,"BGS";#N/A,#N/A,FALSE,"Res Cost"}</definedName>
    <definedName name="ccc" localSheetId="13" hidden="1">{#N/A,#N/A,FALSE,"O&amp;M by processes";#N/A,#N/A,FALSE,"Elec Act vs Bud";#N/A,#N/A,FALSE,"G&amp;A";#N/A,#N/A,FALSE,"BGS";#N/A,#N/A,FALSE,"Res Cost"}</definedName>
    <definedName name="ccc" localSheetId="16"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7" hidden="1">{#N/A,#N/A,FALSE,"O&amp;M by processes";#N/A,#N/A,FALSE,"Elec Act vs Bud";#N/A,#N/A,FALSE,"G&amp;A";#N/A,#N/A,FALSE,"BGS";#N/A,#N/A,FALSE,"Res Cost"}</definedName>
    <definedName name="cccc" localSheetId="13" hidden="1">{#N/A,#N/A,FALSE,"O&amp;M by processes";#N/A,#N/A,FALSE,"Elec Act vs Bud";#N/A,#N/A,FALSE,"G&amp;A";#N/A,#N/A,FALSE,"BGS";#N/A,#N/A,FALSE,"Res Cost"}</definedName>
    <definedName name="cccc" localSheetId="16" hidden="1">{#N/A,#N/A,FALSE,"O&amp;M by processes";#N/A,#N/A,FALSE,"Elec Act vs Bud";#N/A,#N/A,FALSE,"G&amp;A";#N/A,#N/A,FALSE,"BGS";#N/A,#N/A,FALSE,"Res Cost"}</definedName>
    <definedName name="cccc" hidden="1">{#N/A,#N/A,FALSE,"O&amp;M by processes";#N/A,#N/A,FALSE,"Elec Act vs Bud";#N/A,#N/A,FALSE,"G&amp;A";#N/A,#N/A,FALSE,"BGS";#N/A,#N/A,FALSE,"Res Cost"}</definedName>
    <definedName name="cccccc" localSheetId="16" hidden="1">{"EXCELHLP.HLP!1802";5;10;5;10;13;13;13;8;5;5;10;14;13;13;13;13;5;10;14;13;5;10;1;2;24}</definedName>
    <definedName name="cccccc" hidden="1">{"EXCELHLP.HLP!1802";5;10;5;10;13;13;13;8;5;5;10;14;13;13;13;13;5;10;14;13;5;10;1;2;24}</definedName>
    <definedName name="ClientMatter" hidden="1">"b1"</definedName>
    <definedName name="Consolid" localSheetId="7" hidden="1">{#N/A,#N/A,FALSE,"O&amp;M by processes";#N/A,#N/A,FALSE,"Elec Act vs Bud";#N/A,#N/A,FALSE,"G&amp;A";#N/A,#N/A,FALSE,"BGS";#N/A,#N/A,FALSE,"Res Cost"}</definedName>
    <definedName name="Consolid" localSheetId="13" hidden="1">{#N/A,#N/A,FALSE,"O&amp;M by processes";#N/A,#N/A,FALSE,"Elec Act vs Bud";#N/A,#N/A,FALSE,"G&amp;A";#N/A,#N/A,FALSE,"BGS";#N/A,#N/A,FALSE,"Res Cost"}</definedName>
    <definedName name="Consolid" localSheetId="16"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7" hidden="1">{#N/A,#N/A,FALSE,"O&amp;M by processes";#N/A,#N/A,FALSE,"Elec Act vs Bud";#N/A,#N/A,FALSE,"G&amp;A";#N/A,#N/A,FALSE,"BGS";#N/A,#N/A,FALSE,"Res Cost"}</definedName>
    <definedName name="Consolidated" localSheetId="13" hidden="1">{#N/A,#N/A,FALSE,"O&amp;M by processes";#N/A,#N/A,FALSE,"Elec Act vs Bud";#N/A,#N/A,FALSE,"G&amp;A";#N/A,#N/A,FALSE,"BGS";#N/A,#N/A,FALSE,"Res Cost"}</definedName>
    <definedName name="Consolidated" localSheetId="16" hidden="1">{#N/A,#N/A,FALSE,"O&amp;M by processes";#N/A,#N/A,FALSE,"Elec Act vs Bud";#N/A,#N/A,FALSE,"G&amp;A";#N/A,#N/A,FALSE,"BGS";#N/A,#N/A,FALSE,"Res Cost"}</definedName>
    <definedName name="Consolidated" hidden="1">{#N/A,#N/A,FALSE,"O&amp;M by processes";#N/A,#N/A,FALSE,"Elec Act vs Bud";#N/A,#N/A,FALSE,"G&amp;A";#N/A,#N/A,FALSE,"BGS";#N/A,#N/A,FALSE,"Res Cost"}</definedName>
    <definedName name="cost" localSheetId="16" hidden="1">{#N/A,#N/A,FALSE,"T COST";#N/A,#N/A,FALSE,"COST_FH"}</definedName>
    <definedName name="cost" hidden="1">{#N/A,#N/A,FALSE,"T COST";#N/A,#N/A,FALSE,"COST_FH"}</definedName>
    <definedName name="Cwvu.GREY_ALL." localSheetId="16" hidden="1">#REF!</definedName>
    <definedName name="Cwvu.GREY_ALL." hidden="1">#REF!</definedName>
    <definedName name="da" localSheetId="7" hidden="1">{#N/A,#N/A,FALSE,"O&amp;M by processes";#N/A,#N/A,FALSE,"Elec Act vs Bud";#N/A,#N/A,FALSE,"G&amp;A";#N/A,#N/A,FALSE,"BGS";#N/A,#N/A,FALSE,"Res Cost"}</definedName>
    <definedName name="da" localSheetId="13" hidden="1">{#N/A,#N/A,FALSE,"O&amp;M by processes";#N/A,#N/A,FALSE,"Elec Act vs Bud";#N/A,#N/A,FALSE,"G&amp;A";#N/A,#N/A,FALSE,"BGS";#N/A,#N/A,FALSE,"Res Cost"}</definedName>
    <definedName name="da" localSheetId="16" hidden="1">{#N/A,#N/A,FALSE,"O&amp;M by processes";#N/A,#N/A,FALSE,"Elec Act vs Bud";#N/A,#N/A,FALSE,"G&amp;A";#N/A,#N/A,FALSE,"BGS";#N/A,#N/A,FALSE,"Res Cost"}</definedName>
    <definedName name="da" hidden="1">{#N/A,#N/A,FALSE,"O&amp;M by processes";#N/A,#N/A,FALSE,"Elec Act vs Bud";#N/A,#N/A,FALSE,"G&amp;A";#N/A,#N/A,FALSE,"BGS";#N/A,#N/A,FALSE,"Res Cost"}</definedName>
    <definedName name="dada" localSheetId="7" hidden="1">{#N/A,#N/A,FALSE,"O&amp;M by processes";#N/A,#N/A,FALSE,"Elec Act vs Bud";#N/A,#N/A,FALSE,"G&amp;A";#N/A,#N/A,FALSE,"BGS";#N/A,#N/A,FALSE,"Res Cost"}</definedName>
    <definedName name="dada" localSheetId="13" hidden="1">{#N/A,#N/A,FALSE,"O&amp;M by processes";#N/A,#N/A,FALSE,"Elec Act vs Bud";#N/A,#N/A,FALSE,"G&amp;A";#N/A,#N/A,FALSE,"BGS";#N/A,#N/A,FALSE,"Res Cost"}</definedName>
    <definedName name="dada" localSheetId="16" hidden="1">{#N/A,#N/A,FALSE,"O&amp;M by processes";#N/A,#N/A,FALSE,"Elec Act vs Bud";#N/A,#N/A,FALSE,"G&amp;A";#N/A,#N/A,FALSE,"BGS";#N/A,#N/A,FALSE,"Res Cost"}</definedName>
    <definedName name="dada" hidden="1">{#N/A,#N/A,FALSE,"O&amp;M by processes";#N/A,#N/A,FALSE,"Elec Act vs Bud";#N/A,#N/A,FALSE,"G&amp;A";#N/A,#N/A,FALSE,"BGS";#N/A,#N/A,FALSE,"Res Cost"}</definedName>
    <definedName name="Date" hidden="1">"b1"</definedName>
    <definedName name="dd" localSheetId="16" hidden="1">{#N/A,#N/A,FALSE,"95CAPGRY"}</definedName>
    <definedName name="dd" hidden="1">{#N/A,#N/A,FALSE,"95CAPGRY"}</definedName>
    <definedName name="ddd" localSheetId="16" hidden="1">{#N/A,#N/A,FALSE,"Results";#N/A,#N/A,FALSE,"Input Data";#N/A,#N/A,FALSE,"Generation Calculation";#N/A,#N/A,FALSE,"Unit Heat Rate Calculation";#N/A,#N/A,FALSE,"BEFF.XLS";#N/A,#N/A,FALSE,"TURBEFF.XLS";#N/A,#N/A,FALSE,"Final FWH Extraction Flow";#N/A,#N/A,FALSE,"Condenser Performance";#N/A,#N/A,FALSE,"Stage Pressure Correction"}</definedName>
    <definedName name="ddd" hidden="1">{#N/A,#N/A,FALSE,"Results";#N/A,#N/A,FALSE,"Input Data";#N/A,#N/A,FALSE,"Generation Calculation";#N/A,#N/A,FALSE,"Unit Heat Rate Calculation";#N/A,#N/A,FALSE,"BEFF.XLS";#N/A,#N/A,FALSE,"TURBEFF.XLS";#N/A,#N/A,FALSE,"Final FWH Extraction Flow";#N/A,#N/A,FALSE,"Condenser Performance";#N/A,#N/A,FALSE,"Stage Pressure Correction"}</definedName>
    <definedName name="delete" localSheetId="7" hidden="1">{#N/A,#N/A,FALSE,"CURRENT"}</definedName>
    <definedName name="delete" localSheetId="13" hidden="1">{#N/A,#N/A,FALSE,"CURRENT"}</definedName>
    <definedName name="delete" localSheetId="16" hidden="1">{#N/A,#N/A,FALSE,"CURRENT"}</definedName>
    <definedName name="delete" hidden="1">{#N/A,#N/A,FALSE,"CURRENT"}</definedName>
    <definedName name="DELTA" localSheetId="16" hidden="1">{#N/A,#N/A,FALSE,"Sum6 (1)"}</definedName>
    <definedName name="DELTA" hidden="1">{#N/A,#N/A,FALSE,"Sum6 (1)"}</definedName>
    <definedName name="des" localSheetId="16" hidden="1">{#N/A,#N/A,FALSE,"Transaction Summary-DTW";#N/A,#N/A,FALSE,"Proforma Five Yr";#N/A,#N/A,FALSE,"Occ and Rate"}</definedName>
    <definedName name="des" hidden="1">{#N/A,#N/A,FALSE,"Transaction Summary-DTW";#N/A,#N/A,FALSE,"Proforma Five Yr";#N/A,#N/A,FALSE,"Occ and Rate"}</definedName>
    <definedName name="df" localSheetId="16" hidden="1">{2;#N/A;"R13C16:R17C16";#N/A;"R13C14:R17C15";FALSE;FALSE;FALSE;95;#N/A;#N/A;"R13C19";#N/A;FALSE;FALSE;FALSE;FALSE;#N/A;"";#N/A;FALSE;"";"";#N/A;#N/A;#N/A}</definedName>
    <definedName name="df" hidden="1">{2;#N/A;"R13C16:R17C16";#N/A;"R13C14:R17C15";FALSE;FALSE;FALSE;95;#N/A;#N/A;"R13C19";#N/A;FALSE;FALSE;FALSE;FALSE;#N/A;"";#N/A;FALSE;"";"";#N/A;#N/A;#N/A}</definedName>
    <definedName name="dmoe" hidden="1">"45E1EZH1GI603A6TQ7A2B7Y0J"</definedName>
    <definedName name="DocumentName" hidden="1">"b1"</definedName>
    <definedName name="DocumentNum" hidden="1">"a1"</definedName>
    <definedName name="dr" hidden="1">"45E1COOP3K6ZCCKMU61PY1S6R"</definedName>
    <definedName name="eeee" localSheetId="7" hidden="1">{#N/A,#N/A,FALSE,"O&amp;M by processes";#N/A,#N/A,FALSE,"Elec Act vs Bud";#N/A,#N/A,FALSE,"G&amp;A";#N/A,#N/A,FALSE,"BGS";#N/A,#N/A,FALSE,"Res Cost"}</definedName>
    <definedName name="eeee" localSheetId="13" hidden="1">{#N/A,#N/A,FALSE,"O&amp;M by processes";#N/A,#N/A,FALSE,"Elec Act vs Bud";#N/A,#N/A,FALSE,"G&amp;A";#N/A,#N/A,FALSE,"BGS";#N/A,#N/A,FALSE,"Res Cost"}</definedName>
    <definedName name="eeee" localSheetId="16" hidden="1">{#N/A,#N/A,FALSE,"O&amp;M by processes";#N/A,#N/A,FALSE,"Elec Act vs Bud";#N/A,#N/A,FALSE,"G&amp;A";#N/A,#N/A,FALSE,"BGS";#N/A,#N/A,FALSE,"Res Cost"}</definedName>
    <definedName name="eeee" hidden="1">{#N/A,#N/A,FALSE,"O&amp;M by processes";#N/A,#N/A,FALSE,"Elec Act vs Bud";#N/A,#N/A,FALSE,"G&amp;A";#N/A,#N/A,FALSE,"BGS";#N/A,#N/A,FALSE,"Res Cost"}</definedName>
    <definedName name="EPMWorkbookOptions_10" hidden="1">"E5OY4m0EX|yCl9IxOEZxgYxmfCHzJxOn|9V6VqVTRGGloNNdt/LH89L0RnuCpUdpRYkS8elKplecjyKxD6QaBwtQyD4GAY4r0jNAfkKOAwPeknBTl5tWWSgWNBwTN1RBQi|y6iPpRsKWehBbdmT2I8NP4hv94QVN4RE/h4RjzxxFbGM8nhaE1dRN5sHsSeXx4Co83kncElOZQgPQBURzChg|E/B5TfhUWvD/2|IPChhN2PYgSNozJApBY14P07F"</definedName>
    <definedName name="EPMWorkbookOptions_11" hidden="1">"QS9w8lMC1kuJubeCd804VuB/ttdbxYCPH|S48F0wimjWAMEQiuPxeoMhz2Ly6JEUeNK5Uojo12lCrYJx2IFQeX2TwuoTiq2GdxSdfslqinH4H59amnH4nJU6KEGmASaBeS8SDLjvXhOCiNzRjGN0lIEJKiMSxRb2USneqptzJR3srpMc2Ek5ASGEkQmkCQIyCBYJxAmBp9SVzMhkt97LcEqY/9e9CgPvbUxz5lNrtyLN5|C1rGfe23UWg6z|NOI"</definedName>
    <definedName name="EPMWorkbookOptions_12" hidden="1">"z22Sr2tA4IxudXirqHxkCDF3Zo4Z9Lti5oV7HxDgWMbOk/STJrD2auLof/iUg5MoGG7lUoz1fgNXyWDl5ey95b9a2BZv5CVLpYYX6V3b/jlX0ber9boOHeGbRqDCexB|3FTw871z5821UrzFY3/AbMALC1HtQAA"</definedName>
    <definedName name="EPMWorkbookOptions_2" hidden="1">"v1CzwbNtwtrgz4cvypu9201gY3lV0XTSmcPVt629awOn82TaXX9V3oC3bcAxRfUNYQA3K3egtuad/lYF4zzL6g1fo0UL3uBJXGM8nhaE1vaoxDFN0jHlxMB8Wf|oPqICO2o0|yV1e1GVBcT|PjYkDfzaKbjM2jeLn84k5NLYAHt241zr8tWxd9vp8s25F4MtXtDYAL4p7b92aoxGcNc0pnDnLpu4X3TTT8ckgKfXJelnXAayJZd8s7GfYKIbcOF"</definedName>
    <definedName name="EPMWorkbookOptions_3" hidden="1">"R02YuQkju98woijVjAP4uW8duyzQVq16bszq0jirdM21kcqGN1P1DRupH7|RwrtS3Xn5n/PcNlx3kApL6oNYphNw/VsQKOzLrCsOUau1VB2E|xLCvZI2jflBvF1YfQ2p35xPgr29Yc2ou/N2ylWhnDwThfqY64PFca1/O1CoR5xoAlbjS45C4HZfeb/aVCKu4azkKFE2ThcNSD0wEaqELE/DoZKoBEVuW3MD14EH8WHmReEUTtlkUfFRZZODLdH"</definedName>
    <definedName name="EPMWorkbookOptions_4" hidden="1">"fE91d6a0Dbs4dPfjegFGhavZubkOufqTS5gP4d/2ePKNopvdThGIuo/mqTxXcrEY1JaaomrJoUyhRIwHZYS2SLy40df5FW10xaFJu5gGsVjRuOtCeXdJj8A9Puv6ulzH8NwaBl3/NTHkTf1rRD6xzQA2roEcFfTuIi45usu7gFwL2MOJW22q8uacrL9lsuVCsdxx9tvhVT7dTFSjX1vjZV6Mi9|P1ldq5csU6tdHq|uVQLVdcVwo6tld77J9LZi"</definedName>
    <definedName name="EPMWorkbookOptions_5" hidden="1">"B4lrvkB3n99ouncT/d8UsDflmAnx3a6fj95WJFXVRUGjpHykymUW|w1q6uaBs5YuaOtRrZbLEfYel8ROBruLFyBT446Gi2VZ7J9VpsfCm7zGq1JfAUKCz9Vr5Bn4hqNfYV3j3rpH9TasmSfobasvomWRIvAJqm2dPLVdY/Q/FmtlepsSAsU15Zb|o8XritTt9mWKxq8vembPQPYqC4s9kvSM9u4MqvHtBMd6lokw2BuwPqjXuXp|NBiU81yFreU"</definedName>
    <definedName name="EPMWorkbookOptions_6" hidden="1">"H40sjb1RH5UG9XCmVxqMUDPYeRb|iNjWdiME|PcoqK1Kro4FztsyR1bVEnrauMQYO3AW2nGk3hBAuJY8Li7hwlIvvibtMxOj2LlD0jpjZo|/9owsyoxL|o0sKp8PzniJHX8Gx5G3XfSwDJk0HuhAyRK0Y0mPTiqyBvoIIg9N9BE6w6CirXEwseoskUlX0r69i7zUZGwvAY88iPTardXpJnvEQ|PzEJeifWkoISiHT8|4eJtn1id8D5BsFsgWEqZ"</definedName>
    <definedName name="EPMWorkbookOptions_7" hidden="1">"JhNSka3RVe1L7LSY7wLIHhca8YAyEtBMT4pEdV7wRF7UhikppKnqJ6EP16eqdj7xkVMw8ZbSUoEZ|GFHAHkp6RrCfwal8RzgjLiz6UERiY94pxtemXBaUjNTuZPZnYoSFiHw0Ro8UeIeRrTbhQoxiWUcR39VUc1RaWbyWxLCxh2VfcdCtAElW9K7TRJuojc69smvFG8pXg73hIY8JDzQNx5vwtqwrg9hjbOM0qTrGHQ5YQucv9ZkfrNP29vu2o2"</definedName>
    <definedName name="EPMWorkbookOptions_8" hidden="1">"nG5OvDstOv5H|L1f/TTAkx73VciPf3Hs5fa7s66Xq|T21|0Al/9qncEG6x/ufJdw0Z/D9w5kBjsAK210J3pmANzYoaspcOf3R3/4K6xao|XnMv740CP32qTT/hgX7OYAm25rEpVDjR6iLclGOuBVRX3TVbcQCoUiB/IUSuVLAHB/kwkbiCXuANJz6NVIIltkGDOgShHRJjMdEuEgag0uSvkO2KG8wqEIclrUmYDOvcpSasjUiQ|JXGfdFIkQbtp"</definedName>
    <definedName name="EPMWorkbookOptions_9" hidden="1">"444kTVNeT04uQSCBvtQuQH9QhCgIeqYH9yAQ4OZwpjg2OCoUB10L7dUPBAR3GOmZ37zzzORyWEfxT8VkTxd|JkyEL3W8SI4|Js8Mkk5T74AeReJHQk0nCEUFt02919YVAXR5Ffstb4rmPwCSfHkRgY6iZzmBebWmUknjAeKmgeFLaM|rUB5rBWFbovSV8liP7mQsFtMzqnsOi8m9KoHEN3uc6fTpVUw19VB3bkA/yfQ7JL7RI6KXrldRKtXybAY"</definedName>
    <definedName name="etl"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V__LASTREFTIME__" hidden="1">39826.8319444444</definedName>
    <definedName name="evt" localSheetId="16" hidden="1">{#N/A,#N/A,FALSE,"INPUTDATA";#N/A,#N/A,FALSE,"SUMMARY";#N/A,#N/A,FALSE,"CTAREP";#N/A,#N/A,FALSE,"CTBREP";#N/A,#N/A,FALSE,"TURBEFF";#N/A,#N/A,FALSE,"Condenser Performance"}</definedName>
    <definedName name="evt" hidden="1">{#N/A,#N/A,FALSE,"INPUTDATA";#N/A,#N/A,FALSE,"SUMMARY";#N/A,#N/A,FALSE,"CTAREP";#N/A,#N/A,FALSE,"CTBREP";#N/A,#N/A,FALSE,"TURBEFF";#N/A,#N/A,FALSE,"Condenser Performance"}</definedName>
    <definedName name="fer" localSheetId="16" hidden="1">{2;#N/A;"R13C16:R17C16";#N/A;"R13C14:R17C15";FALSE;FALSE;FALSE;95;#N/A;#N/A;"R13C19";#N/A;FALSE;FALSE;FALSE;FALSE;#N/A;"";#N/A;FALSE;"";"";#N/A;#N/A;#N/A}</definedName>
    <definedName name="fer" hidden="1">{2;#N/A;"R13C16:R17C16";#N/A;"R13C14:R17C15";FALSE;FALSE;FALSE;95;#N/A;#N/A;"R13C19";#N/A;FALSE;FALSE;FALSE;FALSE;#N/A;"";#N/A;FALSE;"";"";#N/A;#N/A;#N/A}</definedName>
    <definedName name="fff" localSheetId="16" hidden="1">{#N/A,#N/A,FALSE,"SUMMARY";#N/A,#N/A,FALSE,"INPUTDATA";#N/A,#N/A,FALSE,"Condenser Performance"}</definedName>
    <definedName name="fff" hidden="1">{#N/A,#N/A,FALSE,"SUMMARY";#N/A,#N/A,FALSE,"INPUTDATA";#N/A,#N/A,FALSE,"Condenser Performance"}</definedName>
    <definedName name="forney" localSheetId="16"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G" localSheetId="16" hidden="1">{#N/A,#N/A,FALSE,"Aging Summary";#N/A,#N/A,FALSE,"Ratio Analysis";#N/A,#N/A,FALSE,"Test 120 Day Accts";#N/A,#N/A,FALSE,"Tickmarks"}</definedName>
    <definedName name="G" hidden="1">{#N/A,#N/A,FALSE,"Aging Summary";#N/A,#N/A,FALSE,"Ratio Analysis";#N/A,#N/A,FALSE,"Test 120 Day Accts";#N/A,#N/A,FALSE,"Tickmarks"}</definedName>
    <definedName name="ggg" localSheetId="16" hidden="1">{#N/A,#N/A,FALSE,"T COST";#N/A,#N/A,FALSE,"COST_FH"}</definedName>
    <definedName name="ggg" hidden="1">{#N/A,#N/A,FALSE,"T COST";#N/A,#N/A,FALSE,"COST_FH"}</definedName>
    <definedName name="gggggggggg" localSheetId="16" hidden="1">{#N/A,#N/A,FALSE,"Aging Summary";#N/A,#N/A,FALSE,"Ratio Analysis";#N/A,#N/A,FALSE,"Test 120 Day Accts";#N/A,#N/A,FALSE,"Tickmarks"}</definedName>
    <definedName name="gggggggggg" hidden="1">{#N/A,#N/A,FALSE,"Aging Summary";#N/A,#N/A,FALSE,"Ratio Analysis";#N/A,#N/A,FALSE,"Test 120 Day Accts";#N/A,#N/A,FALSE,"Tickmarks"}</definedName>
    <definedName name="gita" localSheetId="7" hidden="1">{#N/A,#N/A,FALSE,"O&amp;M by processes";#N/A,#N/A,FALSE,"Elec Act vs Bud";#N/A,#N/A,FALSE,"G&amp;A";#N/A,#N/A,FALSE,"BGS";#N/A,#N/A,FALSE,"Res Cost"}</definedName>
    <definedName name="gita" localSheetId="13" hidden="1">{#N/A,#N/A,FALSE,"O&amp;M by processes";#N/A,#N/A,FALSE,"Elec Act vs Bud";#N/A,#N/A,FALSE,"G&amp;A";#N/A,#N/A,FALSE,"BGS";#N/A,#N/A,FALSE,"Res Cost"}</definedName>
    <definedName name="gita" localSheetId="16"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7" hidden="1">{#N/A,#N/A,FALSE,"O&amp;M by processes";#N/A,#N/A,FALSE,"Elec Act vs Bud";#N/A,#N/A,FALSE,"G&amp;A";#N/A,#N/A,FALSE,"BGS";#N/A,#N/A,FALSE,"Res Cost"}</definedName>
    <definedName name="gitah" localSheetId="13" hidden="1">{#N/A,#N/A,FALSE,"O&amp;M by processes";#N/A,#N/A,FALSE,"Elec Act vs Bud";#N/A,#N/A,FALSE,"G&amp;A";#N/A,#N/A,FALSE,"BGS";#N/A,#N/A,FALSE,"Res Cost"}</definedName>
    <definedName name="gitah" localSheetId="16" hidden="1">{#N/A,#N/A,FALSE,"O&amp;M by processes";#N/A,#N/A,FALSE,"Elec Act vs Bud";#N/A,#N/A,FALSE,"G&amp;A";#N/A,#N/A,FALSE,"BGS";#N/A,#N/A,FALSE,"Res Cost"}</definedName>
    <definedName name="gitah" hidden="1">{#N/A,#N/A,FALSE,"O&amp;M by processes";#N/A,#N/A,FALSE,"Elec Act vs Bud";#N/A,#N/A,FALSE,"G&amp;A";#N/A,#N/A,FALSE,"BGS";#N/A,#N/A,FALSE,"Res Cost"}</definedName>
    <definedName name="GOD" localSheetId="16" hidden="1">{#N/A,#N/A,TRUE,"Facility-Input";#N/A,#N/A,TRUE,"Graphs";#N/A,#N/A,TRUE,"TOTAL"}</definedName>
    <definedName name="GOD" hidden="1">{#N/A,#N/A,TRUE,"Facility-Input";#N/A,#N/A,TRUE,"Graphs";#N/A,#N/A,TRUE,"TOTAL"}</definedName>
    <definedName name="golly" localSheetId="16" hidden="1">{#N/A,#N/A,TRUE,"Facility-Input";#N/A,#N/A,TRUE,"Graphs";#N/A,#N/A,TRUE,"TOTAL"}</definedName>
    <definedName name="golly" hidden="1">{#N/A,#N/A,TRUE,"Facility-Input";#N/A,#N/A,TRUE,"Graphs";#N/A,#N/A,TRUE,"TOTAL"}</definedName>
    <definedName name="GOODBYE" localSheetId="16" hidden="1">{#N/A,#N/A,TRUE,"Facility-Input";#N/A,#N/A,TRUE,"Graphs";#N/A,#N/A,TRUE,"TOTAL"}</definedName>
    <definedName name="GOODBYE" hidden="1">{#N/A,#N/A,TRUE,"Facility-Input";#N/A,#N/A,TRUE,"Graphs";#N/A,#N/A,TRUE,"TOTAL"}</definedName>
    <definedName name="hd" localSheetId="16" hidden="1">{#N/A,#N/A,FALSE,"Aging Summary";#N/A,#N/A,FALSE,"Ratio Analysis";#N/A,#N/A,FALSE,"Test 120 Day Accts";#N/A,#N/A,FALSE,"Tickmarks"}</definedName>
    <definedName name="hd" hidden="1">{#N/A,#N/A,FALSE,"Aging Summary";#N/A,#N/A,FALSE,"Ratio Analysis";#N/A,#N/A,FALSE,"Test 120 Day Accts";#N/A,#N/A,FALSE,"Tickmarks"}</definedName>
    <definedName name="hello" localSheetId="16" hidden="1">{#N/A,#N/A,TRUE,"Facility-Input";#N/A,#N/A,TRUE,"Graphs";#N/A,#N/A,TRUE,"TOTAL"}</definedName>
    <definedName name="hello" hidden="1">{#N/A,#N/A,TRUE,"Facility-Input";#N/A,#N/A,TRUE,"Graphs";#N/A,#N/A,TRUE,"TOTAL"}</definedName>
    <definedName name="hhh" localSheetId="16" hidden="1">{"detail305",#N/A,FALSE,"BI-305"}</definedName>
    <definedName name="hhh" hidden="1">{"detail305",#N/A,FALSE,"BI-305"}</definedName>
    <definedName name="hi" localSheetId="16" hidden="1">{#N/A,#N/A,FALSE,"Aging Summary";#N/A,#N/A,FALSE,"Ratio Analysis";#N/A,#N/A,FALSE,"Test 120 Day Accts";#N/A,#N/A,FALSE,"Tickmarks"}</definedName>
    <definedName name="hi" hidden="1">{#N/A,#N/A,FALSE,"Aging Summary";#N/A,#N/A,FALSE,"Ratio Analysis";#N/A,#N/A,FALSE,"Test 120 Day Accts";#N/A,#N/A,FALSE,"Tickmarks"}</definedName>
    <definedName name="ipo" localSheetId="16" hidden="1">{#N/A,#N/A,FALSE,"Aging Summary";#N/A,#N/A,FALSE,"Ratio Analysis";#N/A,#N/A,FALSE,"Test 120 Day Accts";#N/A,#N/A,FALSE,"Tickmarks"}</definedName>
    <definedName name="ipo" hidden="1">{#N/A,#N/A,FALSE,"Aging Summary";#N/A,#N/A,FALSE,"Ratio Analysis";#N/A,#N/A,FALSE,"Test 120 Day Accts";#N/A,#N/A,FALSE,"Tickmarks"}</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42728.1988773148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MONTH" hidden="1">130000</definedName>
    <definedName name="IQ_Z_SCORE" hidden="1">"c1339"</definedName>
    <definedName name="JESUS" localSheetId="16" hidden="1">{#N/A,#N/A,TRUE,"Facility-Input";#N/A,#N/A,TRUE,"Graphs";#N/A,#N/A,TRUE,"TOTAL"}</definedName>
    <definedName name="JESUS" hidden="1">{#N/A,#N/A,TRUE,"Facility-Input";#N/A,#N/A,TRUE,"Graphs";#N/A,#N/A,TRUE,"TOTAL"}</definedName>
    <definedName name="jh" localSheetId="16" hidden="1">{#N/A,#N/A,FALSE,"Aging Summary";#N/A,#N/A,FALSE,"Ratio Analysis";#N/A,#N/A,FALSE,"Test 120 Day Accts";#N/A,#N/A,FALSE,"Tickmarks"}</definedName>
    <definedName name="jh" hidden="1">{#N/A,#N/A,FALSE,"Aging Summary";#N/A,#N/A,FALSE,"Ratio Analysis";#N/A,#N/A,FALSE,"Test 120 Day Accts";#N/A,#N/A,FALSE,"Tickmarks"}</definedName>
    <definedName name="jjj" localSheetId="16" hidden="1">{#N/A,#N/A,FALSE,"INPUTDATA";#N/A,#N/A,FALSE,"SUMMARY";#N/A,#N/A,FALSE,"CTAREP";#N/A,#N/A,FALSE,"CTBREP";#N/A,#N/A,FALSE,"PMG4ST86";#N/A,#N/A,FALSE,"TURBEFF";#N/A,#N/A,FALSE,"Condenser Performance"}</definedName>
    <definedName name="jjj" hidden="1">{#N/A,#N/A,FALSE,"INPUTDATA";#N/A,#N/A,FALSE,"SUMMARY";#N/A,#N/A,FALSE,"CTAREP";#N/A,#N/A,FALSE,"CTBREP";#N/A,#N/A,FALSE,"PMG4ST86";#N/A,#N/A,FALSE,"TURBEFF";#N/A,#N/A,FALSE,"Condenser Performance"}</definedName>
    <definedName name="kkk" localSheetId="16" hidden="1">{#N/A,#N/A,FALSE,"INPUTDATA";#N/A,#N/A,FALSE,"SUMMARY";#N/A,#N/A,FALSE,"CTAREP";#N/A,#N/A,FALSE,"CTBREP";#N/A,#N/A,FALSE,"TURBEFF";#N/A,#N/A,FALSE,"Condenser Performance"}</definedName>
    <definedName name="kkk" hidden="1">{#N/A,#N/A,FALSE,"INPUTDATA";#N/A,#N/A,FALSE,"SUMMARY";#N/A,#N/A,FALSE,"CTAREP";#N/A,#N/A,FALSE,"CTBREP";#N/A,#N/A,FALSE,"TURBEFF";#N/A,#N/A,FALSE,"Condenser Performance"}</definedName>
    <definedName name="ko" localSheetId="16" hidden="1">{#N/A,#N/A,FALSE,"Aging Summary";#N/A,#N/A,FALSE,"Ratio Analysis";#N/A,#N/A,FALSE,"Test 120 Day Accts";#N/A,#N/A,FALSE,"Tickmarks"}</definedName>
    <definedName name="ko" hidden="1">{#N/A,#N/A,FALSE,"Aging Summary";#N/A,#N/A,FALSE,"Ratio Analysis";#N/A,#N/A,FALSE,"Test 120 Day Accts";#N/A,#N/A,FALSE,"Tickmarks"}</definedName>
    <definedName name="lew" localSheetId="16" hidden="1">{#N/A,#N/A,FALSE,"INPUTDATA";#N/A,#N/A,FALSE,"SUMMARY"}</definedName>
    <definedName name="lew" hidden="1">{#N/A,#N/A,FALSE,"INPUTDATA";#N/A,#N/A,FALSE,"SUMMARY"}</definedName>
    <definedName name="Library" hidden="1">"a1"</definedName>
    <definedName name="limcount" hidden="1">1</definedName>
    <definedName name="lll" localSheetId="16" hidden="1">{#N/A,#N/A,FALSE,"INPUTDATA";#N/A,#N/A,FALSE,"SUMMARY";#N/A,#N/A,FALSE,"CTAREP";#N/A,#N/A,FALSE,"CTBREP";#N/A,#N/A,FALSE,"TURBEFF";#N/A,#N/A,FALSE,"Condenser Performance"}</definedName>
    <definedName name="lll" hidden="1">{#N/A,#N/A,FALSE,"INPUTDATA";#N/A,#N/A,FALSE,"SUMMARY";#N/A,#N/A,FALSE,"CTAREP";#N/A,#N/A,FALSE,"CTBREP";#N/A,#N/A,FALSE,"TURBEFF";#N/A,#N/A,FALSE,"Condenser Performance"}</definedName>
    <definedName name="lpo" localSheetId="16" hidden="1">{#N/A,#N/A,FALSE,"Aging Summary";#N/A,#N/A,FALSE,"Ratio Analysis";#N/A,#N/A,FALSE,"Test 120 Day Accts";#N/A,#N/A,FALSE,"Tickmarks"}</definedName>
    <definedName name="lpo" hidden="1">{#N/A,#N/A,FALSE,"Aging Summary";#N/A,#N/A,FALSE,"Ratio Analysis";#N/A,#N/A,FALSE,"Test 120 Day Accts";#N/A,#N/A,FALSE,"Tickmarks"}</definedName>
    <definedName name="mmm" localSheetId="16" hidden="1">{"summary",#N/A,FALSE,"PCR DIRECTORY"}</definedName>
    <definedName name="mmm" hidden="1">{"summary",#N/A,FALSE,"PCR DIRECTORY"}</definedName>
    <definedName name="mmmmm" localSheetId="16" hidden="1">{#N/A,#N/A,FALSE,"SUMMARY";#N/A,#N/A,FALSE,"INPUTDATA";#N/A,#N/A,FALSE,"Condenser Performance"}</definedName>
    <definedName name="mmmmm" hidden="1">{#N/A,#N/A,FALSE,"SUMMARY";#N/A,#N/A,FALSE,"INPUTDATA";#N/A,#N/A,FALSE,"Condenser Performance"}</definedName>
    <definedName name="n"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ada" localSheetId="16" hidden="1">{2;#N/A;"R13C16:R17C16";#N/A;"R13C14:R17C15";FALSE;FALSE;FALSE;95;#N/A;#N/A;"R13C19";#N/A;FALSE;FALSE;FALSE;FALSE;#N/A;"";#N/A;FALSE;"";"";#N/A;#N/A;#N/A}</definedName>
    <definedName name="nada" hidden="1">{2;#N/A;"R13C16:R17C16";#N/A;"R13C14:R17C15";FALSE;FALSE;FALSE;95;#N/A;#N/A;"R13C19";#N/A;FALSE;FALSE;FALSE;FALSE;#N/A;"";#N/A;FALSE;"";"";#N/A;#N/A;#N/A}</definedName>
    <definedName name="newname" localSheetId="16" hidden="1">{#N/A,#N/A,FALSE,"CAP 1998";#N/A,#N/A,FALSE,"CAP 1999";#N/A,#N/A,FALSE,"CAP 2000";#N/A,#N/A,FALSE,"CAP_2001";#N/A,#N/A,FALSE,"CAP_2002";#N/A,#N/A,FALSE,"MAINT_1998";#N/A,#N/A,FALSE,"MAINT_1999";#N/A,#N/A,FALSE,"MAINT_2000";#N/A,#N/A,FALSE,"MAINT_2001";#N/A,#N/A,FALSE,"MAINT_2002"}</definedName>
    <definedName name="newname" hidden="1">{#N/A,#N/A,FALSE,"CAP 1998";#N/A,#N/A,FALSE,"CAP 1999";#N/A,#N/A,FALSE,"CAP 2000";#N/A,#N/A,FALSE,"CAP_2001";#N/A,#N/A,FALSE,"CAP_2002";#N/A,#N/A,FALSE,"MAINT_1998";#N/A,#N/A,FALSE,"MAINT_1999";#N/A,#N/A,FALSE,"MAINT_2000";#N/A,#N/A,FALSE,"MAINT_2001";#N/A,#N/A,FALSE,"MAINT_2002"}</definedName>
    <definedName name="nnnn" localSheetId="16" hidden="1">{#N/A,#N/A,FALSE,"T COST";#N/A,#N/A,FALSE,"COST_FH"}</definedName>
    <definedName name="nnnn" hidden="1">{#N/A,#N/A,FALSE,"T COST";#N/A,#N/A,FALSE,"COST_FH"}</definedName>
    <definedName name="ok" localSheetId="16" hidden="1">{#N/A,#N/A,FALSE,"Aging Summary";#N/A,#N/A,FALSE,"Ratio Analysis";#N/A,#N/A,FALSE,"Test 120 Day Accts";#N/A,#N/A,FALSE,"Tickmarks"}</definedName>
    <definedName name="ok" hidden="1">{#N/A,#N/A,FALSE,"Aging Summary";#N/A,#N/A,FALSE,"Ratio Analysis";#N/A,#N/A,FALSE,"Test 120 Day Accts";#N/A,#N/A,FALSE,"Tickmarks"}</definedName>
    <definedName name="oldname" localSheetId="16" hidden="1">{#N/A,#N/A,FALSE,"CAP 1998";#N/A,#N/A,FALSE,"CAP 1999";#N/A,#N/A,FALSE,"CAP 2000";#N/A,#N/A,FALSE,"CAP_2001";#N/A,#N/A,FALSE,"CAP_2002";#N/A,#N/A,FALSE,"MAINT_1998";#N/A,#N/A,FALSE,"MAINT_1999";#N/A,#N/A,FALSE,"MAINT_2000";#N/A,#N/A,FALSE,"MAINT_2001";#N/A,#N/A,FALSE,"MAINT_2002"}</definedName>
    <definedName name="oldname" hidden="1">{#N/A,#N/A,FALSE,"CAP 1998";#N/A,#N/A,FALSE,"CAP 1999";#N/A,#N/A,FALSE,"CAP 2000";#N/A,#N/A,FALSE,"CAP_2001";#N/A,#N/A,FALSE,"CAP_2002";#N/A,#N/A,FALSE,"MAINT_1998";#N/A,#N/A,FALSE,"MAINT_1999";#N/A,#N/A,FALSE,"MAINT_2000";#N/A,#N/A,FALSE,"MAINT_2001";#N/A,#N/A,FALSE,"MAINT_2002"}</definedName>
    <definedName name="olg" localSheetId="16" hidden="1">{#N/A,#N/A,FALSE,"Results";#N/A,#N/A,FALSE,"Input Data";#N/A,#N/A,FALSE,"Generation Calculation";#N/A,#N/A,FALSE,"Unit Heat Rate Calculation";#N/A,#N/A,FALSE,"BEFF.XLS";#N/A,#N/A,FALSE,"TURBEFF.XLS";#N/A,#N/A,FALSE,"Final FWH Extraction Flow";#N/A,#N/A,FALSE,"Condenser Performance";#N/A,#N/A,FALSE,"Stage Pressure Correction"}</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piu" localSheetId="16" hidden="1">{2;#N/A;"R13C16:R17C16";#N/A;"R13C14:R17C15";FALSE;FALSE;FALSE;95;#N/A;#N/A;"R13C19";#N/A;FALSE;FALSE;FALSE;FALSE;#N/A;"";#N/A;FALSE;"";"";#N/A;#N/A;#N/A}</definedName>
    <definedName name="opiu" hidden="1">{2;#N/A;"R13C16:R17C16";#N/A;"R13C14:R17C15";FALSE;FALSE;FALSE;95;#N/A;#N/A;"R13C19";#N/A;FALSE;FALSE;FALSE;FALSE;#N/A;"";#N/A;FALSE;"";"";#N/A;#N/A;#N/A}</definedName>
    <definedName name="P" localSheetId="16" hidden="1">{#N/A,#N/A,FALSE,"Proforma Five Yr";#N/A,#N/A,FALSE,"Capital Input";#N/A,#N/A,FALSE,"Calculations";#N/A,#N/A,FALSE,"Transaction Summary-DTW"}</definedName>
    <definedName name="P" hidden="1">{#N/A,#N/A,FALSE,"Proforma Five Yr";#N/A,#N/A,FALSE,"Capital Input";#N/A,#N/A,FALSE,"Calculations";#N/A,#N/A,FALSE,"Transaction Summary-DTW"}</definedName>
    <definedName name="PCap" localSheetId="16" hidden="1">#REF!</definedName>
    <definedName name="PCap" hidden="1">#REF!</definedName>
    <definedName name="pig_dig5" localSheetId="16" hidden="1">{#N/A,#N/A,FALSE,"T COST";#N/A,#N/A,FALSE,"COST_FH"}</definedName>
    <definedName name="pig_dig5" hidden="1">{#N/A,#N/A,FALSE,"T COST";#N/A,#N/A,FALSE,"COST_FH"}</definedName>
    <definedName name="pig_dog" localSheetId="16"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16" hidden="1">{"EXCELHLP.HLP!1802";5;10;5;10;13;13;13;8;5;5;10;14;13;13;13;13;5;10;14;13;5;10;1;2;24}</definedName>
    <definedName name="pig_dog\" hidden="1">{"EXCELHLP.HLP!1802";5;10;5;10;13;13;13;8;5;5;10;14;13;13;13;13;5;10;14;13;5;10;1;2;24}</definedName>
    <definedName name="pig_dog2"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16"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16" hidden="1">{#N/A,#N/A,FALSE,"SUMMARY";#N/A,#N/A,FALSE,"INPUTDATA";#N/A,#N/A,FALSE,"Condenser Performance"}</definedName>
    <definedName name="pig_dog4" hidden="1">{#N/A,#N/A,FALSE,"SUMMARY";#N/A,#N/A,FALSE,"INPUTDATA";#N/A,#N/A,FALSE,"Condenser Performance"}</definedName>
    <definedName name="pig_dog6" localSheetId="16"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16" hidden="1">{#N/A,#N/A,FALSE,"INPUTDATA";#N/A,#N/A,FALSE,"SUMMARY"}</definedName>
    <definedName name="pig_dog7" hidden="1">{#N/A,#N/A,FALSE,"INPUTDATA";#N/A,#N/A,FALSE,"SUMMARY"}</definedName>
    <definedName name="pig_dog8" localSheetId="16"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ka" localSheetId="16" hidden="1">{#N/A,#N/A,FALSE,"INPUTDATA";#N/A,#N/A,FALSE,"SUMMARY";#N/A,#N/A,FALSE,"CTAREP";#N/A,#N/A,FALSE,"CTBREP";#N/A,#N/A,FALSE,"PMG4ST86";#N/A,#N/A,FALSE,"TURBEFF";#N/A,#N/A,FALSE,"Condenser Performance"}</definedName>
    <definedName name="pka" hidden="1">{#N/A,#N/A,FALSE,"INPUTDATA";#N/A,#N/A,FALSE,"SUMMARY";#N/A,#N/A,FALSE,"CTAREP";#N/A,#N/A,FALSE,"CTBREP";#N/A,#N/A,FALSE,"PMG4ST86";#N/A,#N/A,FALSE,"TURBEFF";#N/A,#N/A,FALSE,"Condenser Performance"}</definedName>
    <definedName name="pms" localSheetId="16" hidden="1">{"detail305",#N/A,FALSE,"BI-305"}</definedName>
    <definedName name="pms" hidden="1">{"detail305",#N/A,FALSE,"BI-305"}</definedName>
    <definedName name="pnc" localSheetId="16" hidden="1">{#N/A,#N/A,FALSE,"T COST";#N/A,#N/A,FALSE,"COST_FH"}</definedName>
    <definedName name="pnc" hidden="1">{#N/A,#N/A,FALSE,"T COST";#N/A,#N/A,FALSE,"COST_FH"}</definedName>
    <definedName name="poiuy" localSheetId="16" hidden="1">{#N/A,#N/A,FALSE,"Aging Summary";#N/A,#N/A,FALSE,"Ratio Analysis";#N/A,#N/A,FALSE,"Test 120 Day Accts";#N/A,#N/A,FALSE,"Tickmarks"}</definedName>
    <definedName name="poiuy" hidden="1">{#N/A,#N/A,FALSE,"Aging Summary";#N/A,#N/A,FALSE,"Ratio Analysis";#N/A,#N/A,FALSE,"Test 120 Day Accts";#N/A,#N/A,FALSE,"Tickmarks"}</definedName>
    <definedName name="prb" localSheetId="16" hidden="1">{"summary",#N/A,FALSE,"PCR DIRECTORY"}</definedName>
    <definedName name="prb" hidden="1">{"summary",#N/A,FALSE,"PCR DIRECTORY"}</definedName>
    <definedName name="_xlnm.Print_Area" localSheetId="2">'1 - Revenue Credits'!$A$1:$H$47</definedName>
    <definedName name="_xlnm.Print_Area" localSheetId="4">'3 - Cost Support'!$A$1:$N$137</definedName>
    <definedName name="_xlnm.Print_Area" localSheetId="7">'5 - True-Up'!$A$1:$J$45</definedName>
    <definedName name="_xlnm.Print_Area" localSheetId="10">'6c- ADIT BOY'!$A$1:$H$84</definedName>
    <definedName name="_xlnm.Print_Area" localSheetId="13">'7- Depreciation Rates'!$A$1:$F$54</definedName>
    <definedName name="_xlnm.Print_Area" localSheetId="1">'Appendix A'!$A$1:$M$312</definedName>
    <definedName name="qqqqqqq" localSheetId="16" hidden="1">{#N/A,#N/A,FALSE,"Sum6 (1)"}</definedName>
    <definedName name="qqqqqqq" hidden="1">{#N/A,#N/A,FALSE,"Sum6 (1)"}</definedName>
    <definedName name="rename" localSheetId="16" hidden="1">{#N/A,#N/A,FALSE,"Aging Summary";#N/A,#N/A,FALSE,"Ratio Analysis";#N/A,#N/A,FALSE,"Test 120 Day Accts";#N/A,#N/A,FALSE,"Tickmarks"}</definedName>
    <definedName name="rename" hidden="1">{#N/A,#N/A,FALSE,"Aging Summary";#N/A,#N/A,FALSE,"Ratio Analysis";#N/A,#N/A,FALSE,"Test 120 Day Accts";#N/A,#N/A,FALSE,"Tickmarks"}</definedName>
    <definedName name="rrr" localSheetId="16" hidden="1">{#N/A,#N/A,FALSE,"INPUTDATA";#N/A,#N/A,FALSE,"SUMMARY"}</definedName>
    <definedName name="rrr" hidden="1">{#N/A,#N/A,FALSE,"INPUTDATA";#N/A,#N/A,FALSE,"SUMMARY"}</definedName>
    <definedName name="rrrr" localSheetId="7" hidden="1">{#N/A,#N/A,FALSE,"O&amp;M by processes";#N/A,#N/A,FALSE,"Elec Act vs Bud";#N/A,#N/A,FALSE,"G&amp;A";#N/A,#N/A,FALSE,"BGS";#N/A,#N/A,FALSE,"Res Cost"}</definedName>
    <definedName name="rrrr" localSheetId="13" hidden="1">{#N/A,#N/A,FALSE,"O&amp;M by processes";#N/A,#N/A,FALSE,"Elec Act vs Bud";#N/A,#N/A,FALSE,"G&amp;A";#N/A,#N/A,FALSE,"BGS";#N/A,#N/A,FALSE,"Res Cost"}</definedName>
    <definedName name="rrrr" localSheetId="16" hidden="1">{#N/A,#N/A,FALSE,"O&amp;M by processes";#N/A,#N/A,FALSE,"Elec Act vs Bud";#N/A,#N/A,FALSE,"G&amp;A";#N/A,#N/A,FALSE,"BGS";#N/A,#N/A,FALSE,"Res Cost"}</definedName>
    <definedName name="rrrr" hidden="1">{#N/A,#N/A,FALSE,"O&amp;M by processes";#N/A,#N/A,FALSE,"Elec Act vs Bud";#N/A,#N/A,FALSE,"G&amp;A";#N/A,#N/A,FALSE,"BGS";#N/A,#N/A,FALSE,"Res Cost"}</definedName>
    <definedName name="SAPBEXdnldView" hidden="1">"4NX8T6ML5DBP7B1A19FB30XSU"</definedName>
    <definedName name="SAPBEXhrIndnt" hidden="1">2</definedName>
    <definedName name="SAPBEXrevision" hidden="1">2</definedName>
    <definedName name="SAPBEXsysID" hidden="1">"GP1"</definedName>
    <definedName name="SAPBEXwbID" hidden="1">"0QPV4RF636ZQNL5RK8PWSJVGT"</definedName>
    <definedName name="SAPsysID" hidden="1">"708C5W7SBKP804JT78WJ0JNKI"</definedName>
    <definedName name="SAPwbID" hidden="1">"ARS"</definedName>
    <definedName name="sencount" hidden="1">1</definedName>
    <definedName name="shiva" localSheetId="7" hidden="1">{#N/A,#N/A,FALSE,"O&amp;M by processes";#N/A,#N/A,FALSE,"Elec Act vs Bud";#N/A,#N/A,FALSE,"G&amp;A";#N/A,#N/A,FALSE,"BGS";#N/A,#N/A,FALSE,"Res Cost"}</definedName>
    <definedName name="shiva" localSheetId="13" hidden="1">{#N/A,#N/A,FALSE,"O&amp;M by processes";#N/A,#N/A,FALSE,"Elec Act vs Bud";#N/A,#N/A,FALSE,"G&amp;A";#N/A,#N/A,FALSE,"BGS";#N/A,#N/A,FALSE,"Res Cost"}</definedName>
    <definedName name="shiva" localSheetId="16" hidden="1">{#N/A,#N/A,FALSE,"O&amp;M by processes";#N/A,#N/A,FALSE,"Elec Act vs Bud";#N/A,#N/A,FALSE,"G&amp;A";#N/A,#N/A,FALSE,"BGS";#N/A,#N/A,FALSE,"Res Cost"}</definedName>
    <definedName name="shiva" hidden="1">{#N/A,#N/A,FALSE,"O&amp;M by processes";#N/A,#N/A,FALSE,"Elec Act vs Bud";#N/A,#N/A,FALSE,"G&amp;A";#N/A,#N/A,FALSE,"BGS";#N/A,#N/A,FALSE,"Res Cost"}</definedName>
    <definedName name="Sites" localSheetId="16" hidden="1">{#N/A,#N/A,TRUE,"TOTAL DISTRIBUTION";#N/A,#N/A,TRUE,"SOUTH";#N/A,#N/A,TRUE,"NORTHEAST";#N/A,#N/A,TRUE,"WEST"}</definedName>
    <definedName name="Sites" hidden="1">{#N/A,#N/A,TRUE,"TOTAL DISTRIBUTION";#N/A,#N/A,TRUE,"SOUTH";#N/A,#N/A,TRUE,"NORTHEAST";#N/A,#N/A,TRUE,"WEST"}</definedName>
    <definedName name="Sitesdate" localSheetId="16" hidden="1">{#N/A,#N/A,TRUE,"TOTAL DSBN";#N/A,#N/A,TRUE,"WEST";#N/A,#N/A,TRUE,"SOUTH";#N/A,#N/A,TRUE,"NORTHEAST"}</definedName>
    <definedName name="Sitesdate" hidden="1">{#N/A,#N/A,TRUE,"TOTAL DSBN";#N/A,#N/A,TRUE,"WEST";#N/A,#N/A,TRUE,"SOUTH";#N/A,#N/A,TRUE,"NORTHEAST"}</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17</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ss"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ss"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tatsrevised" localSheetId="7" hidden="1">{#N/A,#N/A,FALSE,"O&amp;M by processes";#N/A,#N/A,FALSE,"Elec Act vs Bud";#N/A,#N/A,FALSE,"G&amp;A";#N/A,#N/A,FALSE,"BGS";#N/A,#N/A,FALSE,"Res Cost"}</definedName>
    <definedName name="statsrevised" localSheetId="13" hidden="1">{#N/A,#N/A,FALSE,"O&amp;M by processes";#N/A,#N/A,FALSE,"Elec Act vs Bud";#N/A,#N/A,FALSE,"G&amp;A";#N/A,#N/A,FALSE,"BGS";#N/A,#N/A,FALSE,"Res Cost"}</definedName>
    <definedName name="statsrevised" localSheetId="16" hidden="1">{#N/A,#N/A,FALSE,"O&amp;M by processes";#N/A,#N/A,FALSE,"Elec Act vs Bud";#N/A,#N/A,FALSE,"G&amp;A";#N/A,#N/A,FALSE,"BGS";#N/A,#N/A,FALSE,"Res Cost"}</definedName>
    <definedName name="statsrevised" hidden="1">{#N/A,#N/A,FALSE,"O&amp;M by processes";#N/A,#N/A,FALSE,"Elec Act vs Bud";#N/A,#N/A,FALSE,"G&amp;A";#N/A,#N/A,FALSE,"BGS";#N/A,#N/A,FALSE,"Res Cost"}</definedName>
    <definedName name="Sub" localSheetId="16" hidden="1">{#N/A,#N/A,TRUE,"Task Status";#N/A,#N/A,TRUE,"Document Status";#N/A,#N/A,TRUE,"Percent Complete";#N/A,#N/A,TRUE,"Manhour Sum"}</definedName>
    <definedName name="Sub" hidden="1">{#N/A,#N/A,TRUE,"Task Status";#N/A,#N/A,TRUE,"Document Status";#N/A,#N/A,TRUE,"Percent Complete";#N/A,#N/A,TRUE,"Manhour Sum"}</definedName>
    <definedName name="support" localSheetId="7" hidden="1">{#N/A,#N/A,FALSE,"O&amp;M by processes";#N/A,#N/A,FALSE,"Elec Act vs Bud";#N/A,#N/A,FALSE,"G&amp;A";#N/A,#N/A,FALSE,"BGS";#N/A,#N/A,FALSE,"Res Cost"}</definedName>
    <definedName name="support" localSheetId="13" hidden="1">{#N/A,#N/A,FALSE,"O&amp;M by processes";#N/A,#N/A,FALSE,"Elec Act vs Bud";#N/A,#N/A,FALSE,"G&amp;A";#N/A,#N/A,FALSE,"BGS";#N/A,#N/A,FALSE,"Res Cost"}</definedName>
    <definedName name="support" localSheetId="16"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7" hidden="1">{#N/A,#N/A,FALSE,"O&amp;M by processes";#N/A,#N/A,FALSE,"Elec Act vs Bud";#N/A,#N/A,FALSE,"G&amp;A";#N/A,#N/A,FALSE,"BGS";#N/A,#N/A,FALSE,"Res Cost"}</definedName>
    <definedName name="supporti" localSheetId="13" hidden="1">{#N/A,#N/A,FALSE,"O&amp;M by processes";#N/A,#N/A,FALSE,"Elec Act vs Bud";#N/A,#N/A,FALSE,"G&amp;A";#N/A,#N/A,FALSE,"BGS";#N/A,#N/A,FALSE,"Res Cost"}</definedName>
    <definedName name="supporti" localSheetId="16" hidden="1">{#N/A,#N/A,FALSE,"O&amp;M by processes";#N/A,#N/A,FALSE,"Elec Act vs Bud";#N/A,#N/A,FALSE,"G&amp;A";#N/A,#N/A,FALSE,"BGS";#N/A,#N/A,FALSE,"Res Cost"}</definedName>
    <definedName name="supporti" hidden="1">{#N/A,#N/A,FALSE,"O&amp;M by processes";#N/A,#N/A,FALSE,"Elec Act vs Bud";#N/A,#N/A,FALSE,"G&amp;A";#N/A,#N/A,FALSE,"BGS";#N/A,#N/A,FALSE,"Res Cost"}</definedName>
    <definedName name="teast" localSheetId="16" hidden="1">{#N/A,#N/A,TRUE,"TOTAL DSBN";#N/A,#N/A,TRUE,"WEST";#N/A,#N/A,TRUE,"SOUTH";#N/A,#N/A,TRUE,"NORTHEAST"}</definedName>
    <definedName name="teast" hidden="1">{#N/A,#N/A,TRUE,"TOTAL DSBN";#N/A,#N/A,TRUE,"WEST";#N/A,#N/A,TRUE,"SOUTH";#N/A,#N/A,TRUE,"NORTHEAST"}</definedName>
    <definedName name="temp" localSheetId="16" hidden="1">{#N/A,#N/A,TRUE,"Task Status";#N/A,#N/A,TRUE,"Document Status";#N/A,#N/A,TRUE,"Percent Complete";#N/A,#N/A,TRUE,"Manhour Sum"}</definedName>
    <definedName name="temp" hidden="1">{#N/A,#N/A,TRUE,"Task Status";#N/A,#N/A,TRUE,"Document Status";#N/A,#N/A,TRUE,"Percent Complete";#N/A,#N/A,TRUE,"Manhour Sum"}</definedName>
    <definedName name="temp1" localSheetId="16" hidden="1">{#N/A,#N/A,TRUE,"Task Status";#N/A,#N/A,TRUE,"Document Status";#N/A,#N/A,TRUE,"Percent Complete";#N/A,#N/A,TRUE,"Manhour Sum"}</definedName>
    <definedName name="temp1" hidden="1">{#N/A,#N/A,TRUE,"Task Status";#N/A,#N/A,TRUE,"Document Status";#N/A,#N/A,TRUE,"Percent Complete";#N/A,#N/A,TRUE,"Manhour Sum"}</definedName>
    <definedName name="temp2" localSheetId="16" hidden="1">{#N/A,#N/A,TRUE,"Task Status";#N/A,#N/A,TRUE,"Document Status";#N/A,#N/A,TRUE,"Percent Complete";#N/A,#N/A,TRUE,"Manhour Sum"}</definedName>
    <definedName name="temp2" hidden="1">{#N/A,#N/A,TRUE,"Task Status";#N/A,#N/A,TRUE,"Document Status";#N/A,#N/A,TRUE,"Percent Complete";#N/A,#N/A,TRUE,"Manhour Sum"}</definedName>
    <definedName name="test" localSheetId="16" hidden="1">{#N/A,#N/A,TRUE,"Facility-Input";#N/A,#N/A,TRUE,"Graphs";#N/A,#N/A,TRUE,"TOTAL"}</definedName>
    <definedName name="test" hidden="1">{#N/A,#N/A,TRUE,"Facility-Input";#N/A,#N/A,TRUE,"Graphs";#N/A,#N/A,TRUE,"TOTAL"}</definedName>
    <definedName name="test12" localSheetId="16" hidden="1">{"assumptions",#N/A,FALSE,"Scenario 1";"valuation",#N/A,FALSE,"Scenario 1"}</definedName>
    <definedName name="test12" hidden="1">{"assumptions",#N/A,FALSE,"Scenario 1";"valuation",#N/A,FALSE,"Scenario 1"}</definedName>
    <definedName name="test13" localSheetId="16" hidden="1">{"LBO Summary",#N/A,FALSE,"Summary"}</definedName>
    <definedName name="test13" hidden="1">{"LBO Summary",#N/A,FALSE,"Summary"}</definedName>
    <definedName name="test14" localSheetId="16"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6"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6"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ing" localSheetId="16" hidden="1">{"detail305",#N/A,FALSE,"BI-305"}</definedName>
    <definedName name="testing" hidden="1">{"detail305",#N/A,FALSE,"BI-305"}</definedName>
    <definedName name="TextRefCopyRangeCount" hidden="1">99</definedName>
    <definedName name="Time" hidden="1">"b1"</definedName>
    <definedName name="toma" localSheetId="7" hidden="1">{#N/A,#N/A,FALSE,"O&amp;M by processes";#N/A,#N/A,FALSE,"Elec Act vs Bud";#N/A,#N/A,FALSE,"G&amp;A";#N/A,#N/A,FALSE,"BGS";#N/A,#N/A,FALSE,"Res Cost"}</definedName>
    <definedName name="toma" localSheetId="13" hidden="1">{#N/A,#N/A,FALSE,"O&amp;M by processes";#N/A,#N/A,FALSE,"Elec Act vs Bud";#N/A,#N/A,FALSE,"G&amp;A";#N/A,#N/A,FALSE,"BGS";#N/A,#N/A,FALSE,"Res Cost"}</definedName>
    <definedName name="toma" localSheetId="16"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7" hidden="1">{#N/A,#N/A,FALSE,"O&amp;M by processes";#N/A,#N/A,FALSE,"Elec Act vs Bud";#N/A,#N/A,FALSE,"G&amp;A";#N/A,#N/A,FALSE,"BGS";#N/A,#N/A,FALSE,"Res Cost"}</definedName>
    <definedName name="tomb" localSheetId="13" hidden="1">{#N/A,#N/A,FALSE,"O&amp;M by processes";#N/A,#N/A,FALSE,"Elec Act vs Bud";#N/A,#N/A,FALSE,"G&amp;A";#N/A,#N/A,FALSE,"BGS";#N/A,#N/A,FALSE,"Res Cost"}</definedName>
    <definedName name="tomb" localSheetId="16"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7" hidden="1">{#N/A,#N/A,FALSE,"O&amp;M by processes";#N/A,#N/A,FALSE,"Elec Act vs Bud";#N/A,#N/A,FALSE,"G&amp;A";#N/A,#N/A,FALSE,"BGS";#N/A,#N/A,FALSE,"Res Cost"}</definedName>
    <definedName name="tomc" localSheetId="13" hidden="1">{#N/A,#N/A,FALSE,"O&amp;M by processes";#N/A,#N/A,FALSE,"Elec Act vs Bud";#N/A,#N/A,FALSE,"G&amp;A";#N/A,#N/A,FALSE,"BGS";#N/A,#N/A,FALSE,"Res Cost"}</definedName>
    <definedName name="tomc" localSheetId="16"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7" hidden="1">{#N/A,#N/A,FALSE,"O&amp;M by processes";#N/A,#N/A,FALSE,"Elec Act vs Bud";#N/A,#N/A,FALSE,"G&amp;A";#N/A,#N/A,FALSE,"BGS";#N/A,#N/A,FALSE,"Res Cost"}</definedName>
    <definedName name="tomd" localSheetId="13" hidden="1">{#N/A,#N/A,FALSE,"O&amp;M by processes";#N/A,#N/A,FALSE,"Elec Act vs Bud";#N/A,#N/A,FALSE,"G&amp;A";#N/A,#N/A,FALSE,"BGS";#N/A,#N/A,FALSE,"Res Cost"}</definedName>
    <definedName name="tomd" localSheetId="16"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7" hidden="1">{#N/A,#N/A,FALSE,"O&amp;M by processes";#N/A,#N/A,FALSE,"Elec Act vs Bud";#N/A,#N/A,FALSE,"G&amp;A";#N/A,#N/A,FALSE,"BGS";#N/A,#N/A,FALSE,"Res Cost"}</definedName>
    <definedName name="tomx" localSheetId="13" hidden="1">{#N/A,#N/A,FALSE,"O&amp;M by processes";#N/A,#N/A,FALSE,"Elec Act vs Bud";#N/A,#N/A,FALSE,"G&amp;A";#N/A,#N/A,FALSE,"BGS";#N/A,#N/A,FALSE,"Res Cost"}</definedName>
    <definedName name="tomx" localSheetId="16"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7" hidden="1">{#N/A,#N/A,FALSE,"O&amp;M by processes";#N/A,#N/A,FALSE,"Elec Act vs Bud";#N/A,#N/A,FALSE,"G&amp;A";#N/A,#N/A,FALSE,"BGS";#N/A,#N/A,FALSE,"Res Cost"}</definedName>
    <definedName name="tomy" localSheetId="13" hidden="1">{#N/A,#N/A,FALSE,"O&amp;M by processes";#N/A,#N/A,FALSE,"Elec Act vs Bud";#N/A,#N/A,FALSE,"G&amp;A";#N/A,#N/A,FALSE,"BGS";#N/A,#N/A,FALSE,"Res Cost"}</definedName>
    <definedName name="tomy" localSheetId="16"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7" hidden="1">{#N/A,#N/A,FALSE,"O&amp;M by processes";#N/A,#N/A,FALSE,"Elec Act vs Bud";#N/A,#N/A,FALSE,"G&amp;A";#N/A,#N/A,FALSE,"BGS";#N/A,#N/A,FALSE,"Res Cost"}</definedName>
    <definedName name="tomz" localSheetId="13" hidden="1">{#N/A,#N/A,FALSE,"O&amp;M by processes";#N/A,#N/A,FALSE,"Elec Act vs Bud";#N/A,#N/A,FALSE,"G&amp;A";#N/A,#N/A,FALSE,"BGS";#N/A,#N/A,FALSE,"Res Cost"}</definedName>
    <definedName name="tomz" localSheetId="16" hidden="1">{#N/A,#N/A,FALSE,"O&amp;M by processes";#N/A,#N/A,FALSE,"Elec Act vs Bud";#N/A,#N/A,FALSE,"G&amp;A";#N/A,#N/A,FALSE,"BGS";#N/A,#N/A,FALSE,"Res Cost"}</definedName>
    <definedName name="tomz" hidden="1">{#N/A,#N/A,FALSE,"O&amp;M by processes";#N/A,#N/A,FALSE,"Elec Act vs Bud";#N/A,#N/A,FALSE,"G&amp;A";#N/A,#N/A,FALSE,"BGS";#N/A,#N/A,FALSE,"Res Cost"}</definedName>
    <definedName name="trd" hidden="1">"482RCYR3X4CO6WX6MKKSR9X4J"</definedName>
    <definedName name="ttt" localSheetId="16" hidden="1">{#N/A,#N/A,FALSE,"INPUTDATA";#N/A,#N/A,FALSE,"SUMMARY";#N/A,#N/A,FALSE,"CTAREP";#N/A,#N/A,FALSE,"CTBREP";#N/A,#N/A,FALSE,"PMG4ST86";#N/A,#N/A,FALSE,"TURBEFF";#N/A,#N/A,FALSE,"Condenser Performance"}</definedName>
    <definedName name="ttt" hidden="1">{#N/A,#N/A,FALSE,"INPUTDATA";#N/A,#N/A,FALSE,"SUMMARY";#N/A,#N/A,FALSE,"CTAREP";#N/A,#N/A,FALSE,"CTBREP";#N/A,#N/A,FALSE,"PMG4ST86";#N/A,#N/A,FALSE,"TURBEFF";#N/A,#N/A,FALSE,"Condenser Performance"}</definedName>
    <definedName name="Typist" hidden="1">"b1"</definedName>
    <definedName name="uod" localSheetId="16" hidden="1">{"detail305",#N/A,FALSE,"BI-305"}</definedName>
    <definedName name="uod" hidden="1">{"detail305",#N/A,FALSE,"BI-305"}</definedName>
    <definedName name="v" localSheetId="16"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alue" localSheetId="16" hidden="1">{"assumptions",#N/A,FALSE,"Scenario 1";"valuation",#N/A,FALSE,"Scenario 1"}</definedName>
    <definedName name="Value" hidden="1">{"assumptions",#N/A,FALSE,"Scenario 1";"valuation",#N/A,FALSE,"Scenario 1"}</definedName>
    <definedName name="value1" localSheetId="16" hidden="1">{#N/A,#N/A,FALSE,"Cashflow Analysis";#N/A,#N/A,FALSE,"Sensitivity Analysis";#N/A,#N/A,FALSE,"PV";#N/A,#N/A,FALSE,"Pro Forma"}</definedName>
    <definedName name="value1" hidden="1">{#N/A,#N/A,FALSE,"Cashflow Analysis";#N/A,#N/A,FALSE,"Sensitivity Analysis";#N/A,#N/A,FALSE,"PV";#N/A,#N/A,FALSE,"Pro Forma"}</definedName>
    <definedName name="Version" hidden="1">"a1"</definedName>
    <definedName name="vgtl" localSheetId="16" hidden="1">{#N/A,#N/A,FALSE,"INPUTDATA";#N/A,#N/A,FALSE,"SUMMARY"}</definedName>
    <definedName name="vgtl" hidden="1">{#N/A,#N/A,FALSE,"INPUTDATA";#N/A,#N/A,FALSE,"SUMMARY"}</definedName>
    <definedName name="vvv" localSheetId="16" hidden="1">{"EXCELHLP.HLP!1802";5;10;5;10;13;13;13;8;5;5;10;14;13;13;13;13;5;10;14;13;5;10;1;2;24}</definedName>
    <definedName name="vvv" hidden="1">{"EXCELHLP.HLP!1802";5;10;5;10;13;13;13;8;5;5;10;14;13;13;13;13;5;10;14;13;5;10;1;2;24}</definedName>
    <definedName name="WFC" hidden="1">#REF!</definedName>
    <definedName name="wfe"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h" localSheetId="7" hidden="1">{#N/A,#N/A,FALSE,"O&amp;M by processes";#N/A,#N/A,FALSE,"Elec Act vs Bud";#N/A,#N/A,FALSE,"G&amp;A";#N/A,#N/A,FALSE,"BGS";#N/A,#N/A,FALSE,"Res Cost"}</definedName>
    <definedName name="wh" localSheetId="13" hidden="1">{#N/A,#N/A,FALSE,"O&amp;M by processes";#N/A,#N/A,FALSE,"Elec Act vs Bud";#N/A,#N/A,FALSE,"G&amp;A";#N/A,#N/A,FALSE,"BGS";#N/A,#N/A,FALSE,"Res Cost"}</definedName>
    <definedName name="wh" localSheetId="16" hidden="1">{#N/A,#N/A,FALSE,"O&amp;M by processes";#N/A,#N/A,FALSE,"Elec Act vs Bud";#N/A,#N/A,FALSE,"G&amp;A";#N/A,#N/A,FALSE,"BGS";#N/A,#N/A,FALSE,"Res Cost"}</definedName>
    <definedName name="wh" hidden="1">{#N/A,#N/A,FALSE,"O&amp;M by processes";#N/A,#N/A,FALSE,"Elec Act vs Bud";#N/A,#N/A,FALSE,"G&amp;A";#N/A,#N/A,FALSE,"BGS";#N/A,#N/A,FALSE,"Res Cost"}</definedName>
    <definedName name="what" localSheetId="7" hidden="1">{#N/A,#N/A,FALSE,"O&amp;M by processes";#N/A,#N/A,FALSE,"Elec Act vs Bud";#N/A,#N/A,FALSE,"G&amp;A";#N/A,#N/A,FALSE,"BGS";#N/A,#N/A,FALSE,"Res Cost"}</definedName>
    <definedName name="what" localSheetId="13" hidden="1">{#N/A,#N/A,FALSE,"O&amp;M by processes";#N/A,#N/A,FALSE,"Elec Act vs Bud";#N/A,#N/A,FALSE,"G&amp;A";#N/A,#N/A,FALSE,"BGS";#N/A,#N/A,FALSE,"Res Cost"}</definedName>
    <definedName name="what" localSheetId="16"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7" hidden="1">{#N/A,#N/A,FALSE,"O&amp;M by processes";#N/A,#N/A,FALSE,"Elec Act vs Bud";#N/A,#N/A,FALSE,"G&amp;A";#N/A,#N/A,FALSE,"BGS";#N/A,#N/A,FALSE,"Res Cost"}</definedName>
    <definedName name="Whatwhat" localSheetId="13" hidden="1">{#N/A,#N/A,FALSE,"O&amp;M by processes";#N/A,#N/A,FALSE,"Elec Act vs Bud";#N/A,#N/A,FALSE,"G&amp;A";#N/A,#N/A,FALSE,"BGS";#N/A,#N/A,FALSE,"Res Cost"}</definedName>
    <definedName name="Whatwhat" localSheetId="16" hidden="1">{#N/A,#N/A,FALSE,"O&amp;M by processes";#N/A,#N/A,FALSE,"Elec Act vs Bud";#N/A,#N/A,FALSE,"G&amp;A";#N/A,#N/A,FALSE,"BGS";#N/A,#N/A,FALSE,"Res Cost"}</definedName>
    <definedName name="Whatwhat" hidden="1">{#N/A,#N/A,FALSE,"O&amp;M by processes";#N/A,#N/A,FALSE,"Elec Act vs Bud";#N/A,#N/A,FALSE,"G&amp;A";#N/A,#N/A,FALSE,"BGS";#N/A,#N/A,FALSE,"Res Cost"}</definedName>
    <definedName name="whnos" localSheetId="16" hidden="1">{#N/A,#N/A,TRUE,"TOTAL DSBN";#N/A,#N/A,TRUE,"WEST";#N/A,#N/A,TRUE,"SOUTH";#N/A,#N/A,TRUE,"NORTHEAST"}</definedName>
    <definedName name="whnos" hidden="1">{#N/A,#N/A,TRUE,"TOTAL DSBN";#N/A,#N/A,TRUE,"WEST";#N/A,#N/A,TRUE,"SOUTH";#N/A,#N/A,TRUE,"NORTHEAST"}</definedName>
    <definedName name="who" localSheetId="7" hidden="1">{#N/A,#N/A,FALSE,"O&amp;M by processes";#N/A,#N/A,FALSE,"Elec Act vs Bud";#N/A,#N/A,FALSE,"G&amp;A";#N/A,#N/A,FALSE,"BGS";#N/A,#N/A,FALSE,"Res Cost"}</definedName>
    <definedName name="who" localSheetId="13" hidden="1">{#N/A,#N/A,FALSE,"O&amp;M by processes";#N/A,#N/A,FALSE,"Elec Act vs Bud";#N/A,#N/A,FALSE,"G&amp;A";#N/A,#N/A,FALSE,"BGS";#N/A,#N/A,FALSE,"Res Cost"}</definedName>
    <definedName name="who" localSheetId="16"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7" hidden="1">{#N/A,#N/A,FALSE,"O&amp;M by processes";#N/A,#N/A,FALSE,"Elec Act vs Bud";#N/A,#N/A,FALSE,"G&amp;A";#N/A,#N/A,FALSE,"BGS";#N/A,#N/A,FALSE,"Res Cost"}</definedName>
    <definedName name="whowho" localSheetId="13" hidden="1">{#N/A,#N/A,FALSE,"O&amp;M by processes";#N/A,#N/A,FALSE,"Elec Act vs Bud";#N/A,#N/A,FALSE,"G&amp;A";#N/A,#N/A,FALSE,"BGS";#N/A,#N/A,FALSE,"Res Cost"}</definedName>
    <definedName name="whowho" localSheetId="16"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7" hidden="1">{#N/A,#N/A,FALSE,"O&amp;M by processes";#N/A,#N/A,FALSE,"Elec Act vs Bud";#N/A,#N/A,FALSE,"G&amp;A";#N/A,#N/A,FALSE,"BGS";#N/A,#N/A,FALSE,"Res Cost"}</definedName>
    <definedName name="whwh" localSheetId="13" hidden="1">{#N/A,#N/A,FALSE,"O&amp;M by processes";#N/A,#N/A,FALSE,"Elec Act vs Bud";#N/A,#N/A,FALSE,"G&amp;A";#N/A,#N/A,FALSE,"BGS";#N/A,#N/A,FALSE,"Res Cost"}</definedName>
    <definedName name="whwh" localSheetId="16"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7" hidden="1">{#N/A,#N/A,FALSE,"O&amp;M by processes";#N/A,#N/A,FALSE,"Elec Act vs Bud";#N/A,#N/A,FALSE,"G&amp;A";#N/A,#N/A,FALSE,"BGS";#N/A,#N/A,FALSE,"Res Cost"}</definedName>
    <definedName name="why" localSheetId="13" hidden="1">{#N/A,#N/A,FALSE,"O&amp;M by processes";#N/A,#N/A,FALSE,"Elec Act vs Bud";#N/A,#N/A,FALSE,"G&amp;A";#N/A,#N/A,FALSE,"BGS";#N/A,#N/A,FALSE,"Res Cost"}</definedName>
    <definedName name="why" localSheetId="16" hidden="1">{#N/A,#N/A,FALSE,"O&amp;M by processes";#N/A,#N/A,FALSE,"Elec Act vs Bud";#N/A,#N/A,FALSE,"G&amp;A";#N/A,#N/A,FALSE,"BGS";#N/A,#N/A,FALSE,"Res Cost"}</definedName>
    <definedName name="why" hidden="1">{#N/A,#N/A,FALSE,"O&amp;M by processes";#N/A,#N/A,FALSE,"Elec Act vs Bud";#N/A,#N/A,FALSE,"G&amp;A";#N/A,#N/A,FALSE,"BGS";#N/A,#N/A,FALSE,"Res Cost"}</definedName>
    <definedName name="why?" localSheetId="16" hidden="1">{#N/A,#N/A,TRUE,"TOTAL DSBN";#N/A,#N/A,TRUE,"WEST";#N/A,#N/A,TRUE,"SOUTH";#N/A,#N/A,TRUE,"NORTHEAST"}</definedName>
    <definedName name="why?" hidden="1">{#N/A,#N/A,TRUE,"TOTAL DSBN";#N/A,#N/A,TRUE,"WEST";#N/A,#N/A,TRUE,"SOUTH";#N/A,#N/A,TRUE,"NORTHEAST"}</definedName>
    <definedName name="wpk" localSheetId="16" hidden="1">{#N/A,#N/A,FALSE,"INPUTDATA";#N/A,#N/A,FALSE,"SUMMARY"}</definedName>
    <definedName name="wpk" hidden="1">{#N/A,#N/A,FALSE,"INPUTDATA";#N/A,#N/A,FALSE,"SUMMARY"}</definedName>
    <definedName name="wrn" localSheetId="7" hidden="1">{#N/A,#N/A,FALSE,"O&amp;M by processes";#N/A,#N/A,FALSE,"Elec Act vs Bud";#N/A,#N/A,FALSE,"G&amp;A";#N/A,#N/A,FALSE,"BGS";#N/A,#N/A,FALSE,"Res Cost"}</definedName>
    <definedName name="wrn" localSheetId="13" hidden="1">{#N/A,#N/A,FALSE,"O&amp;M by processes";#N/A,#N/A,FALSE,"Elec Act vs Bud";#N/A,#N/A,FALSE,"G&amp;A";#N/A,#N/A,FALSE,"BGS";#N/A,#N/A,FALSE,"Res Cost"}</definedName>
    <definedName name="wrn" localSheetId="16" hidden="1">{#N/A,#N/A,FALSE,"O&amp;M by processes";#N/A,#N/A,FALSE,"Elec Act vs Bud";#N/A,#N/A,FALSE,"G&amp;A";#N/A,#N/A,FALSE,"BGS";#N/A,#N/A,FALSE,"Res Cost"}</definedName>
    <definedName name="wrn" hidden="1">{#N/A,#N/A,FALSE,"O&amp;M by processes";#N/A,#N/A,FALSE,"Elec Act vs Bud";#N/A,#N/A,FALSE,"G&amp;A";#N/A,#N/A,FALSE,"BGS";#N/A,#N/A,FALSE,"Res Cost"}</definedName>
    <definedName name="wrn.1999._.Cash._.Report." localSheetId="16" hidden="1">{"1999 Cash Budget",#N/A,FALSE,"99 Cash";"1999 Cash Budget YTD",#N/A,FALSE,"99 Cash";"1999 Cash Actual/Forcast",#N/A,FALSE,"99 Cash";"1999 Cash Actual/Forcast YTD",#N/A,FALSE,"99 Cash"}</definedName>
    <definedName name="wrn.1999._.Cash._.Report." hidden="1">{"1999 Cash Budget",#N/A,FALSE,"99 Cash";"1999 Cash Budget YTD",#N/A,FALSE,"99 Cash";"1999 Cash Actual/Forcast",#N/A,FALSE,"99 Cash";"1999 Cash Actual/Forcast YTD",#N/A,FALSE,"99 Cash"}</definedName>
    <definedName name="wrn.3cases." localSheetId="16" hidden="1">{#N/A,"Base",FALSE,"Dividend";#N/A,"Conservative",FALSE,"Dividend";#N/A,"Downside",FALSE,"Dividend"}</definedName>
    <definedName name="wrn.3cases." hidden="1">{#N/A,"Base",FALSE,"Dividend";#N/A,"Conservative",FALSE,"Dividend";#N/A,"Downside",FALSE,"Dividend"}</definedName>
    <definedName name="wrn.722." localSheetId="7" hidden="1">{#N/A,#N/A,FALSE,"CURRENT"}</definedName>
    <definedName name="wrn.722." localSheetId="13" hidden="1">{#N/A,#N/A,FALSE,"CURRENT"}</definedName>
    <definedName name="wrn.722." localSheetId="16" hidden="1">{#N/A,#N/A,FALSE,"CURRENT"}</definedName>
    <definedName name="wrn.722." hidden="1">{#N/A,#N/A,FALSE,"CURRENT"}</definedName>
    <definedName name="wrn.95cap." localSheetId="16" hidden="1">{#N/A,#N/A,FALSE,"95CAPGRY"}</definedName>
    <definedName name="wrn.95cap." hidden="1">{#N/A,#N/A,FALSE,"95CAPGRY"}</definedName>
    <definedName name="wrn.97maint.xls." localSheetId="16" hidden="1">{#N/A,#N/A,TRUE,"TOTAL DISTRIBUTION";#N/A,#N/A,TRUE,"SOUTH";#N/A,#N/A,TRUE,"NORTHEAST";#N/A,#N/A,TRUE,"WEST"}</definedName>
    <definedName name="wrn.97maint.xls." hidden="1">{#N/A,#N/A,TRUE,"TOTAL DISTRIBUTION";#N/A,#N/A,TRUE,"SOUTH";#N/A,#N/A,TRUE,"NORTHEAST";#N/A,#N/A,TRUE,"WEST"}</definedName>
    <definedName name="wrn.97OR.XLs." localSheetId="16" hidden="1">{#N/A,#N/A,TRUE,"TOTAL DSBN";#N/A,#N/A,TRUE,"WEST";#N/A,#N/A,TRUE,"SOUTH";#N/A,#N/A,TRUE,"NORTHEAST"}</definedName>
    <definedName name="wrn.97OR.XLs." hidden="1">{#N/A,#N/A,TRUE,"TOTAL DSBN";#N/A,#N/A,TRUE,"WEST";#N/A,#N/A,TRUE,"SOUTH";#N/A,#N/A,TRUE,"NORTHEAST"}</definedName>
    <definedName name="wrn.Accretion." localSheetId="16" hidden="1">{"Accretion",#N/A,FALSE,"Assum"}</definedName>
    <definedName name="wrn.Accretion." hidden="1">{"Accretion",#N/A,FALSE,"Assum"}</definedName>
    <definedName name="wrn.Aging._.and._.Trend._.Analysis." localSheetId="1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T." localSheetId="7" hidden="1">{"AGT",#N/A,FALSE,"Revenue"}</definedName>
    <definedName name="wrn.AGT." localSheetId="13" hidden="1">{"AGT",#N/A,FALSE,"Revenue"}</definedName>
    <definedName name="wrn.AGT." localSheetId="16" hidden="1">{"AGT",#N/A,FALSE,"Revenue"}</definedName>
    <definedName name="wrn.AGT." hidden="1">{"AGT",#N/A,FALSE,"Revenue"}</definedName>
    <definedName name="wrn.ALL."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owance._.Analysis." localSheetId="16" hidden="1">{#N/A,#N/A,FALSE,"F. Tax Analysis";#N/A,#N/A,FALSE,"G. Bond Analysis";#N/A,#N/A,FALSE,"H. Insurance Analysis"}</definedName>
    <definedName name="wrn.Allowance._.Analysis." hidden="1">{#N/A,#N/A,FALSE,"F. Tax Analysis";#N/A,#N/A,FALSE,"G. Bond Analysis";#N/A,#N/A,FALSE,"H. Insurance Analysis"}</definedName>
    <definedName name="wrn.AnnualRentRoll." localSheetId="16" hidden="1">{"AnnualRentRollPg1",#N/A,FALSE,"RentRoll";"AnnualRentRollPg2",#N/A,FALSE,"RentRoll"}</definedName>
    <definedName name="wrn.AnnualRentRoll." hidden="1">{"AnnualRentRollPg1",#N/A,FALSE,"RentRoll";"AnnualRentRollPg2",#N/A,FALSE,"RentRoll"}</definedName>
    <definedName name="wrn.Assumptions." localSheetId="16" hidden="1">{"Assumptions",#N/A,FALSE,"Assum"}</definedName>
    <definedName name="wrn.Assumptions." hidden="1">{"Assumptions",#N/A,FALSE,"Assum"}</definedName>
    <definedName name="wrn.August._.1._.2003._.Rate._.Change." localSheetId="7"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6"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7" hidden="1">{#N/A,#N/A,FALSE,"O&amp;M by processes";#N/A,#N/A,FALSE,"Elec Act vs Bud";#N/A,#N/A,FALSE,"G&amp;A";#N/A,#N/A,FALSE,"BGS";#N/A,#N/A,FALSE,"Res Cost"}</definedName>
    <definedName name="wrn.Basic." localSheetId="13" hidden="1">{#N/A,#N/A,FALSE,"O&amp;M by processes";#N/A,#N/A,FALSE,"Elec Act vs Bud";#N/A,#N/A,FALSE,"G&amp;A";#N/A,#N/A,FALSE,"BGS";#N/A,#N/A,FALSE,"Res Cost"}</definedName>
    <definedName name="wrn.Basic." localSheetId="16" hidden="1">{#N/A,#N/A,FALSE,"O&amp;M by processes";#N/A,#N/A,FALSE,"Elec Act vs Bud";#N/A,#N/A,FALSE,"G&amp;A";#N/A,#N/A,FALSE,"BGS";#N/A,#N/A,FALSE,"Res Cost"}</definedName>
    <definedName name="wrn.Basic." hidden="1">{#N/A,#N/A,FALSE,"O&amp;M by processes";#N/A,#N/A,FALSE,"Elec Act vs Bud";#N/A,#N/A,FALSE,"G&amp;A";#N/A,#N/A,FALSE,"BGS";#N/A,#N/A,FALSE,"Res Cost"}</definedName>
    <definedName name="wrn.CAAP._.Report.JPG" localSheetId="16" hidden="1">{"Income Budget",#N/A,FALSE,"98 Income";"Running GAAP Budget Income",#N/A,FALSE,"98 Income";"GAAP Actual",#N/A,FALSE,"98 Income";"GAAP Varinance",#N/A,FALSE,"98 Income"}</definedName>
    <definedName name="wrn.CAAP._.Report.JPG" hidden="1">{"Income Budget",#N/A,FALSE,"98 Income";"Running GAAP Budget Income",#N/A,FALSE,"98 Income";"GAAP Actual",#N/A,FALSE,"98 Income";"GAAP Varinance",#N/A,FALSE,"98 Income"}</definedName>
    <definedName name="wrn.Cash._.Report." localSheetId="16" hidden="1">{"Cash Budget",#N/A,FALSE,"98 Cash";"Running Cash Budget",#N/A,FALSE,"98 Cash";"Actual Cash",#N/A,FALSE,"98 Cash";"Update Cash Budget",#N/A,FALSE,"98 Cash"}</definedName>
    <definedName name="wrn.Cash._.Report." hidden="1">{"Cash Budget",#N/A,FALSE,"98 Cash";"Running Cash Budget",#N/A,FALSE,"98 Cash";"Actual Cash",#N/A,FALSE,"98 Cash";"Update Cash Budget",#N/A,FALSE,"98 Cash"}</definedName>
    <definedName name="wrn.Cash._.Report.JPG" localSheetId="16"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hartSet." localSheetId="7" hidden="1">{#N/A,#N/A,FALSE,"Elec Deliv";#N/A,#N/A,FALSE,"Atlantic Pie";#N/A,#N/A,FALSE,"Bay Pie";#N/A,#N/A,FALSE,"New Castle Pie";#N/A,#N/A,FALSE,"Transmission Pie"}</definedName>
    <definedName name="wrn.ChartSet." localSheetId="13" hidden="1">{#N/A,#N/A,FALSE,"Elec Deliv";#N/A,#N/A,FALSE,"Atlantic Pie";#N/A,#N/A,FALSE,"Bay Pie";#N/A,#N/A,FALSE,"New Castle Pie";#N/A,#N/A,FALSE,"Transmission Pie"}</definedName>
    <definedName name="wrn.ChartSet." localSheetId="16"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itgo._.Status." localSheetId="16" hidden="1">{#N/A,#N/A,TRUE,"Task Status";#N/A,#N/A,TRUE,"Document Status";#N/A,#N/A,TRUE,"Percent Complete";#N/A,#N/A,TRUE,"Manhour Sum"}</definedName>
    <definedName name="wrn.Citgo._.Status." hidden="1">{#N/A,#N/A,TRUE,"Task Status";#N/A,#N/A,TRUE,"Document Status";#N/A,#N/A,TRUE,"Percent Complete";#N/A,#N/A,TRUE,"Manhour Sum"}</definedName>
    <definedName name="wrn.Complete._.Review." localSheetId="16"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mponent._.Analy." localSheetId="16"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16" hidden="1">{#N/A,#N/A,FALSE,"SUMMARY";#N/A,#N/A,FALSE,"INPUTDATA";#N/A,#N/A,FALSE,"Condenser Performance"}</definedName>
    <definedName name="wrn.Condenser._.Summary." hidden="1">{#N/A,#N/A,FALSE,"SUMMARY";#N/A,#N/A,FALSE,"INPUTDATA";#N/A,#N/A,FALSE,"Condenser Performance"}</definedName>
    <definedName name="wrn.COST." localSheetId="16" hidden="1">{#N/A,#N/A,FALSE,"T COST";#N/A,#N/A,FALSE,"COST_FH"}</definedName>
    <definedName name="wrn.COST." hidden="1">{#N/A,#N/A,FALSE,"T COST";#N/A,#N/A,FALSE,"COST_FH"}</definedName>
    <definedName name="wrn.Data._.dump." localSheetId="7" hidden="1">{"Input Data",#N/A,FALSE,"Input";"Income and Cash Flow",#N/A,FALSE,"Calculations"}</definedName>
    <definedName name="wrn.Data._.dump." localSheetId="13" hidden="1">{"Input Data",#N/A,FALSE,"Input";"Income and Cash Flow",#N/A,FALSE,"Calculations"}</definedName>
    <definedName name="wrn.Data._.dump." localSheetId="16" hidden="1">{"Input Data",#N/A,FALSE,"Input";"Income and Cash Flow",#N/A,FALSE,"Calculations"}</definedName>
    <definedName name="wrn.Data._.dump." hidden="1">{"Input Data",#N/A,FALSE,"Input";"Income and Cash Flow",#N/A,FALSE,"Calculations"}</definedName>
    <definedName name="wrn.Deferral._.Forecast." localSheetId="7" hidden="1">{"Summary Deferral Forecast",#N/A,FALSE,"Deferral Forecast";"BGS Deferral Forecast",#N/A,FALSE,"BGS Deferral";"NNC Deferral Forecast",#N/A,FALSE,"NNC Deferral";"MTCDeferralForecast",#N/A,FALSE,"MTC Deferral";"SBC Deferral Forecast",#N/A,FALSE,"SBC Deferral"}</definedName>
    <definedName name="wrn.Deferral._.Forecast." localSheetId="13" hidden="1">{"Summary Deferral Forecast",#N/A,FALSE,"Deferral Forecast";"BGS Deferral Forecast",#N/A,FALSE,"BGS Deferral";"NNC Deferral Forecast",#N/A,FALSE,"NNC Deferral";"MTCDeferralForecast",#N/A,FALSE,"MTC Deferral";"SBC Deferral Forecast",#N/A,FALSE,"SBC Deferral"}</definedName>
    <definedName name="wrn.Deferral._.Forecast." localSheetId="16"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tail." localSheetId="16" hidden="1">{"Detail",#N/A,FALSE,"Detail"}</definedName>
    <definedName name="wrn.Detail." hidden="1">{"Detail",#N/A,FALSE,"Detail"}</definedName>
    <definedName name="wrn.Engr._.Summary." localSheetId="16"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RI2._.AIMR." localSheetId="16" hidden="1">{#N/A,#N/A,FALSE,"NA_Roll";#N/A,#N/A,FALSE,"NAV_recon";#N/A,#N/A,FALSE,"NII";#N/A,#N/A,FALSE,"Contrbtns";#N/A,#N/A,FALSE,"Distrbtns";#N/A,#N/A,FALSE,"QWAE";#N/A,#N/A,FALSE,"AWAE";#N/A,#N/A,FALSE,"Rtrns_bf_fees";#N/A,#N/A,FALSE,"Rtrns_aft_fees";#N/A,#N/A,FALSE,"Inc_bfr_fees";#N/A,#N/A,FALSE,"ERI-II Summary";#N/A,#N/A,FALSE,"ERI-II Fees"}</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xec._.Summary." localSheetId="16" hidden="1">{#N/A,#N/A,FALSE,"INPUTDATA";#N/A,#N/A,FALSE,"SUMMARY"}</definedName>
    <definedName name="wrn.Exec._.Summary." hidden="1">{#N/A,#N/A,FALSE,"INPUTDATA";#N/A,#N/A,FALSE,"SUMMARY"}</definedName>
    <definedName name="wrn.Exec1._.Summary" localSheetId="16" hidden="1">{#N/A,#N/A,FALSE,"INPUTDATA";#N/A,#N/A,FALSE,"SUMMARY"}</definedName>
    <definedName name="wrn.Exec1._.Summary" hidden="1">{#N/A,#N/A,FALSE,"INPUTDATA";#N/A,#N/A,FALSE,"SUMMARY"}</definedName>
    <definedName name="wrn.Executive._.Review._.Report." localSheetId="16" hidden="1">{#N/A,#N/A,FALSE,"Executive Review Sheet";#N/A,#N/A,FALSE,"Summary of Estimate Components";#N/A,#N/A,FALSE,"Summary of Allowances"}</definedName>
    <definedName name="wrn.Executive._.Review._.Report." hidden="1">{#N/A,#N/A,FALSE,"Executive Review Sheet";#N/A,#N/A,FALSE,"Summary of Estimate Components";#N/A,#N/A,FALSE,"Summary of Allowances"}</definedName>
    <definedName name="wrn.ExitAndSalesAssumptions." localSheetId="16" hidden="1">{#N/A,#N/A,FALSE,"ExitStrategy"}</definedName>
    <definedName name="wrn.ExitAndSalesAssumptions." hidden="1">{#N/A,#N/A,FALSE,"ExitStrategy"}</definedName>
    <definedName name="wrn.FCB." localSheetId="16" hidden="1">{"FCB_ALL",#N/A,FALSE,"FCB"}</definedName>
    <definedName name="wrn.FCB." hidden="1">{"FCB_ALL",#N/A,FALSE,"FCB"}</definedName>
    <definedName name="wrn.fcb2" localSheetId="16" hidden="1">{"FCB_ALL",#N/A,FALSE,"FCB"}</definedName>
    <definedName name="wrn.fcb2" hidden="1">{"FCB_ALL",#N/A,FALSE,"FCB"}</definedName>
    <definedName name="wrn.Filing." localSheetId="7"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6"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NM._.Graph." localSheetId="16" hidden="1">{"fnm graph",#N/A,FALSE,"Graphs"}</definedName>
    <definedName name="wrn.FNM._.Graph." hidden="1">{"fnm graph",#N/A,FALSE,"Graphs"}</definedName>
    <definedName name="wrn.For._.filling._.out._.assessments." localSheetId="7" hidden="1">{"Print Empty Template",#N/A,FALSE,"Input"}</definedName>
    <definedName name="wrn.For._.filling._.out._.assessments." localSheetId="13" hidden="1">{"Print Empty Template",#N/A,FALSE,"Input"}</definedName>
    <definedName name="wrn.For._.filling._.out._.assessments." localSheetId="16" hidden="1">{"Print Empty Template",#N/A,FALSE,"Input"}</definedName>
    <definedName name="wrn.For._.filling._.out._.assessments." hidden="1">{"Print Empty Template",#N/A,FALSE,"Input"}</definedName>
    <definedName name="wrn.Full._.Budget." localSheetId="16"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GAAP._.Report." localSheetId="16" hidden="1">{"Income Budget",#N/A,FALSE,"98 Income";"Running GAAP Budget Income",#N/A,FALSE,"98 Income";"GAAP Actual",#N/A,FALSE,"98 Income";"GAAP Varinance",#N/A,FALSE,"98 Income"}</definedName>
    <definedName name="wrn.GAAP._.Report." hidden="1">{"Income Budget",#N/A,FALSE,"98 Income";"Running GAAP Budget Income",#N/A,FALSE,"98 Income";"GAAP Actual",#N/A,FALSE,"98 Income";"GAAP Varinance",#N/A,FALSE,"98 Income"}</definedName>
    <definedName name="wrn.HLP._.Detail." localSheetId="7" hidden="1">{"2002 - 2006 Detail Income Statement",#N/A,FALSE,"TUB Income Statement wo DW";"BGS Deferral",#N/A,FALSE,"BGS Deferral";"NNC Deferral",#N/A,FALSE,"NNC Deferral";"MTC Deferral",#N/A,FALSE,"MTC Deferral";#N/A,#N/A,FALSE,"Schedule D"}</definedName>
    <definedName name="wrn.HLP._.Detail." localSheetId="13" hidden="1">{"2002 - 2006 Detail Income Statement",#N/A,FALSE,"TUB Income Statement wo DW";"BGS Deferral",#N/A,FALSE,"BGS Deferral";"NNC Deferral",#N/A,FALSE,"NNC Deferral";"MTC Deferral",#N/A,FALSE,"MTC Deferral";#N/A,#N/A,FALSE,"Schedule D"}</definedName>
    <definedName name="wrn.HLP._.Detail." localSheetId="16"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ndirects." localSheetId="16" hidden="1">{"Budget",#N/A,TRUE,"Criteria";"Summary",#N/A,TRUE,"Summary";"Detail",#N/A,TRUE,"Detail";"Staff",#N/A,TRUE,"Staffing";"Equip",#N/A,TRUE,"Equipment"}</definedName>
    <definedName name="wrn.Indirects." hidden="1">{"Budget",#N/A,TRUE,"Criteria";"Summary",#N/A,TRUE,"Summary";"Detail",#N/A,TRUE,"Detail";"Staff",#N/A,TRUE,"Staffing";"Equip",#N/A,TRUE,"Equipment"}</definedName>
    <definedName name="wrn.Investment._.Review." localSheetId="16"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PO._.Valuation." localSheetId="16" hidden="1">{"assumptions",#N/A,FALSE,"Scenario 1";"valuation",#N/A,FALSE,"Scenario 1"}</definedName>
    <definedName name="wrn.IPO._.Valuation." hidden="1">{"assumptions",#N/A,FALSE,"Scenario 1";"valuation",#N/A,FALSE,"Scenario 1"}</definedName>
    <definedName name="wrn.LANDMGMT." localSheetId="16" hidden="1">{#N/A,#N/A,FALSE,"CAP 1998";#N/A,#N/A,FALSE,"CAP 1999";#N/A,#N/A,FALSE,"CAP 2000";#N/A,#N/A,FALSE,"CAP_2001";#N/A,#N/A,FALSE,"CAP_2002";#N/A,#N/A,FALSE,"MAINT_1998";#N/A,#N/A,FALSE,"MAINT_1999";#N/A,#N/A,FALSE,"MAINT_2000";#N/A,#N/A,FALSE,"MAINT_2001";#N/A,#N/A,FALSE,"MAINT_2002"}</definedName>
    <definedName name="wrn.LANDMGMT." hidden="1">{#N/A,#N/A,FALSE,"CAP 1998";#N/A,#N/A,FALSE,"CAP 1999";#N/A,#N/A,FALSE,"CAP 2000";#N/A,#N/A,FALSE,"CAP_2001";#N/A,#N/A,FALSE,"CAP_2002";#N/A,#N/A,FALSE,"MAINT_1998";#N/A,#N/A,FALSE,"MAINT_1999";#N/A,#N/A,FALSE,"MAINT_2000";#N/A,#N/A,FALSE,"MAINT_2001";#N/A,#N/A,FALSE,"MAINT_2002"}</definedName>
    <definedName name="wrn.LBO._.Summary." localSheetId="16" hidden="1">{"LBO Summary",#N/A,FALSE,"Summary"}</definedName>
    <definedName name="wrn.LBO._.Summary." hidden="1">{"LBO Summary",#N/A,FALSE,"Summary"}</definedName>
    <definedName name="wrn.LoanInformation." localSheetId="16" hidden="1">{"LoanSchedule",#N/A,FALSE,"LoanAssumptions";"LoanAssumptions",#N/A,FALSE,"LoanAssumptions"}</definedName>
    <definedName name="wrn.LoanInformation." hidden="1">{"LoanSchedule",#N/A,FALSE,"LoanAssumptions";"LoanAssumptions",#N/A,FALSE,"LoanAssumptions"}</definedName>
    <definedName name="wrn.Measure._.50." hidden="1">{"Measure 50 Template",#N/A,FALSE,"M50_98";"Cost Data",#N/A,FALSE,"M50_98"}</definedName>
    <definedName name="wrn.Measure._50.Condon" hidden="1">{"Measure 50 Template",#N/A,FALSE,"M50_98";"Cost Data",#N/A,FALSE,"M50_98"}</definedName>
    <definedName name="wrn.MiniSum." localSheetId="16" hidden="1">{#N/A,#N/A,TRUE,"Facility-Input";#N/A,#N/A,TRUE,"Graphs";#N/A,#N/A,TRUE,"TOTAL"}</definedName>
    <definedName name="wrn.MiniSum." hidden="1">{#N/A,#N/A,TRUE,"Facility-Input";#N/A,#N/A,TRUE,"Graphs";#N/A,#N/A,TRUE,"TOTAL"}</definedName>
    <definedName name="wrn.MonthlyRentRoll." localSheetId="16" hidden="1">{"MonthlyRentRoll",#N/A,FALSE,"RentRoll"}</definedName>
    <definedName name="wrn.MonthlyRentRoll." hidden="1">{"MonthlyRentRoll",#N/A,FALSE,"RentRoll"}</definedName>
    <definedName name="wrn.OperatingAssumtions." localSheetId="16" hidden="1">{#N/A,#N/A,FALSE,"OperatingAssumptions"}</definedName>
    <definedName name="wrn.OperatingAssumtions." hidden="1">{#N/A,#N/A,FALSE,"OperatingAssumptions"}</definedName>
    <definedName name="wrn.Operations._.Review." localSheetId="16" hidden="1">{#N/A,#N/A,FALSE,"Proforma Five Yr";#N/A,#N/A,FALSE,"Occ and Rate";#N/A,#N/A,FALSE,"PF Input";#N/A,#N/A,FALSE,"Hotcomps"}</definedName>
    <definedName name="wrn.Operations._.Review." hidden="1">{#N/A,#N/A,FALSE,"Proforma Five Yr";#N/A,#N/A,FALSE,"Occ and Rate";#N/A,#N/A,FALSE,"PF Input";#N/A,#N/A,FALSE,"Hotcomps"}</definedName>
    <definedName name="wrn.OR09._.Budget._.Stuff." localSheetId="16" hidden="1">{#N/A,#N/A,FALSE,"8-14-03 Detail";#N/A,#N/A,FALSE,"FLA Comparisons";#N/A,#N/A,FALSE,"Budget Changes Summary ";#N/A,#N/A,FALSE,"Exec Summary"}</definedName>
    <definedName name="wrn.OR09._.Budget._.Stuff." hidden="1">{#N/A,#N/A,FALSE,"8-14-03 Detail";#N/A,#N/A,FALSE,"FLA Comparisons";#N/A,#N/A,FALSE,"Budget Changes Summary ";#N/A,#N/A,FALSE,"Exec Summary"}</definedName>
    <definedName name="wrn.Phase._.I." localSheetId="16" hidden="1">{#N/A,#N/A,FALSE,"Transaction Summary-DTW";#N/A,#N/A,FALSE,"Proforma Five Yr";#N/A,#N/A,FALSE,"Occ and Rate"}</definedName>
    <definedName name="wrn.Phase._.I." hidden="1">{#N/A,#N/A,FALSE,"Transaction Summary-DTW";#N/A,#N/A,FALSE,"Proforma Five Yr";#N/A,#N/A,FALSE,"Occ and Rate"}</definedName>
    <definedName name="wrn.Presentation." localSheetId="16" hidden="1">{#N/A,#N/A,TRUE,"Summary";#N/A,#N/A,TRUE,"ExitStrategy";"SalesAndConstruction",#N/A,TRUE,"cs";#N/A,#N/A,TRUE,"OperatingAssumptions";"PresentationRentRoll",#N/A,TRUE,"RentRoll"}</definedName>
    <definedName name="wrn.Presentation." hidden="1">{#N/A,#N/A,TRUE,"Summary";#N/A,#N/A,TRUE,"ExitStrategy";"SalesAndConstruction",#N/A,TRUE,"cs";#N/A,#N/A,TRUE,"OperatingAssumptions";"PresentationRentRoll",#N/A,TRUE,"RentRoll"}</definedName>
    <definedName name="wrn.Print." localSheetId="16" hidden="1">{#N/A,#N/A,TRUE,"Inputs";#N/A,#N/A,TRUE,"Cashflow Statement";#N/A,#N/A,TRUE,"Summary";#N/A,#N/A,TRUE,"Construction";#N/A,#N/A,TRUE,"RevAss";#N/A,#N/A,TRUE,"Debt";#N/A,#N/A,TRUE,"Inc";#N/A,#N/A,TRUE,"Depr"}</definedName>
    <definedName name="wrn.Print." hidden="1">{#N/A,#N/A,TRUE,"Inputs";#N/A,#N/A,TRUE,"Cashflow Statement";#N/A,#N/A,TRUE,"Summary";#N/A,#N/A,TRUE,"Construction";#N/A,#N/A,TRUE,"RevAss";#N/A,#N/A,TRUE,"Debt";#N/A,#N/A,TRUE,"Inc";#N/A,#N/A,TRUE,"Depr"}</definedName>
    <definedName name="wrn.Print._.All._.Pages." localSheetId="16"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graphs." localSheetId="16"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16" hidden="1">{"inputs raw data",#N/A,TRUE,"INPUT"}</definedName>
    <definedName name="wrn.print._.raw._.data._.entry." hidden="1">{"inputs raw data",#N/A,TRUE,"INPUT"}</definedName>
    <definedName name="wrn.print._.summary._.sheets." localSheetId="16" hidden="1">{"summary1",#N/A,TRUE,"Comps";"summary2",#N/A,TRUE,"Comps";"summary3",#N/A,TRUE,"Comps"}</definedName>
    <definedName name="wrn.print._.summary._.sheets." hidden="1">{"summary1",#N/A,TRUE,"Comps";"summary2",#N/A,TRUE,"Comps";"summary3",#N/A,TRUE,"Comps"}</definedName>
    <definedName name="wrn.print._.summary._.sheets.2" localSheetId="16" hidden="1">{"summary1",#N/A,TRUE,"Comps";"summary2",#N/A,TRUE,"Comps";"summary3",#N/A,TRUE,"Comps"}</definedName>
    <definedName name="wrn.print._.summary._.sheets.2" hidden="1">{"summary1",#N/A,TRUE,"Comps";"summary2",#N/A,TRUE,"Comps";"summary3",#N/A,TRUE,"Comps"}</definedName>
    <definedName name="wrn.Print_Buyer." localSheetId="16"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16"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file._.and._.Basis." localSheetId="16" hidden="1">{#N/A,#N/A,FALSE,"Project Profile";#N/A,#N/A,FALSE,"Basis of Estimate"}</definedName>
    <definedName name="wrn.Profile._.and._.Basis." hidden="1">{#N/A,#N/A,FALSE,"Project Profile";#N/A,#N/A,FALSE,"Basis of Estimate"}</definedName>
    <definedName name="wrn.Proforma._.Review." localSheetId="16" hidden="1">{#N/A,#N/A,FALSE,"Occ and Rate";#N/A,#N/A,FALSE,"PF Input";#N/A,#N/A,FALSE,"Proforma Five Yr";#N/A,#N/A,FALSE,"Hotcomps"}</definedName>
    <definedName name="wrn.Proforma._.Review." hidden="1">{#N/A,#N/A,FALSE,"Occ and Rate";#N/A,#N/A,FALSE,"PF Input";#N/A,#N/A,FALSE,"Proforma Five Yr";#N/A,#N/A,FALSE,"Hotcomps"}</definedName>
    <definedName name="wrn.Project._.A." localSheetId="16" hidden="1">{"Proj Econ Summary",#N/A,FALSE,"Project A";"Income Statement",#N/A,FALSE,"Project A";"Cash Flow Statement",#N/A,FALSE,"Project A";"Balance Sheet",#N/A,FALSE,"Project A";"Scenario Summary (Proj A)",#N/A,FALSE,"Scenario Summary"}</definedName>
    <definedName name="wrn.Project._.A." hidden="1">{"Proj Econ Summary",#N/A,FALSE,"Project A";"Income Statement",#N/A,FALSE,"Project A";"Cash Flow Statement",#N/A,FALSE,"Project A";"Balance Sheet",#N/A,FALSE,"Project A";"Scenario Summary (Proj A)",#N/A,FALSE,"Scenario Summary"}</definedName>
    <definedName name="wrn.Project._.Summary." localSheetId="16" hidden="1">{"Summary",#N/A,FALSE,"MICMULT";"Income Statement",#N/A,FALSE,"MICMULT";"Cash Flows",#N/A,FALSE,"MICMULT"}</definedName>
    <definedName name="wrn.Project._.Summary." hidden="1">{"Summary",#N/A,FALSE,"MICMULT";"Income Statement",#N/A,FALSE,"MICMULT";"Cash Flows",#N/A,FALSE,"MICMULT"}</definedName>
    <definedName name="wrn.PropertyInformation." localSheetId="16" hidden="1">{#N/A,#N/A,FALSE,"PropertyInfo"}</definedName>
    <definedName name="wrn.PropertyInformation." hidden="1">{#N/A,#N/A,FALSE,"PropertyInfo"}</definedName>
    <definedName name="wrn.Report." localSheetId="7" hidden="1">{#N/A,#N/A,FALSE,"Work performed";#N/A,#N/A,FALSE,"Resources"}</definedName>
    <definedName name="wrn.Report." localSheetId="13" hidden="1">{#N/A,#N/A,FALSE,"Work performed";#N/A,#N/A,FALSE,"Resources"}</definedName>
    <definedName name="wrn.Report." localSheetId="16" hidden="1">{#N/A,#N/A,FALSE,"Work performed";#N/A,#N/A,FALSE,"Resources"}</definedName>
    <definedName name="wrn.Report." hidden="1">{#N/A,#N/A,FALSE,"Work performed";#N/A,#N/A,FALSE,"Resources"}</definedName>
    <definedName name="wrn.Rev._.0." localSheetId="16" hidden="1">{"Rev 0 Normal",#N/A,FALSE,"FNM Plan-Rev 0";"Rev 0 Pricing",#N/A,FALSE,"FNM Plan-Rev 0"}</definedName>
    <definedName name="wrn.Rev._.0." hidden="1">{"Rev 0 Normal",#N/A,FALSE,"FNM Plan-Rev 0";"Rev 0 Pricing",#N/A,FALSE,"FNM Plan-Rev 0"}</definedName>
    <definedName name="wrn.Revenue._.Analysis." localSheetId="7"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6"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isk._.Reserves." localSheetId="16" hidden="1">{#N/A,#N/A,TRUE,"Reserves";#N/A,#N/A,TRUE,"Graphs"}</definedName>
    <definedName name="wrn.Risk._.Reserves." hidden="1">{#N/A,#N/A,TRUE,"Reserves";#N/A,#N/A,TRUE,"Graphs"}</definedName>
    <definedName name="wrn.Segment._.1." localSheetId="16" hidden="1">{#N/A,#N/A,TRUE,"Segment 1"}</definedName>
    <definedName name="wrn.Segment._.1." hidden="1">{#N/A,#N/A,TRUE,"Segment 1"}</definedName>
    <definedName name="wrn.Segment._.2." localSheetId="16" hidden="1">{#N/A,#N/A,TRUE,"Segment 2"}</definedName>
    <definedName name="wrn.Segment._.2." hidden="1">{#N/A,#N/A,TRUE,"Segment 2"}</definedName>
    <definedName name="wrn.Segment._.3." localSheetId="16" hidden="1">{#N/A,#N/A,TRUE,"Segment 3"}</definedName>
    <definedName name="wrn.Segment._.3." hidden="1">{#N/A,#N/A,TRUE,"Segment 3"}</definedName>
    <definedName name="wrn.Segment._.4." localSheetId="16" hidden="1">{#N/A,#N/A,TRUE,"Segment 4"}</definedName>
    <definedName name="wrn.Segment._.4." hidden="1">{#N/A,#N/A,TRUE,"Segment 4"}</definedName>
    <definedName name="wrn.Segment._.5." localSheetId="16" hidden="1">{#N/A,#N/A,TRUE,"Segment 5"}</definedName>
    <definedName name="wrn.Segment._.5." hidden="1">{#N/A,#N/A,TRUE,"Segment 5"}</definedName>
    <definedName name="wrn.Snapshot." localSheetId="16" hidden="1">{#N/A,#N/A,TRUE,"Facility-Input";#N/A,#N/A,TRUE,"Graphs"}</definedName>
    <definedName name="wrn.Snapshot." hidden="1">{#N/A,#N/A,TRUE,"Facility-Input";#N/A,#N/A,TRUE,"Graphs"}</definedName>
    <definedName name="wrn.SRU._.CONDENSER." localSheetId="16" hidden="1">{#N/A,#N/A,FALSE,"HXSheet1";#N/A,#N/A,FALSE,"Sheet2";#N/A,#N/A,FALSE,"Sheet3";#N/A,#N/A,FALSE,"Sheet4"}</definedName>
    <definedName name="wrn.SRU._.CONDENSER." hidden="1">{#N/A,#N/A,FALSE,"HXSheet1";#N/A,#N/A,FALSE,"Sheet2";#N/A,#N/A,FALSE,"Sheet3";#N/A,#N/A,FALSE,"Sheet4"}</definedName>
    <definedName name="wrn.STAND_ALONE_BOTH." localSheetId="16" hidden="1">{"FCB_ALL",#N/A,FALSE,"FCB";"GREY_ALL",#N/A,FALSE,"GREY"}</definedName>
    <definedName name="wrn.STAND_ALONE_BOTH." hidden="1">{"FCB_ALL",#N/A,FALSE,"FCB";"GREY_ALL",#N/A,FALSE,"GREY"}</definedName>
    <definedName name="wrn.SUM._.OF._.UNIT._.3." localSheetId="16"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16" hidden="1">{#N/A,#N/A,FALSE,"Summary"}</definedName>
    <definedName name="wrn.Summary." hidden="1">{#N/A,#N/A,FALSE,"Summary"}</definedName>
    <definedName name="wrn.Supporting._.Calculations." localSheetId="7" hidden="1">{#N/A,#N/A,FALSE,"Work performed";#N/A,#N/A,FALSE,"Resources"}</definedName>
    <definedName name="wrn.Supporting._.Calculations." localSheetId="13" hidden="1">{#N/A,#N/A,FALSE,"Work performed";#N/A,#N/A,FALSE,"Resources"}</definedName>
    <definedName name="wrn.Supporting._.Calculations." localSheetId="16" hidden="1">{#N/A,#N/A,FALSE,"Work performed";#N/A,#N/A,FALSE,"Resources"}</definedName>
    <definedName name="wrn.Supporting._.Calculations." hidden="1">{#N/A,#N/A,FALSE,"Work performed";#N/A,#N/A,FALSE,"Resources"}</definedName>
    <definedName name="wrn.Tax._.Accrual." localSheetId="7" hidden="1">{#N/A,#N/A,TRUE,"TAXPROV";#N/A,#N/A,TRUE,"FLOWTHRU";#N/A,#N/A,TRUE,"SCHEDULE M'S";#N/A,#N/A,TRUE,"PLANT M'S";#N/A,#N/A,TRUE,"TAXJE"}</definedName>
    <definedName name="wrn.Tax._.Accrual." localSheetId="13" hidden="1">{#N/A,#N/A,TRUE,"TAXPROV";#N/A,#N/A,TRUE,"FLOWTHRU";#N/A,#N/A,TRUE,"SCHEDULE M'S";#N/A,#N/A,TRUE,"PLANT M'S";#N/A,#N/A,TRUE,"TAXJE"}</definedName>
    <definedName name="wrn.Tax._.Accrual." localSheetId="16" hidden="1">{#N/A,#N/A,TRUE,"TAXPROV";#N/A,#N/A,TRUE,"FLOWTHRU";#N/A,#N/A,TRUE,"SCHEDULE M'S";#N/A,#N/A,TRUE,"PLANT M'S";#N/A,#N/A,TRUE,"TAXJE"}</definedName>
    <definedName name="wrn.Tax._.Accrual." hidden="1">{#N/A,#N/A,TRUE,"TAXPROV";#N/A,#N/A,TRUE,"FLOWTHRU";#N/A,#N/A,TRUE,"SCHEDULE M'S";#N/A,#N/A,TRUE,"PLANT M'S";#N/A,#N/A,TRUE,"TAXJE"}</definedName>
    <definedName name="wrn.Template." localSheetId="16"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otals." localSheetId="16" hidden="1">{#N/A,#N/A,TRUE,"TOTAL";#N/A,#N/A,TRUE,"Total Pipes"}</definedName>
    <definedName name="wrn.Totals." hidden="1">{#N/A,#N/A,TRUE,"TOTAL";#N/A,#N/A,TRUE,"Total Pipes"}</definedName>
    <definedName name="wrn.Value." localSheetId="16" hidden="1">{#N/A,#N/A,FALSE,"Cashflow Analysis";#N/A,#N/A,FALSE,"Sensitivity Analysis";#N/A,#N/A,FALSE,"PV";#N/A,#N/A,FALSE,"Pro Forma"}</definedName>
    <definedName name="wrn.Value." hidden="1">{#N/A,#N/A,FALSE,"Cashflow Analysis";#N/A,#N/A,FALSE,"Sensitivity Analysis";#N/A,#N/A,FALSE,"PV";#N/A,#N/A,FALSE,"Pro Forma"}</definedName>
    <definedName name="wvi" localSheetId="16" hidden="1">{#N/A,#N/A,FALSE,"SUMMARY";#N/A,#N/A,FALSE,"INPUTDATA";#N/A,#N/A,FALSE,"Condenser Performance"}</definedName>
    <definedName name="wvi" hidden="1">{#N/A,#N/A,FALSE,"SUMMARY";#N/A,#N/A,FALSE,"INPUTDATA";#N/A,#N/A,FALSE,"Condenser Performance"}</definedName>
    <definedName name="wvo" localSheetId="16" hidden="1">{"EXCELHLP.HLP!1802";5;10;5;10;13;13;13;8;5;5;10;14;13;13;13;13;5;10;14;13;5;10;1;2;24}</definedName>
    <definedName name="wvo" hidden="1">{"EXCELHLP.HLP!1802";5;10;5;10;13;13;13;8;5;5;10;14;13;13;13;13;5;10;14;13;5;10;1;2;24}</definedName>
    <definedName name="wvu.inputs._.raw._.data." localSheetId="1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x" localSheetId="16" hidden="1">{2;#N/A;"R13C16:R17C16";#N/A;"R13C14:R17C15";FALSE;FALSE;FALSE;95;#N/A;#N/A;"R13C19";#N/A;FALSE;FALSE;FALSE;FALSE;#N/A;"";#N/A;FALSE;"";"";#N/A;#N/A;#N/A}</definedName>
    <definedName name="xx" hidden="1">{2;#N/A;"R13C16:R17C16";#N/A;"R13C14:R17C15";FALSE;FALSE;FALSE;95;#N/A;#N/A;"R13C19";#N/A;FALSE;FALSE;FALSE;FALSE;#N/A;"";#N/A;FALSE;"";"";#N/A;#N/A;#N/A}</definedName>
    <definedName name="xxx" localSheetId="7" hidden="1">{#N/A,#N/A,FALSE,"O&amp;M by processes";#N/A,#N/A,FALSE,"Elec Act vs Bud";#N/A,#N/A,FALSE,"G&amp;A";#N/A,#N/A,FALSE,"BGS";#N/A,#N/A,FALSE,"Res Cost"}</definedName>
    <definedName name="xxx" localSheetId="13" hidden="1">{#N/A,#N/A,FALSE,"O&amp;M by processes";#N/A,#N/A,FALSE,"Elec Act vs Bud";#N/A,#N/A,FALSE,"G&amp;A";#N/A,#N/A,FALSE,"BGS";#N/A,#N/A,FALSE,"Res Cost"}</definedName>
    <definedName name="xxx" localSheetId="16"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16" hidden="1">{"detail305",#N/A,FALSE,"BI-305"}</definedName>
    <definedName name="xxx.detail" hidden="1">{"detail305",#N/A,FALSE,"BI-305"}</definedName>
    <definedName name="xxx.directory" localSheetId="16" hidden="1">{"summary",#N/A,FALSE,"PCR DIRECTORY"}</definedName>
    <definedName name="xxx.directory" hidden="1">{"summary",#N/A,FALSE,"PCR DIRECTORY"}</definedName>
    <definedName name="xxxx" localSheetId="7" hidden="1">{#N/A,#N/A,FALSE,"O&amp;M by processes";#N/A,#N/A,FALSE,"Elec Act vs Bud";#N/A,#N/A,FALSE,"G&amp;A";#N/A,#N/A,FALSE,"BGS";#N/A,#N/A,FALSE,"Res Cost"}</definedName>
    <definedName name="xxxx" localSheetId="13" hidden="1">{#N/A,#N/A,FALSE,"O&amp;M by processes";#N/A,#N/A,FALSE,"Elec Act vs Bud";#N/A,#N/A,FALSE,"G&amp;A";#N/A,#N/A,FALSE,"BGS";#N/A,#N/A,FALSE,"Res Cost"}</definedName>
    <definedName name="xxxx" localSheetId="16" hidden="1">{#N/A,#N/A,FALSE,"O&amp;M by processes";#N/A,#N/A,FALSE,"Elec Act vs Bud";#N/A,#N/A,FALSE,"G&amp;A";#N/A,#N/A,FALSE,"BGS";#N/A,#N/A,FALSE,"Res Cost"}</definedName>
    <definedName name="xxxx" hidden="1">{#N/A,#N/A,FALSE,"O&amp;M by processes";#N/A,#N/A,FALSE,"Elec Act vs Bud";#N/A,#N/A,FALSE,"G&amp;A";#N/A,#N/A,FALSE,"BGS";#N/A,#N/A,FALSE,"Res Cost"}</definedName>
    <definedName name="xxxxx" localSheetId="16" hidden="1">{#N/A,#N/A,TRUE,"TOTAL DISTRIBUTION";#N/A,#N/A,TRUE,"SOUTH";#N/A,#N/A,TRUE,"NORTHEAST";#N/A,#N/A,TRUE,"WEST"}</definedName>
    <definedName name="xxxxx" hidden="1">{#N/A,#N/A,TRUE,"TOTAL DISTRIBUTION";#N/A,#N/A,TRUE,"SOUTH";#N/A,#N/A,TRUE,"NORTHEAST";#N/A,#N/A,TRUE,"WEST"}</definedName>
    <definedName name="xxxxxx" localSheetId="16" hidden="1">{#N/A,#N/A,TRUE,"TOTAL DSBN";#N/A,#N/A,TRUE,"WEST";#N/A,#N/A,TRUE,"SOUTH";#N/A,#N/A,TRUE,"NORTHEAST"}</definedName>
    <definedName name="xxxxxx" hidden="1">{#N/A,#N/A,TRUE,"TOTAL DSBN";#N/A,#N/A,TRUE,"WEST";#N/A,#N/A,TRUE,"SOUTH";#N/A,#N/A,TRUE,"NORTHEAST"}</definedName>
    <definedName name="xxxxxxx" localSheetId="16" hidden="1">{#N/A,#N/A,FALSE,"Sum6 (1)"}</definedName>
    <definedName name="xxxxxxx" hidden="1">{#N/A,#N/A,FALSE,"Sum6 (1)"}</definedName>
    <definedName name="yyy" localSheetId="16" hidden="1">{"detail305",#N/A,FALSE,"BI-305"}</definedName>
    <definedName name="yyy" hidden="1">{"detail305",#N/A,FALSE,"BI-305"}</definedName>
    <definedName name="Z_28948E05_8F34_4F1E_96FB_A80A6A844600_.wvu.Cols" localSheetId="8" hidden="1">'6a-ADIT Projection'!#REF!</definedName>
    <definedName name="Z_28948E05_8F34_4F1E_96FB_A80A6A844600_.wvu.Cols" localSheetId="9" hidden="1">'6b-ADIT Projection Proration'!#REF!</definedName>
    <definedName name="Z_28948E05_8F34_4F1E_96FB_A80A6A844600_.wvu.Cols" localSheetId="10" hidden="1">'6c- ADIT BOY'!#REF!</definedName>
    <definedName name="Z_28948E05_8F34_4F1E_96FB_A80A6A844600_.wvu.Cols" localSheetId="11" hidden="1">'6d- ADIT EOY'!#REF!</definedName>
    <definedName name="Z_28948E05_8F34_4F1E_96FB_A80A6A844600_.wvu.Cols" localSheetId="12" hidden="1">'6e-ADIT True-up'!#REF!</definedName>
    <definedName name="Z_28948E05_8F34_4F1E_96FB_A80A6A844600_.wvu.PrintArea" localSheetId="8" hidden="1">'6a-ADIT Projection'!$B$1:$G$56</definedName>
    <definedName name="Z_28948E05_8F34_4F1E_96FB_A80A6A844600_.wvu.PrintArea" localSheetId="9" hidden="1">'6b-ADIT Projection Proration'!$B$1:$H$74</definedName>
    <definedName name="Z_28948E05_8F34_4F1E_96FB_A80A6A844600_.wvu.PrintArea" localSheetId="10" hidden="1">'6c- ADIT BOY'!$B$1:$H$106</definedName>
    <definedName name="Z_28948E05_8F34_4F1E_96FB_A80A6A844600_.wvu.PrintArea" localSheetId="11" hidden="1">'6d- ADIT EOY'!$B$1:$H$106</definedName>
    <definedName name="Z_28948E05_8F34_4F1E_96FB_A80A6A844600_.wvu.PrintArea" localSheetId="12" hidden="1">'6e-ADIT True-up'!$B$1:$G$63</definedName>
    <definedName name="Z_3768C7C8_9953_11DA_B318_000FB55D51DC_.wvu.PrintArea" localSheetId="2" hidden="1">'1 - Revenue Credits'!$A$5:$D$19</definedName>
    <definedName name="Z_3768C7C8_9953_11DA_B318_000FB55D51DC_.wvu.PrintArea" localSheetId="3" hidden="1">'2 - Cost Support '!#REF!</definedName>
    <definedName name="Z_3768C7C8_9953_11DA_B318_000FB55D51DC_.wvu.PrintArea" localSheetId="4" hidden="1">'3 - Cost Support'!$A$30:$M$118</definedName>
    <definedName name="Z_3768C7C8_9953_11DA_B318_000FB55D51DC_.wvu.PrintTitles" localSheetId="3" hidden="1">'2 - Cost Support '!#REF!</definedName>
    <definedName name="Z_3768C7C8_9953_11DA_B318_000FB55D51DC_.wvu.PrintTitles" localSheetId="4" hidden="1">'3 - Cost Support'!#REF!</definedName>
    <definedName name="Z_3768C7C8_9953_11DA_B318_000FB55D51DC_.wvu.Rows" localSheetId="3" hidden="1">'2 - Cost Support '!#REF!</definedName>
    <definedName name="Z_3768C7C8_9953_11DA_B318_000FB55D51DC_.wvu.Rows" localSheetId="4" hidden="1">'3 - Cost Support'!#REF!</definedName>
    <definedName name="Z_3BDD6235_B127_4929_8311_BDAF7BB89818_.wvu.PrintArea" localSheetId="2" hidden="1">'1 - Revenue Credits'!$A$5:$D$19</definedName>
    <definedName name="Z_3BDD6235_B127_4929_8311_BDAF7BB89818_.wvu.PrintArea" localSheetId="3" hidden="1">'2 - Cost Support '!#REF!</definedName>
    <definedName name="Z_3BDD6235_B127_4929_8311_BDAF7BB89818_.wvu.PrintArea" localSheetId="4" hidden="1">'3 - Cost Support'!$A$30:$M$118</definedName>
    <definedName name="Z_3BDD6235_B127_4929_8311_BDAF7BB89818_.wvu.PrintTitles" localSheetId="3" hidden="1">'2 - Cost Support '!#REF!</definedName>
    <definedName name="Z_3BDD6235_B127_4929_8311_BDAF7BB89818_.wvu.PrintTitles" localSheetId="4" hidden="1">'3 - Cost Support'!#REF!</definedName>
    <definedName name="Z_3BDD6235_B127_4929_8311_BDAF7BB89818_.wvu.Rows" localSheetId="3" hidden="1">'2 - Cost Support '!#REF!</definedName>
    <definedName name="Z_3BDD6235_B127_4929_8311_BDAF7BB89818_.wvu.Rows" localSheetId="4" hidden="1">'3 - Cost Support'!#REF!</definedName>
    <definedName name="Z_63011E91_4609_4523_98FE_FD252E915668_.wvu.Cols" localSheetId="8" hidden="1">'6a-ADIT Projection'!#REF!</definedName>
    <definedName name="Z_63011E91_4609_4523_98FE_FD252E915668_.wvu.Cols" localSheetId="9" hidden="1">'6b-ADIT Projection Proration'!#REF!</definedName>
    <definedName name="Z_63011E91_4609_4523_98FE_FD252E915668_.wvu.Cols" localSheetId="10" hidden="1">'6c- ADIT BOY'!#REF!</definedName>
    <definedName name="Z_63011E91_4609_4523_98FE_FD252E915668_.wvu.Cols" localSheetId="11" hidden="1">'6d- ADIT EOY'!#REF!</definedName>
    <definedName name="Z_63011E91_4609_4523_98FE_FD252E915668_.wvu.Cols" localSheetId="12" hidden="1">'6e-ADIT True-up'!#REF!</definedName>
    <definedName name="Z_63011E91_4609_4523_98FE_FD252E915668_.wvu.PrintArea" localSheetId="8" hidden="1">'6a-ADIT Projection'!$B$1:$G$56</definedName>
    <definedName name="Z_63011E91_4609_4523_98FE_FD252E915668_.wvu.PrintArea" localSheetId="9" hidden="1">'6b-ADIT Projection Proration'!$B$1:$H$74</definedName>
    <definedName name="Z_63011E91_4609_4523_98FE_FD252E915668_.wvu.PrintArea" localSheetId="10" hidden="1">'6c- ADIT BOY'!$B$1:$H$106</definedName>
    <definedName name="Z_63011E91_4609_4523_98FE_FD252E915668_.wvu.PrintArea" localSheetId="11" hidden="1">'6d- ADIT EOY'!$B$1:$H$106</definedName>
    <definedName name="Z_63011E91_4609_4523_98FE_FD252E915668_.wvu.PrintArea" localSheetId="12" hidden="1">'6e-ADIT True-up'!$B$1:$G$63</definedName>
    <definedName name="Z_6928E596_79BD_4CEC_9F0D_07E62D69B2A5_.wvu.Cols" localSheetId="8" hidden="1">'6a-ADIT Projection'!#REF!</definedName>
    <definedName name="Z_6928E596_79BD_4CEC_9F0D_07E62D69B2A5_.wvu.Cols" localSheetId="9" hidden="1">'6b-ADIT Projection Proration'!#REF!</definedName>
    <definedName name="Z_6928E596_79BD_4CEC_9F0D_07E62D69B2A5_.wvu.Cols" localSheetId="10" hidden="1">'6c- ADIT BOY'!#REF!</definedName>
    <definedName name="Z_6928E596_79BD_4CEC_9F0D_07E62D69B2A5_.wvu.Cols" localSheetId="11" hidden="1">'6d- ADIT EOY'!#REF!</definedName>
    <definedName name="Z_6928E596_79BD_4CEC_9F0D_07E62D69B2A5_.wvu.Cols" localSheetId="12" hidden="1">'6e-ADIT True-up'!#REF!</definedName>
    <definedName name="Z_6928E596_79BD_4CEC_9F0D_07E62D69B2A5_.wvu.PrintArea" localSheetId="8" hidden="1">'6a-ADIT Projection'!$B$1:$G$56</definedName>
    <definedName name="Z_6928E596_79BD_4CEC_9F0D_07E62D69B2A5_.wvu.PrintArea" localSheetId="9" hidden="1">'6b-ADIT Projection Proration'!$B$1:$H$74</definedName>
    <definedName name="Z_6928E596_79BD_4CEC_9F0D_07E62D69B2A5_.wvu.PrintArea" localSheetId="10" hidden="1">'6c- ADIT BOY'!$B$1:$H$106</definedName>
    <definedName name="Z_6928E596_79BD_4CEC_9F0D_07E62D69B2A5_.wvu.PrintArea" localSheetId="11" hidden="1">'6d- ADIT EOY'!$B$1:$H$106</definedName>
    <definedName name="Z_6928E596_79BD_4CEC_9F0D_07E62D69B2A5_.wvu.PrintArea" localSheetId="12" hidden="1">'6e-ADIT True-up'!$B$1:$G$63</definedName>
    <definedName name="Z_71B42B22_A376_44B5_B0C1_23FC1AA3DBA2_.wvu.Cols" localSheetId="8" hidden="1">'6a-ADIT Projection'!#REF!</definedName>
    <definedName name="Z_71B42B22_A376_44B5_B0C1_23FC1AA3DBA2_.wvu.Cols" localSheetId="9" hidden="1">'6b-ADIT Projection Proration'!#REF!</definedName>
    <definedName name="Z_71B42B22_A376_44B5_B0C1_23FC1AA3DBA2_.wvu.Cols" localSheetId="10" hidden="1">'6c- ADIT BOY'!#REF!</definedName>
    <definedName name="Z_71B42B22_A376_44B5_B0C1_23FC1AA3DBA2_.wvu.Cols" localSheetId="11" hidden="1">'6d- ADIT EOY'!#REF!</definedName>
    <definedName name="Z_71B42B22_A376_44B5_B0C1_23FC1AA3DBA2_.wvu.Cols" localSheetId="12" hidden="1">'6e-ADIT True-up'!#REF!</definedName>
    <definedName name="Z_71B42B22_A376_44B5_B0C1_23FC1AA3DBA2_.wvu.PrintArea" localSheetId="8" hidden="1">'6a-ADIT Projection'!$B$1:$G$56</definedName>
    <definedName name="Z_71B42B22_A376_44B5_B0C1_23FC1AA3DBA2_.wvu.PrintArea" localSheetId="9" hidden="1">'6b-ADIT Projection Proration'!$B$1:$H$74</definedName>
    <definedName name="Z_71B42B22_A376_44B5_B0C1_23FC1AA3DBA2_.wvu.PrintArea" localSheetId="10" hidden="1">'6c- ADIT BOY'!$B$1:$H$106</definedName>
    <definedName name="Z_71B42B22_A376_44B5_B0C1_23FC1AA3DBA2_.wvu.PrintArea" localSheetId="11" hidden="1">'6d- ADIT EOY'!$B$1:$H$106</definedName>
    <definedName name="Z_71B42B22_A376_44B5_B0C1_23FC1AA3DBA2_.wvu.PrintArea" localSheetId="12" hidden="1">'6e-ADIT True-up'!$B$1:$G$63</definedName>
    <definedName name="Z_8FBB4DC9_2D51_4AB9_80D8_F8474B404C29_.wvu.Cols" localSheetId="8" hidden="1">'6a-ADIT Projection'!#REF!</definedName>
    <definedName name="Z_8FBB4DC9_2D51_4AB9_80D8_F8474B404C29_.wvu.Cols" localSheetId="9" hidden="1">'6b-ADIT Projection Proration'!#REF!</definedName>
    <definedName name="Z_8FBB4DC9_2D51_4AB9_80D8_F8474B404C29_.wvu.Cols" localSheetId="10" hidden="1">'6c- ADIT BOY'!#REF!</definedName>
    <definedName name="Z_8FBB4DC9_2D51_4AB9_80D8_F8474B404C29_.wvu.Cols" localSheetId="11" hidden="1">'6d- ADIT EOY'!#REF!</definedName>
    <definedName name="Z_8FBB4DC9_2D51_4AB9_80D8_F8474B404C29_.wvu.Cols" localSheetId="12" hidden="1">'6e-ADIT True-up'!#REF!</definedName>
    <definedName name="Z_8FBB4DC9_2D51_4AB9_80D8_F8474B404C29_.wvu.PrintArea" localSheetId="8" hidden="1">'6a-ADIT Projection'!$B$1:$G$56</definedName>
    <definedName name="Z_8FBB4DC9_2D51_4AB9_80D8_F8474B404C29_.wvu.PrintArea" localSheetId="9" hidden="1">'6b-ADIT Projection Proration'!$B$1:$H$74</definedName>
    <definedName name="Z_8FBB4DC9_2D51_4AB9_80D8_F8474B404C29_.wvu.PrintArea" localSheetId="10" hidden="1">'6c- ADIT BOY'!$B$1:$H$106</definedName>
    <definedName name="Z_8FBB4DC9_2D51_4AB9_80D8_F8474B404C29_.wvu.PrintArea" localSheetId="11" hidden="1">'6d- ADIT EOY'!$B$1:$H$106</definedName>
    <definedName name="Z_8FBB4DC9_2D51_4AB9_80D8_F8474B404C29_.wvu.PrintArea" localSheetId="12" hidden="1">'6e-ADIT True-up'!$B$1:$G$63</definedName>
    <definedName name="Z_B0241363_5C8A_48FC_89A6_56D55586BABE_.wvu.PrintArea" localSheetId="2" hidden="1">'1 - Revenue Credits'!$A$5:$D$19</definedName>
    <definedName name="Z_B0241363_5C8A_48FC_89A6_56D55586BABE_.wvu.PrintArea" localSheetId="3" hidden="1">'2 - Cost Support '!#REF!</definedName>
    <definedName name="Z_B0241363_5C8A_48FC_89A6_56D55586BABE_.wvu.PrintArea" localSheetId="4" hidden="1">'3 - Cost Support'!$A$30:$M$118</definedName>
    <definedName name="Z_B0241363_5C8A_48FC_89A6_56D55586BABE_.wvu.PrintTitles" localSheetId="3" hidden="1">'2 - Cost Support '!#REF!</definedName>
    <definedName name="Z_B0241363_5C8A_48FC_89A6_56D55586BABE_.wvu.PrintTitles" localSheetId="4" hidden="1">'3 - Cost Support'!#REF!</definedName>
    <definedName name="Z_B0241363_5C8A_48FC_89A6_56D55586BABE_.wvu.Rows" localSheetId="3" hidden="1">'2 - Cost Support '!#REF!</definedName>
    <definedName name="Z_B0241363_5C8A_48FC_89A6_56D55586BABE_.wvu.Rows" localSheetId="4" hidden="1">'3 - Cost Support'!#REF!</definedName>
    <definedName name="Z_B647CB7F_C846_4278_B6B1_1EF7F3C004F5_.wvu.Cols" localSheetId="8" hidden="1">'6a-ADIT Projection'!#REF!</definedName>
    <definedName name="Z_B647CB7F_C846_4278_B6B1_1EF7F3C004F5_.wvu.Cols" localSheetId="9" hidden="1">'6b-ADIT Projection Proration'!#REF!</definedName>
    <definedName name="Z_B647CB7F_C846_4278_B6B1_1EF7F3C004F5_.wvu.Cols" localSheetId="10" hidden="1">'6c- ADIT BOY'!#REF!</definedName>
    <definedName name="Z_B647CB7F_C846_4278_B6B1_1EF7F3C004F5_.wvu.Cols" localSheetId="11" hidden="1">'6d- ADIT EOY'!#REF!</definedName>
    <definedName name="Z_B647CB7F_C846_4278_B6B1_1EF7F3C004F5_.wvu.Cols" localSheetId="12" hidden="1">'6e-ADIT True-up'!#REF!</definedName>
    <definedName name="Z_B647CB7F_C846_4278_B6B1_1EF7F3C004F5_.wvu.PrintArea" localSheetId="8" hidden="1">'6a-ADIT Projection'!$B$1:$G$56</definedName>
    <definedName name="Z_B647CB7F_C846_4278_B6B1_1EF7F3C004F5_.wvu.PrintArea" localSheetId="9" hidden="1">'6b-ADIT Projection Proration'!$B$1:$H$74</definedName>
    <definedName name="Z_B647CB7F_C846_4278_B6B1_1EF7F3C004F5_.wvu.PrintArea" localSheetId="10" hidden="1">'6c- ADIT BOY'!$B$1:$H$106</definedName>
    <definedName name="Z_B647CB7F_C846_4278_B6B1_1EF7F3C004F5_.wvu.PrintArea" localSheetId="11" hidden="1">'6d- ADIT EOY'!$B$1:$H$106</definedName>
    <definedName name="Z_B647CB7F_C846_4278_B6B1_1EF7F3C004F5_.wvu.PrintArea" localSheetId="12" hidden="1">'6e-ADIT True-up'!$B$1:$G$63</definedName>
    <definedName name="Z_C0EA0F9F_7310_4201_82C9_7B8FC8DB9137_.wvu.PrintArea" localSheetId="2" hidden="1">'1 - Revenue Credits'!$A$5:$D$19</definedName>
    <definedName name="Z_C0EA0F9F_7310_4201_82C9_7B8FC8DB9137_.wvu.PrintArea" localSheetId="3" hidden="1">'2 - Cost Support '!#REF!</definedName>
    <definedName name="Z_C0EA0F9F_7310_4201_82C9_7B8FC8DB9137_.wvu.PrintArea" localSheetId="4" hidden="1">'3 - Cost Support'!$A$30:$M$118</definedName>
    <definedName name="Z_C0EA0F9F_7310_4201_82C9_7B8FC8DB9137_.wvu.PrintTitles" localSheetId="3" hidden="1">'2 - Cost Support '!#REF!</definedName>
    <definedName name="Z_C0EA0F9F_7310_4201_82C9_7B8FC8DB9137_.wvu.PrintTitles" localSheetId="4" hidden="1">'3 - Cost Support'!#REF!</definedName>
    <definedName name="Z_C0EA0F9F_7310_4201_82C9_7B8FC8DB9137_.wvu.Rows" localSheetId="3" hidden="1">'2 - Cost Support '!#REF!</definedName>
    <definedName name="Z_C0EA0F9F_7310_4201_82C9_7B8FC8DB9137_.wvu.Rows" localSheetId="4" hidden="1">'3 - Cost Support'!#REF!</definedName>
    <definedName name="Z_DC91DEF3_837B_4BB9_A81E_3B78C5914E6C_.wvu.Cols" localSheetId="8" hidden="1">'6a-ADIT Projection'!#REF!</definedName>
    <definedName name="Z_DC91DEF3_837B_4BB9_A81E_3B78C5914E6C_.wvu.Cols" localSheetId="9" hidden="1">'6b-ADIT Projection Proration'!#REF!</definedName>
    <definedName name="Z_DC91DEF3_837B_4BB9_A81E_3B78C5914E6C_.wvu.Cols" localSheetId="10" hidden="1">'6c- ADIT BOY'!#REF!</definedName>
    <definedName name="Z_DC91DEF3_837B_4BB9_A81E_3B78C5914E6C_.wvu.Cols" localSheetId="11" hidden="1">'6d- ADIT EOY'!#REF!</definedName>
    <definedName name="Z_DC91DEF3_837B_4BB9_A81E_3B78C5914E6C_.wvu.Cols" localSheetId="12" hidden="1">'6e-ADIT True-up'!#REF!</definedName>
    <definedName name="Z_DC91DEF3_837B_4BB9_A81E_3B78C5914E6C_.wvu.PrintArea" localSheetId="8" hidden="1">'6a-ADIT Projection'!$B$1:$G$56</definedName>
    <definedName name="Z_DC91DEF3_837B_4BB9_A81E_3B78C5914E6C_.wvu.PrintArea" localSheetId="9" hidden="1">'6b-ADIT Projection Proration'!$B$1:$H$74</definedName>
    <definedName name="Z_DC91DEF3_837B_4BB9_A81E_3B78C5914E6C_.wvu.PrintArea" localSheetId="10" hidden="1">'6c- ADIT BOY'!$B$1:$H$106</definedName>
    <definedName name="Z_DC91DEF3_837B_4BB9_A81E_3B78C5914E6C_.wvu.PrintArea" localSheetId="11" hidden="1">'6d- ADIT EOY'!$B$1:$H$106</definedName>
    <definedName name="Z_DC91DEF3_837B_4BB9_A81E_3B78C5914E6C_.wvu.PrintArea" localSheetId="12" hidden="1">'6e-ADIT True-up'!$B$1:$G$63</definedName>
    <definedName name="Z_FAAD9AAC_1337_43AB_BF1F_CCF9DFCF5B78_.wvu.Cols" localSheetId="8" hidden="1">'6a-ADIT Projection'!#REF!</definedName>
    <definedName name="Z_FAAD9AAC_1337_43AB_BF1F_CCF9DFCF5B78_.wvu.Cols" localSheetId="9" hidden="1">'6b-ADIT Projection Proration'!#REF!</definedName>
    <definedName name="Z_FAAD9AAC_1337_43AB_BF1F_CCF9DFCF5B78_.wvu.Cols" localSheetId="10" hidden="1">'6c- ADIT BOY'!#REF!</definedName>
    <definedName name="Z_FAAD9AAC_1337_43AB_BF1F_CCF9DFCF5B78_.wvu.Cols" localSheetId="11" hidden="1">'6d- ADIT EOY'!#REF!</definedName>
    <definedName name="Z_FAAD9AAC_1337_43AB_BF1F_CCF9DFCF5B78_.wvu.Cols" localSheetId="12" hidden="1">'6e-ADIT True-up'!#REF!</definedName>
    <definedName name="Z_FAAD9AAC_1337_43AB_BF1F_CCF9DFCF5B78_.wvu.PrintArea" localSheetId="8" hidden="1">'6a-ADIT Projection'!$B$1:$G$56</definedName>
    <definedName name="Z_FAAD9AAC_1337_43AB_BF1F_CCF9DFCF5B78_.wvu.PrintArea" localSheetId="9" hidden="1">'6b-ADIT Projection Proration'!$B$1:$H$74</definedName>
    <definedName name="Z_FAAD9AAC_1337_43AB_BF1F_CCF9DFCF5B78_.wvu.PrintArea" localSheetId="10" hidden="1">'6c- ADIT BOY'!$B$1:$H$106</definedName>
    <definedName name="Z_FAAD9AAC_1337_43AB_BF1F_CCF9DFCF5B78_.wvu.PrintArea" localSheetId="11" hidden="1">'6d- ADIT EOY'!$B$1:$H$106</definedName>
    <definedName name="Z_FAAD9AAC_1337_43AB_BF1F_CCF9DFCF5B78_.wvu.PrintArea" localSheetId="12" hidden="1">'6e-ADIT True-up'!$B$1:$G$63</definedName>
    <definedName name="zzz" localSheetId="1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9" l="1"/>
  <c r="C8" i="18"/>
  <c r="H134" i="16"/>
  <c r="M108" i="16"/>
  <c r="M107" i="16"/>
  <c r="M106" i="16"/>
  <c r="M105" i="16"/>
  <c r="M104" i="16"/>
  <c r="M103" i="16"/>
  <c r="M102" i="16"/>
  <c r="M101" i="16"/>
  <c r="M100" i="16"/>
  <c r="M99" i="16"/>
  <c r="M98" i="16"/>
  <c r="M97" i="16"/>
  <c r="M96" i="16"/>
  <c r="M95" i="16"/>
  <c r="M94" i="16"/>
  <c r="M93" i="16"/>
  <c r="M109" i="16" s="1"/>
  <c r="M92" i="16"/>
  <c r="T80" i="16"/>
  <c r="V80" i="16" s="1"/>
  <c r="T79" i="16"/>
  <c r="V79" i="16" s="1"/>
  <c r="T78" i="16"/>
  <c r="V78" i="16" s="1"/>
  <c r="V77" i="16"/>
  <c r="T77" i="16"/>
  <c r="T76" i="16"/>
  <c r="V76" i="16" s="1"/>
  <c r="T75" i="16"/>
  <c r="V75" i="16" s="1"/>
  <c r="V74" i="16"/>
  <c r="T74" i="16"/>
  <c r="V73" i="16"/>
  <c r="T73" i="16"/>
  <c r="T72" i="16"/>
  <c r="V72" i="16" s="1"/>
  <c r="T71" i="16"/>
  <c r="V71" i="16" s="1"/>
  <c r="T70" i="16"/>
  <c r="V70" i="16" s="1"/>
  <c r="R60" i="16"/>
  <c r="R59" i="16"/>
  <c r="R58" i="16"/>
  <c r="R57" i="16"/>
  <c r="R56" i="16"/>
  <c r="R55" i="16"/>
  <c r="R54" i="16"/>
  <c r="R53" i="16"/>
  <c r="R52" i="16"/>
  <c r="R51" i="16"/>
  <c r="Y40" i="16"/>
  <c r="W40" i="16"/>
  <c r="E40" i="16"/>
  <c r="G40" i="16" s="1"/>
  <c r="I40" i="16" s="1"/>
  <c r="Z39" i="16"/>
  <c r="Y39" i="16"/>
  <c r="W39" i="16"/>
  <c r="G39" i="16"/>
  <c r="I39" i="16" s="1"/>
  <c r="E39" i="16"/>
  <c r="Y38" i="16"/>
  <c r="W38" i="16"/>
  <c r="Z38" i="16" s="1"/>
  <c r="E38" i="16"/>
  <c r="G38" i="16" s="1"/>
  <c r="I38" i="16" s="1"/>
  <c r="Z37" i="16"/>
  <c r="Y37" i="16"/>
  <c r="W37" i="16"/>
  <c r="G37" i="16"/>
  <c r="I37" i="16" s="1"/>
  <c r="E37" i="16"/>
  <c r="Y36" i="16"/>
  <c r="W36" i="16"/>
  <c r="Z36" i="16" s="1"/>
  <c r="E36" i="16"/>
  <c r="G36" i="16" s="1"/>
  <c r="I36" i="16" s="1"/>
  <c r="Y35" i="16"/>
  <c r="W35" i="16"/>
  <c r="Z35" i="16" s="1"/>
  <c r="I35" i="16"/>
  <c r="G35" i="16"/>
  <c r="E35" i="16"/>
  <c r="Y34" i="16"/>
  <c r="W34" i="16"/>
  <c r="Z34" i="16" s="1"/>
  <c r="E34" i="16"/>
  <c r="G34" i="16" s="1"/>
  <c r="I34" i="16" s="1"/>
  <c r="Z33" i="16"/>
  <c r="Y33" i="16"/>
  <c r="W33" i="16"/>
  <c r="G33" i="16"/>
  <c r="I33" i="16" s="1"/>
  <c r="E33" i="16"/>
  <c r="Y32" i="16"/>
  <c r="W32" i="16"/>
  <c r="Z32" i="16" s="1"/>
  <c r="E32" i="16"/>
  <c r="G32" i="16" s="1"/>
  <c r="I32" i="16" s="1"/>
  <c r="Y31" i="16"/>
  <c r="W31" i="16"/>
  <c r="Z31" i="16" s="1"/>
  <c r="I31" i="16"/>
  <c r="G31" i="16"/>
  <c r="E31" i="16"/>
  <c r="Y30" i="16"/>
  <c r="W30" i="16"/>
  <c r="Z30" i="16" s="1"/>
  <c r="E30" i="16"/>
  <c r="G30" i="16" s="1"/>
  <c r="I30" i="16" s="1"/>
  <c r="Y20" i="16"/>
  <c r="W20" i="16"/>
  <c r="Z20" i="16" s="1"/>
  <c r="G20" i="16"/>
  <c r="I20" i="16" s="1"/>
  <c r="E20" i="16"/>
  <c r="Z19" i="16"/>
  <c r="Y19" i="16"/>
  <c r="W19" i="16"/>
  <c r="E19" i="16"/>
  <c r="G19" i="16" s="1"/>
  <c r="I19" i="16" s="1"/>
  <c r="Y18" i="16"/>
  <c r="Z18" i="16" s="1"/>
  <c r="W18" i="16"/>
  <c r="E18" i="16"/>
  <c r="G18" i="16" s="1"/>
  <c r="I18" i="16" s="1"/>
  <c r="Z17" i="16"/>
  <c r="Y17" i="16"/>
  <c r="W17" i="16"/>
  <c r="G17" i="16"/>
  <c r="I17" i="16" s="1"/>
  <c r="E17" i="16"/>
  <c r="Y16" i="16"/>
  <c r="W16" i="16"/>
  <c r="Z16" i="16" s="1"/>
  <c r="I16" i="16"/>
  <c r="G16" i="16"/>
  <c r="E16" i="16"/>
  <c r="Z15" i="16"/>
  <c r="Y15" i="16"/>
  <c r="W15" i="16"/>
  <c r="E15" i="16"/>
  <c r="G15" i="16" s="1"/>
  <c r="I15" i="16" s="1"/>
  <c r="Z14" i="16"/>
  <c r="Y14" i="16"/>
  <c r="W14" i="16"/>
  <c r="E14" i="16"/>
  <c r="G14" i="16" s="1"/>
  <c r="I14" i="16" s="1"/>
  <c r="Y13" i="16"/>
  <c r="Z13" i="16" s="1"/>
  <c r="W13" i="16"/>
  <c r="G13" i="16"/>
  <c r="I13" i="16" s="1"/>
  <c r="E13" i="16"/>
  <c r="Y12" i="16"/>
  <c r="W12" i="16"/>
  <c r="Z12" i="16" s="1"/>
  <c r="G12" i="16"/>
  <c r="I12" i="16" s="1"/>
  <c r="E12" i="16"/>
  <c r="Z11" i="16"/>
  <c r="Y11" i="16"/>
  <c r="W11" i="16"/>
  <c r="E11" i="16"/>
  <c r="G11" i="16" s="1"/>
  <c r="I11" i="16" s="1"/>
  <c r="Z10" i="16"/>
  <c r="Y10" i="16"/>
  <c r="W10" i="16"/>
  <c r="E10" i="16"/>
  <c r="G10" i="16" s="1"/>
  <c r="I10" i="16" s="1"/>
  <c r="D41" i="15"/>
  <c r="D40" i="15"/>
  <c r="A38" i="15"/>
  <c r="A39" i="15" s="1"/>
  <c r="A40" i="15" s="1"/>
  <c r="A41" i="15" s="1"/>
  <c r="A42" i="15" s="1"/>
  <c r="H47" i="13"/>
  <c r="G47" i="13"/>
  <c r="F47" i="13"/>
  <c r="E47" i="13" s="1"/>
  <c r="H44" i="13"/>
  <c r="G44" i="13"/>
  <c r="F44" i="13"/>
  <c r="E44" i="13" s="1"/>
  <c r="H43" i="13"/>
  <c r="H37" i="13"/>
  <c r="G37" i="13"/>
  <c r="F37" i="13"/>
  <c r="H34" i="13"/>
  <c r="G34" i="13"/>
  <c r="F34" i="13"/>
  <c r="H27" i="13"/>
  <c r="G27" i="13"/>
  <c r="G25" i="13"/>
  <c r="G26" i="13" s="1"/>
  <c r="H24" i="13"/>
  <c r="G24" i="13"/>
  <c r="F24" i="13"/>
  <c r="E24" i="13"/>
  <c r="A14" i="13"/>
  <c r="A15" i="13" s="1"/>
  <c r="A16" i="13" s="1"/>
  <c r="A22" i="13" s="1"/>
  <c r="G13" i="13"/>
  <c r="A10" i="13"/>
  <c r="A11" i="13" s="1"/>
  <c r="A12" i="13" s="1"/>
  <c r="A13" i="13" s="1"/>
  <c r="F78" i="12"/>
  <c r="D78" i="12"/>
  <c r="G75" i="12"/>
  <c r="G78" i="12" s="1"/>
  <c r="F75" i="12"/>
  <c r="E75" i="12"/>
  <c r="E78" i="12" s="1"/>
  <c r="F35" i="13" s="1"/>
  <c r="D75" i="12"/>
  <c r="C75" i="12"/>
  <c r="C78" i="12" s="1"/>
  <c r="G51" i="12"/>
  <c r="G54" i="12" s="1"/>
  <c r="H25" i="13" s="1"/>
  <c r="H26" i="13" s="1"/>
  <c r="F51" i="12"/>
  <c r="F54" i="12" s="1"/>
  <c r="F9" i="12" s="1"/>
  <c r="E51" i="12"/>
  <c r="E54" i="12" s="1"/>
  <c r="D51" i="12"/>
  <c r="D54" i="12" s="1"/>
  <c r="C51" i="12"/>
  <c r="C54" i="12" s="1"/>
  <c r="E50" i="12"/>
  <c r="F27" i="13" s="1"/>
  <c r="E27" i="13" s="1"/>
  <c r="E32" i="12"/>
  <c r="D32" i="12"/>
  <c r="G29" i="12"/>
  <c r="G32" i="12" s="1"/>
  <c r="H45" i="13" s="1"/>
  <c r="H46" i="13" s="1"/>
  <c r="F29" i="12"/>
  <c r="F32" i="12" s="1"/>
  <c r="G45" i="13" s="1"/>
  <c r="G46" i="13" s="1"/>
  <c r="E29" i="12"/>
  <c r="D29" i="12"/>
  <c r="C29" i="12"/>
  <c r="C32" i="12" s="1"/>
  <c r="A29" i="12"/>
  <c r="A30" i="12" s="1"/>
  <c r="A31" i="12" s="1"/>
  <c r="A32" i="12" s="1"/>
  <c r="A43" i="12" s="1"/>
  <c r="A44" i="12" s="1"/>
  <c r="A45" i="12" s="1"/>
  <c r="A46" i="12" s="1"/>
  <c r="A47" i="12" s="1"/>
  <c r="A48" i="12" s="1"/>
  <c r="A49" i="12" s="1"/>
  <c r="A50" i="12" s="1"/>
  <c r="A51" i="12" s="1"/>
  <c r="A52" i="12" s="1"/>
  <c r="A53" i="12" s="1"/>
  <c r="A54" i="12" s="1"/>
  <c r="A65" i="12" s="1"/>
  <c r="A66" i="12" s="1"/>
  <c r="A67" i="12" s="1"/>
  <c r="A68" i="12" s="1"/>
  <c r="A69" i="12" s="1"/>
  <c r="A70" i="12" s="1"/>
  <c r="A71" i="12" s="1"/>
  <c r="A72" i="12" s="1"/>
  <c r="A73" i="12" s="1"/>
  <c r="A74" i="12" s="1"/>
  <c r="A75" i="12" s="1"/>
  <c r="A76" i="12" s="1"/>
  <c r="A77" i="12" s="1"/>
  <c r="A78" i="12" s="1"/>
  <c r="A12" i="12"/>
  <c r="A19" i="12" s="1"/>
  <c r="A20" i="12" s="1"/>
  <c r="A21" i="12" s="1"/>
  <c r="A22" i="12" s="1"/>
  <c r="A23" i="12" s="1"/>
  <c r="A24" i="12" s="1"/>
  <c r="A25" i="12" s="1"/>
  <c r="A26" i="12" s="1"/>
  <c r="A27" i="12" s="1"/>
  <c r="A28" i="12" s="1"/>
  <c r="G11" i="12"/>
  <c r="F11" i="12"/>
  <c r="E10" i="12"/>
  <c r="A10" i="12"/>
  <c r="A11" i="12" s="1"/>
  <c r="E78" i="11"/>
  <c r="F32" i="13" s="1"/>
  <c r="D78" i="11"/>
  <c r="C78" i="11"/>
  <c r="G75" i="11"/>
  <c r="G78" i="11" s="1"/>
  <c r="H32" i="13" s="1"/>
  <c r="H33" i="13" s="1"/>
  <c r="F75" i="11"/>
  <c r="F78" i="11" s="1"/>
  <c r="G32" i="13" s="1"/>
  <c r="E75" i="11"/>
  <c r="D75" i="11"/>
  <c r="C75" i="11"/>
  <c r="G54" i="11"/>
  <c r="H22" i="13" s="1"/>
  <c r="H23" i="13" s="1"/>
  <c r="F54" i="11"/>
  <c r="G22" i="13" s="1"/>
  <c r="G23" i="13" s="1"/>
  <c r="D54" i="11"/>
  <c r="G51" i="11"/>
  <c r="F51" i="11"/>
  <c r="D51" i="11"/>
  <c r="C51" i="11"/>
  <c r="C54" i="11" s="1"/>
  <c r="F32" i="11"/>
  <c r="G42" i="13" s="1"/>
  <c r="G43" i="13" s="1"/>
  <c r="G29" i="11"/>
  <c r="G32" i="11" s="1"/>
  <c r="H42" i="13" s="1"/>
  <c r="F29" i="11"/>
  <c r="E29" i="11"/>
  <c r="E32" i="11" s="1"/>
  <c r="D29" i="11"/>
  <c r="D32" i="11" s="1"/>
  <c r="C29" i="11"/>
  <c r="C32" i="11" s="1"/>
  <c r="A23" i="11"/>
  <c r="A24" i="11" s="1"/>
  <c r="A25" i="11" s="1"/>
  <c r="A26" i="11" s="1"/>
  <c r="A27" i="11" s="1"/>
  <c r="A28" i="11" s="1"/>
  <c r="A29" i="11" s="1"/>
  <c r="A30" i="11" s="1"/>
  <c r="A31" i="11" s="1"/>
  <c r="A32" i="11" s="1"/>
  <c r="A43" i="11" s="1"/>
  <c r="A44" i="11" s="1"/>
  <c r="A45" i="11" s="1"/>
  <c r="A46" i="11" s="1"/>
  <c r="A47" i="11" s="1"/>
  <c r="A48" i="11" s="1"/>
  <c r="A49" i="11" s="1"/>
  <c r="A50" i="11" s="1"/>
  <c r="A51" i="11" s="1"/>
  <c r="A52" i="11" s="1"/>
  <c r="A53" i="11" s="1"/>
  <c r="A54" i="11" s="1"/>
  <c r="A65" i="11" s="1"/>
  <c r="A66" i="11" s="1"/>
  <c r="A67" i="11" s="1"/>
  <c r="A68" i="11" s="1"/>
  <c r="A69" i="11" s="1"/>
  <c r="A70" i="11" s="1"/>
  <c r="A71" i="11" s="1"/>
  <c r="A72" i="11" s="1"/>
  <c r="A73" i="11" s="1"/>
  <c r="A74" i="11" s="1"/>
  <c r="A75" i="11" s="1"/>
  <c r="A76" i="11" s="1"/>
  <c r="A77" i="11" s="1"/>
  <c r="A78" i="11" s="1"/>
  <c r="A22" i="11"/>
  <c r="A12" i="11"/>
  <c r="A19" i="11" s="1"/>
  <c r="A20" i="11" s="1"/>
  <c r="A21" i="11" s="1"/>
  <c r="G11" i="11"/>
  <c r="F11" i="11"/>
  <c r="F10" i="11"/>
  <c r="A10" i="11"/>
  <c r="A11" i="11" s="1"/>
  <c r="G9" i="11"/>
  <c r="F9" i="11"/>
  <c r="G54" i="10"/>
  <c r="G55" i="10" s="1"/>
  <c r="F54" i="10"/>
  <c r="E53" i="10"/>
  <c r="L53" i="10" s="1"/>
  <c r="L52" i="10"/>
  <c r="J52" i="10"/>
  <c r="H52" i="10"/>
  <c r="E52" i="10"/>
  <c r="E51" i="10"/>
  <c r="H51" i="10" s="1"/>
  <c r="L50" i="10"/>
  <c r="J50" i="10"/>
  <c r="E50" i="10"/>
  <c r="H50" i="10" s="1"/>
  <c r="H49" i="10"/>
  <c r="E49" i="10"/>
  <c r="E48" i="10"/>
  <c r="L48" i="10" s="1"/>
  <c r="L47" i="10"/>
  <c r="J47" i="10"/>
  <c r="H47" i="10"/>
  <c r="E47" i="10"/>
  <c r="E46" i="10"/>
  <c r="L45" i="10"/>
  <c r="E45" i="10"/>
  <c r="J45" i="10" s="1"/>
  <c r="J44" i="10"/>
  <c r="H44" i="10"/>
  <c r="E44" i="10"/>
  <c r="L44" i="10" s="1"/>
  <c r="E43" i="10"/>
  <c r="L43" i="10" s="1"/>
  <c r="L42" i="10"/>
  <c r="J42" i="10"/>
  <c r="E42" i="10"/>
  <c r="H42" i="10" s="1"/>
  <c r="K41" i="10"/>
  <c r="I41" i="10"/>
  <c r="H41" i="10"/>
  <c r="G41" i="10"/>
  <c r="F41" i="10"/>
  <c r="E41" i="10"/>
  <c r="G39" i="10"/>
  <c r="G38" i="10"/>
  <c r="F38" i="10"/>
  <c r="L37" i="10"/>
  <c r="H37" i="10"/>
  <c r="E37" i="10"/>
  <c r="J37" i="10" s="1"/>
  <c r="J36" i="10"/>
  <c r="H36" i="10"/>
  <c r="E36" i="10"/>
  <c r="L36" i="10" s="1"/>
  <c r="E35" i="10"/>
  <c r="L35" i="10" s="1"/>
  <c r="L34" i="10"/>
  <c r="J34" i="10"/>
  <c r="E34" i="10"/>
  <c r="H34" i="10" s="1"/>
  <c r="H33" i="10"/>
  <c r="E33" i="10"/>
  <c r="E32" i="10"/>
  <c r="L32" i="10" s="1"/>
  <c r="L31" i="10"/>
  <c r="J31" i="10"/>
  <c r="H31" i="10"/>
  <c r="E31" i="10"/>
  <c r="E30" i="10"/>
  <c r="L29" i="10"/>
  <c r="H29" i="10"/>
  <c r="E29" i="10"/>
  <c r="J29" i="10" s="1"/>
  <c r="J28" i="10"/>
  <c r="H28" i="10"/>
  <c r="E28" i="10"/>
  <c r="L28" i="10" s="1"/>
  <c r="E27" i="10"/>
  <c r="L27" i="10" s="1"/>
  <c r="L26" i="10"/>
  <c r="J26" i="10"/>
  <c r="E26" i="10"/>
  <c r="H26" i="10" s="1"/>
  <c r="K25" i="10"/>
  <c r="I25" i="10"/>
  <c r="H25" i="10"/>
  <c r="G25" i="10"/>
  <c r="F25" i="10"/>
  <c r="E25" i="10"/>
  <c r="L21" i="10"/>
  <c r="E21" i="10"/>
  <c r="E20" i="10"/>
  <c r="L19" i="10"/>
  <c r="E19" i="10"/>
  <c r="E18" i="10"/>
  <c r="L17" i="10"/>
  <c r="E17" i="10"/>
  <c r="E16" i="10"/>
  <c r="L15" i="10"/>
  <c r="E15" i="10"/>
  <c r="E14" i="10"/>
  <c r="L13" i="10"/>
  <c r="E13" i="10"/>
  <c r="E12" i="10"/>
  <c r="D12" i="10"/>
  <c r="D13" i="10" s="1"/>
  <c r="D14" i="10" s="1"/>
  <c r="D15" i="10" s="1"/>
  <c r="D16" i="10" s="1"/>
  <c r="D17" i="10" s="1"/>
  <c r="D18" i="10" s="1"/>
  <c r="D19" i="10" s="1"/>
  <c r="D20" i="10" s="1"/>
  <c r="D21" i="10" s="1"/>
  <c r="A12" i="10"/>
  <c r="A13" i="10" s="1"/>
  <c r="A14" i="10" s="1"/>
  <c r="A15" i="10" s="1"/>
  <c r="A16" i="10" s="1"/>
  <c r="A17" i="10" s="1"/>
  <c r="A18" i="10" s="1"/>
  <c r="A19" i="10" s="1"/>
  <c r="A20" i="10" s="1"/>
  <c r="A21" i="10" s="1"/>
  <c r="A22" i="10" s="1"/>
  <c r="A25" i="10" s="1"/>
  <c r="A26" i="10" s="1"/>
  <c r="A27" i="10" s="1"/>
  <c r="A28" i="10" s="1"/>
  <c r="A29" i="10" s="1"/>
  <c r="A30" i="10" s="1"/>
  <c r="A31" i="10" s="1"/>
  <c r="A32" i="10" s="1"/>
  <c r="A33" i="10" s="1"/>
  <c r="A34" i="10" s="1"/>
  <c r="A35" i="10" s="1"/>
  <c r="A36" i="10" s="1"/>
  <c r="A37" i="10" s="1"/>
  <c r="A38" i="10" s="1"/>
  <c r="A41" i="10" s="1"/>
  <c r="A42" i="10" s="1"/>
  <c r="A43" i="10" s="1"/>
  <c r="A44" i="10" s="1"/>
  <c r="A45" i="10" s="1"/>
  <c r="A46" i="10" s="1"/>
  <c r="A47" i="10" s="1"/>
  <c r="A48" i="10" s="1"/>
  <c r="A49" i="10" s="1"/>
  <c r="A50" i="10" s="1"/>
  <c r="A51" i="10" s="1"/>
  <c r="A52" i="10" s="1"/>
  <c r="A53" i="10" s="1"/>
  <c r="A54" i="10" s="1"/>
  <c r="L11" i="10"/>
  <c r="E11" i="10"/>
  <c r="D11" i="10"/>
  <c r="A11" i="10"/>
  <c r="L10" i="10"/>
  <c r="E10" i="10"/>
  <c r="A10" i="10"/>
  <c r="K9" i="10"/>
  <c r="I9" i="10"/>
  <c r="F9" i="10"/>
  <c r="E9" i="10"/>
  <c r="H47" i="9"/>
  <c r="G47" i="9"/>
  <c r="F47" i="9"/>
  <c r="E47" i="9" s="1"/>
  <c r="H45" i="9"/>
  <c r="H46" i="9" s="1"/>
  <c r="G45" i="9"/>
  <c r="G46" i="9" s="1"/>
  <c r="H44" i="9"/>
  <c r="E44" i="9" s="1"/>
  <c r="G44" i="9"/>
  <c r="F44" i="9"/>
  <c r="H42" i="9"/>
  <c r="H43" i="9" s="1"/>
  <c r="G42" i="9"/>
  <c r="G43" i="9" s="1"/>
  <c r="H37" i="9"/>
  <c r="G37" i="9"/>
  <c r="E37" i="9" s="1"/>
  <c r="F37" i="9"/>
  <c r="H36" i="9"/>
  <c r="F36" i="9"/>
  <c r="H35" i="9"/>
  <c r="F35" i="9"/>
  <c r="H34" i="9"/>
  <c r="H33" i="9" s="1"/>
  <c r="G34" i="9"/>
  <c r="E34" i="9" s="1"/>
  <c r="F34" i="9"/>
  <c r="H32" i="9"/>
  <c r="G32" i="9"/>
  <c r="F32" i="9"/>
  <c r="E32" i="9" s="1"/>
  <c r="H27" i="9"/>
  <c r="G27" i="9"/>
  <c r="F27" i="9"/>
  <c r="E27" i="9"/>
  <c r="H26" i="9"/>
  <c r="G26" i="9"/>
  <c r="H25" i="9"/>
  <c r="G25" i="9"/>
  <c r="F25" i="9"/>
  <c r="F26" i="9" s="1"/>
  <c r="E25" i="9"/>
  <c r="H24" i="9"/>
  <c r="G24" i="9"/>
  <c r="F24" i="9"/>
  <c r="E24" i="9" s="1"/>
  <c r="A23" i="9"/>
  <c r="H22" i="9"/>
  <c r="H23" i="9" s="1"/>
  <c r="G22" i="9"/>
  <c r="G23" i="9" s="1"/>
  <c r="A15" i="9"/>
  <c r="A16" i="9" s="1"/>
  <c r="A22" i="9" s="1"/>
  <c r="G13" i="9"/>
  <c r="A11" i="9"/>
  <c r="A12" i="9" s="1"/>
  <c r="A13" i="9" s="1"/>
  <c r="A14" i="9" s="1"/>
  <c r="A10" i="9"/>
  <c r="A3" i="9"/>
  <c r="A3" i="10" s="1"/>
  <c r="B2" i="11" s="1"/>
  <c r="B2" i="12" s="1"/>
  <c r="A3" i="13" s="1"/>
  <c r="E45" i="8"/>
  <c r="E43" i="8"/>
  <c r="E21" i="8"/>
  <c r="D21" i="8"/>
  <c r="H19" i="8"/>
  <c r="F19" i="8"/>
  <c r="H18" i="8"/>
  <c r="F18" i="8"/>
  <c r="H17" i="8"/>
  <c r="F17" i="8"/>
  <c r="F16" i="8"/>
  <c r="H16" i="8" s="1"/>
  <c r="H15" i="8"/>
  <c r="F15" i="8"/>
  <c r="F14" i="8"/>
  <c r="A137" i="7"/>
  <c r="A138" i="7" s="1"/>
  <c r="E121" i="7"/>
  <c r="E122" i="7" s="1"/>
  <c r="E123" i="7" s="1"/>
  <c r="E124" i="7" s="1"/>
  <c r="E125" i="7" s="1"/>
  <c r="E126" i="7" s="1"/>
  <c r="E127" i="7" s="1"/>
  <c r="E128" i="7" s="1"/>
  <c r="E129" i="7" s="1"/>
  <c r="E130" i="7" s="1"/>
  <c r="E131" i="7" s="1"/>
  <c r="E132" i="7" s="1"/>
  <c r="E133" i="7" s="1"/>
  <c r="E134" i="7" s="1"/>
  <c r="E135" i="7" s="1"/>
  <c r="E119" i="7"/>
  <c r="E120" i="7" s="1"/>
  <c r="E118" i="7"/>
  <c r="J107" i="7"/>
  <c r="D96" i="7"/>
  <c r="B94" i="7"/>
  <c r="D63" i="7"/>
  <c r="B61" i="7"/>
  <c r="J43" i="7"/>
  <c r="E39" i="7"/>
  <c r="B29" i="7"/>
  <c r="G21" i="7"/>
  <c r="G53" i="7" s="1"/>
  <c r="A16" i="7"/>
  <c r="A19" i="7" s="1"/>
  <c r="J4" i="7"/>
  <c r="P40" i="6"/>
  <c r="N24" i="6"/>
  <c r="K24" i="6"/>
  <c r="F24" i="6"/>
  <c r="D24" i="6"/>
  <c r="P22" i="6"/>
  <c r="O22" i="6"/>
  <c r="O24" i="6" s="1"/>
  <c r="N22" i="6"/>
  <c r="M22" i="6"/>
  <c r="L22" i="6"/>
  <c r="K22" i="6"/>
  <c r="J22" i="6"/>
  <c r="I22" i="6"/>
  <c r="H22" i="6"/>
  <c r="G22" i="6"/>
  <c r="G24" i="6" s="1"/>
  <c r="F22" i="6"/>
  <c r="E22" i="6"/>
  <c r="D22" i="6"/>
  <c r="B22" i="6"/>
  <c r="Q21" i="6"/>
  <c r="Q20" i="6"/>
  <c r="Q19" i="6"/>
  <c r="Q18" i="6"/>
  <c r="Q22" i="6" s="1"/>
  <c r="Q16" i="6"/>
  <c r="F230" i="2" s="1"/>
  <c r="D20" i="7" s="1"/>
  <c r="D52" i="7" s="1"/>
  <c r="P14" i="6"/>
  <c r="P24" i="6" s="1"/>
  <c r="O14" i="6"/>
  <c r="N14" i="6"/>
  <c r="M14" i="6"/>
  <c r="L14" i="6"/>
  <c r="L24" i="6" s="1"/>
  <c r="K14" i="6"/>
  <c r="J14" i="6"/>
  <c r="J24" i="6" s="1"/>
  <c r="I14" i="6"/>
  <c r="I24" i="6" s="1"/>
  <c r="H14" i="6"/>
  <c r="H24" i="6" s="1"/>
  <c r="G14" i="6"/>
  <c r="F14" i="6"/>
  <c r="E14" i="6"/>
  <c r="D14" i="6"/>
  <c r="Q13" i="6"/>
  <c r="Q12" i="6"/>
  <c r="P27" i="6" s="1"/>
  <c r="P33" i="6" s="1"/>
  <c r="Q11" i="6"/>
  <c r="Q14" i="6" s="1"/>
  <c r="Q10" i="6"/>
  <c r="E130" i="5"/>
  <c r="E132" i="5" s="1"/>
  <c r="E149" i="2" s="1"/>
  <c r="E128" i="5"/>
  <c r="G115" i="5"/>
  <c r="G114" i="5"/>
  <c r="G113" i="5"/>
  <c r="G112" i="5"/>
  <c r="G111" i="5"/>
  <c r="G110" i="5"/>
  <c r="G109" i="5"/>
  <c r="G108" i="5"/>
  <c r="G107" i="5"/>
  <c r="G117" i="5" s="1"/>
  <c r="E113" i="2" s="1"/>
  <c r="G106" i="5"/>
  <c r="G105" i="5"/>
  <c r="G104" i="5"/>
  <c r="G103" i="5"/>
  <c r="G91" i="5"/>
  <c r="I82" i="5"/>
  <c r="M76" i="5"/>
  <c r="I64" i="5"/>
  <c r="A64" i="5"/>
  <c r="A73" i="5" s="1"/>
  <c r="A82" i="5" s="1"/>
  <c r="A93" i="5" s="1"/>
  <c r="A103" i="5" s="1"/>
  <c r="A104" i="5" s="1"/>
  <c r="A105" i="5" s="1"/>
  <c r="A106" i="5" s="1"/>
  <c r="A107" i="5" s="1"/>
  <c r="A108" i="5" s="1"/>
  <c r="A109" i="5" s="1"/>
  <c r="A110" i="5" s="1"/>
  <c r="A111" i="5" s="1"/>
  <c r="A112" i="5" s="1"/>
  <c r="A113" i="5" s="1"/>
  <c r="A114" i="5" s="1"/>
  <c r="A115" i="5" s="1"/>
  <c r="A117" i="5" s="1"/>
  <c r="A125" i="5" s="1"/>
  <c r="A126" i="5" s="1"/>
  <c r="A127" i="5" s="1"/>
  <c r="A128" i="5" s="1"/>
  <c r="A129" i="5" s="1"/>
  <c r="A130" i="5" s="1"/>
  <c r="A131" i="5" s="1"/>
  <c r="A132" i="5" s="1"/>
  <c r="A9" i="6" s="1"/>
  <c r="A10" i="6" s="1"/>
  <c r="I41" i="5"/>
  <c r="I40" i="5"/>
  <c r="I39" i="5"/>
  <c r="I38" i="5"/>
  <c r="I37" i="5"/>
  <c r="I36" i="5"/>
  <c r="I42" i="5" s="1"/>
  <c r="F26" i="5"/>
  <c r="G5" i="5"/>
  <c r="F170" i="4"/>
  <c r="J34" i="18"/>
  <c r="J33" i="18"/>
  <c r="J32" i="18"/>
  <c r="J31" i="18"/>
  <c r="J30" i="18"/>
  <c r="J29" i="18"/>
  <c r="J28" i="18"/>
  <c r="J27" i="18"/>
  <c r="J26" i="18"/>
  <c r="J25" i="18"/>
  <c r="J24" i="18"/>
  <c r="J23" i="18"/>
  <c r="K35" i="18"/>
  <c r="K34" i="18"/>
  <c r="K33" i="18"/>
  <c r="K32" i="18"/>
  <c r="K31" i="18"/>
  <c r="K30" i="18"/>
  <c r="K29" i="18"/>
  <c r="K28" i="18"/>
  <c r="K27" i="18"/>
  <c r="K26" i="18"/>
  <c r="K25" i="18"/>
  <c r="K24" i="18"/>
  <c r="K23" i="18"/>
  <c r="F122" i="4"/>
  <c r="I35" i="18"/>
  <c r="I34" i="18"/>
  <c r="I33" i="18"/>
  <c r="I32" i="18"/>
  <c r="I31" i="18"/>
  <c r="L31" i="18" s="1"/>
  <c r="I30" i="18"/>
  <c r="L30" i="18" s="1"/>
  <c r="I29" i="18"/>
  <c r="L29" i="18" s="1"/>
  <c r="I28" i="18"/>
  <c r="I27" i="18"/>
  <c r="I26" i="18"/>
  <c r="I25" i="18"/>
  <c r="I24" i="18"/>
  <c r="F84" i="4"/>
  <c r="J17" i="18"/>
  <c r="J16" i="18"/>
  <c r="J15" i="18"/>
  <c r="J14" i="18"/>
  <c r="J13" i="18"/>
  <c r="J12" i="18"/>
  <c r="J11" i="18"/>
  <c r="J10" i="18"/>
  <c r="J9" i="18"/>
  <c r="J8" i="18"/>
  <c r="J7" i="18"/>
  <c r="J6" i="18"/>
  <c r="J5" i="18"/>
  <c r="K17" i="18"/>
  <c r="K16" i="18"/>
  <c r="K15" i="18"/>
  <c r="K14" i="18"/>
  <c r="K13" i="18"/>
  <c r="K12" i="18"/>
  <c r="K11" i="18"/>
  <c r="K10" i="18"/>
  <c r="K9" i="18"/>
  <c r="K8" i="18"/>
  <c r="K7" i="18"/>
  <c r="K6" i="18"/>
  <c r="K5" i="18"/>
  <c r="F36" i="4"/>
  <c r="I17" i="18"/>
  <c r="L17" i="18" s="1"/>
  <c r="I16" i="18"/>
  <c r="I15" i="18"/>
  <c r="I14" i="18"/>
  <c r="I13" i="18"/>
  <c r="I12" i="18"/>
  <c r="L12" i="18" s="1"/>
  <c r="I11" i="18"/>
  <c r="L11" i="18" s="1"/>
  <c r="I10" i="18"/>
  <c r="I9" i="18"/>
  <c r="L9" i="18" s="1"/>
  <c r="I8" i="18"/>
  <c r="I7" i="18"/>
  <c r="I6" i="18"/>
  <c r="I5" i="18"/>
  <c r="E7" i="4"/>
  <c r="E39" i="4" s="1"/>
  <c r="A7" i="4"/>
  <c r="A8" i="4" s="1"/>
  <c r="A9" i="4" s="1"/>
  <c r="A10" i="4" s="1"/>
  <c r="A11" i="4" s="1"/>
  <c r="A12" i="4" s="1"/>
  <c r="A13" i="4" s="1"/>
  <c r="A14" i="4" s="1"/>
  <c r="A15" i="4" s="1"/>
  <c r="A16" i="4" s="1"/>
  <c r="A17" i="4" s="1"/>
  <c r="A18" i="4" s="1"/>
  <c r="A19" i="4" s="1"/>
  <c r="A20" i="4" s="1"/>
  <c r="C46" i="3"/>
  <c r="F32" i="3"/>
  <c r="F34" i="3" s="1"/>
  <c r="D32" i="3"/>
  <c r="D34" i="3" s="1"/>
  <c r="C31" i="3"/>
  <c r="F29" i="3"/>
  <c r="E29" i="3"/>
  <c r="E32" i="3" s="1"/>
  <c r="E34" i="3" s="1"/>
  <c r="D29" i="3"/>
  <c r="C28" i="3"/>
  <c r="C27" i="3"/>
  <c r="C26" i="3"/>
  <c r="C29" i="3" s="1"/>
  <c r="C32" i="3" s="1"/>
  <c r="C34" i="3" s="1"/>
  <c r="C25" i="3"/>
  <c r="D14" i="3"/>
  <c r="A9" i="3"/>
  <c r="E290" i="2"/>
  <c r="E172" i="2" s="1"/>
  <c r="C269" i="2"/>
  <c r="C241" i="2"/>
  <c r="M240" i="2"/>
  <c r="F231" i="2"/>
  <c r="D21" i="7" s="1"/>
  <c r="D53" i="7" s="1"/>
  <c r="C231" i="2"/>
  <c r="I230" i="2"/>
  <c r="G20" i="7" s="1"/>
  <c r="F229" i="2"/>
  <c r="D19" i="7" s="1"/>
  <c r="C226" i="2"/>
  <c r="E224" i="2"/>
  <c r="H223" i="2"/>
  <c r="H222" i="2"/>
  <c r="H220" i="2"/>
  <c r="J213" i="2"/>
  <c r="C213" i="2"/>
  <c r="J212" i="2"/>
  <c r="C212" i="2"/>
  <c r="C175" i="2"/>
  <c r="D171" i="2"/>
  <c r="G168" i="2"/>
  <c r="J167" i="2"/>
  <c r="E169" i="2"/>
  <c r="H164" i="2"/>
  <c r="J164" i="2" s="1"/>
  <c r="G164" i="2"/>
  <c r="H163" i="2"/>
  <c r="J163" i="2" s="1"/>
  <c r="C161" i="2"/>
  <c r="H157" i="2"/>
  <c r="C156" i="2"/>
  <c r="J150" i="2"/>
  <c r="G148" i="2"/>
  <c r="E148" i="2"/>
  <c r="D148" i="2"/>
  <c r="E147" i="2"/>
  <c r="J147" i="2" s="1"/>
  <c r="D147" i="2"/>
  <c r="H146" i="2"/>
  <c r="G145" i="2"/>
  <c r="G149" i="2" s="1"/>
  <c r="G144" i="2"/>
  <c r="E114" i="2"/>
  <c r="C114" i="2"/>
  <c r="C113" i="2"/>
  <c r="C111" i="2"/>
  <c r="H105" i="2"/>
  <c r="H104" i="2" s="1"/>
  <c r="J104" i="2" s="1"/>
  <c r="G105" i="2"/>
  <c r="G104" i="2" s="1"/>
  <c r="E105" i="2"/>
  <c r="E104" i="2"/>
  <c r="J103" i="2"/>
  <c r="E101" i="2"/>
  <c r="C99" i="2"/>
  <c r="H89" i="2"/>
  <c r="G89" i="2"/>
  <c r="G88" i="2"/>
  <c r="E88" i="2"/>
  <c r="J88" i="2" s="1"/>
  <c r="C88" i="2"/>
  <c r="C95" i="2" s="1"/>
  <c r="G87" i="2"/>
  <c r="G109" i="2" s="1"/>
  <c r="G86" i="2"/>
  <c r="E86" i="2"/>
  <c r="C86" i="2"/>
  <c r="C93" i="2" s="1"/>
  <c r="H82" i="2"/>
  <c r="E81" i="2"/>
  <c r="E95" i="2" s="1"/>
  <c r="E79" i="2"/>
  <c r="J79" i="2" s="1"/>
  <c r="A79" i="2"/>
  <c r="A80" i="2" s="1"/>
  <c r="C211" i="2" s="1"/>
  <c r="M71" i="2"/>
  <c r="M136" i="2" s="1"/>
  <c r="M205" i="2" s="1"/>
  <c r="M257" i="2" s="1"/>
  <c r="D25" i="2"/>
  <c r="D21" i="2"/>
  <c r="G19" i="2"/>
  <c r="E19" i="2"/>
  <c r="C19" i="2"/>
  <c r="C243" i="2" s="1"/>
  <c r="A19" i="2"/>
  <c r="E9" i="2"/>
  <c r="E258" i="2" s="1"/>
  <c r="A3" i="8" s="1"/>
  <c r="A2" i="13" s="1"/>
  <c r="A6" i="15" s="1"/>
  <c r="K6" i="1"/>
  <c r="K5" i="1"/>
  <c r="C5" i="1"/>
  <c r="C4" i="1"/>
  <c r="D26" i="7" l="1"/>
  <c r="D30" i="7" s="1"/>
  <c r="D34" i="7" s="1"/>
  <c r="D91" i="7"/>
  <c r="D95" i="7" s="1"/>
  <c r="D99" i="7" s="1"/>
  <c r="E176" i="2"/>
  <c r="E206" i="2"/>
  <c r="G86" i="7"/>
  <c r="L13" i="18"/>
  <c r="L10" i="18"/>
  <c r="G100" i="2"/>
  <c r="G113" i="2"/>
  <c r="A22" i="4"/>
  <c r="A23" i="4" s="1"/>
  <c r="D51" i="7"/>
  <c r="D54" i="7" s="1"/>
  <c r="D22" i="7"/>
  <c r="A11" i="6"/>
  <c r="A12" i="6" s="1"/>
  <c r="A13" i="6" s="1"/>
  <c r="A14" i="6" s="1"/>
  <c r="F138" i="4"/>
  <c r="F232" i="2"/>
  <c r="I18" i="18"/>
  <c r="L5" i="18"/>
  <c r="O9" i="18"/>
  <c r="N9" i="18"/>
  <c r="P9" i="18"/>
  <c r="O13" i="18"/>
  <c r="P13" i="18"/>
  <c r="N13" i="18"/>
  <c r="O17" i="18"/>
  <c r="N17" i="18"/>
  <c r="P17" i="18"/>
  <c r="E125" i="4"/>
  <c r="A24" i="9"/>
  <c r="A25" i="9" s="1"/>
  <c r="J16" i="10"/>
  <c r="L16" i="10"/>
  <c r="P35" i="6"/>
  <c r="I229" i="2" s="1"/>
  <c r="Q24" i="6"/>
  <c r="J12" i="10"/>
  <c r="L12" i="10"/>
  <c r="B8" i="8"/>
  <c r="D36" i="8" s="1"/>
  <c r="D37" i="8" s="1"/>
  <c r="D38" i="8" s="1"/>
  <c r="D39" i="8" s="1"/>
  <c r="D40" i="8" s="1"/>
  <c r="D41" i="8" s="1"/>
  <c r="D42" i="8" s="1"/>
  <c r="E141" i="4"/>
  <c r="E55" i="4"/>
  <c r="E109" i="4"/>
  <c r="E23" i="4"/>
  <c r="E8" i="4"/>
  <c r="E157" i="4"/>
  <c r="E71" i="4"/>
  <c r="E2" i="6"/>
  <c r="A2" i="3"/>
  <c r="A2" i="9"/>
  <c r="A2" i="10" s="1"/>
  <c r="C14" i="3"/>
  <c r="P10" i="18"/>
  <c r="O10" i="18"/>
  <c r="N10" i="18"/>
  <c r="F20" i="4"/>
  <c r="J18" i="10"/>
  <c r="L18" i="10"/>
  <c r="E72" i="2"/>
  <c r="E137" i="2" s="1"/>
  <c r="A81" i="2"/>
  <c r="J105" i="2"/>
  <c r="G52" i="7"/>
  <c r="G85" i="7"/>
  <c r="A10" i="3"/>
  <c r="A11" i="3" s="1"/>
  <c r="A12" i="3" s="1"/>
  <c r="A14" i="3" s="1"/>
  <c r="D19" i="2" s="1"/>
  <c r="E93" i="4"/>
  <c r="F106" i="4"/>
  <c r="D2" i="5"/>
  <c r="J86" i="2"/>
  <c r="E93" i="2"/>
  <c r="J146" i="2"/>
  <c r="I23" i="18"/>
  <c r="E156" i="2"/>
  <c r="J14" i="10"/>
  <c r="L14" i="10"/>
  <c r="A23" i="13"/>
  <c r="J81" i="2"/>
  <c r="J95" i="2" s="1"/>
  <c r="A2" i="4"/>
  <c r="L28" i="18"/>
  <c r="J35" i="18"/>
  <c r="E157" i="2"/>
  <c r="J157" i="2" s="1"/>
  <c r="A20" i="7"/>
  <c r="A21" i="7" s="1"/>
  <c r="A22" i="7" s="1"/>
  <c r="A23" i="7" s="1"/>
  <c r="B28" i="7"/>
  <c r="B23" i="9"/>
  <c r="J20" i="10"/>
  <c r="L20" i="10"/>
  <c r="E11" i="11"/>
  <c r="F42" i="13"/>
  <c r="F42" i="9"/>
  <c r="N12" i="18"/>
  <c r="P12" i="18"/>
  <c r="O12" i="18"/>
  <c r="F52" i="4"/>
  <c r="E82" i="2" s="1"/>
  <c r="E24" i="6"/>
  <c r="M24" i="6"/>
  <c r="J10" i="10"/>
  <c r="I38" i="10"/>
  <c r="I39" i="10" s="1"/>
  <c r="L7" i="18"/>
  <c r="L15" i="18"/>
  <c r="D20" i="4"/>
  <c r="L25" i="18"/>
  <c r="L33" i="18"/>
  <c r="J25" i="10"/>
  <c r="L46" i="10"/>
  <c r="J46" i="10"/>
  <c r="H46" i="10"/>
  <c r="D58" i="7"/>
  <c r="E26" i="9"/>
  <c r="E9" i="12"/>
  <c r="F25" i="13"/>
  <c r="L8" i="18"/>
  <c r="L16" i="18"/>
  <c r="K18" i="18"/>
  <c r="L26" i="18"/>
  <c r="L34" i="18"/>
  <c r="K36" i="18"/>
  <c r="G14" i="8"/>
  <c r="F33" i="9"/>
  <c r="J41" i="10"/>
  <c r="P11" i="18"/>
  <c r="O11" i="18"/>
  <c r="N11" i="18"/>
  <c r="G33" i="9"/>
  <c r="K22" i="10"/>
  <c r="K23" i="10" s="1"/>
  <c r="J11" i="10"/>
  <c r="L33" i="10"/>
  <c r="J33" i="10"/>
  <c r="I54" i="10"/>
  <c r="I55" i="10" s="1"/>
  <c r="L6" i="18"/>
  <c r="L14" i="18"/>
  <c r="F68" i="4"/>
  <c r="L24" i="18"/>
  <c r="L32" i="18"/>
  <c r="F154" i="4"/>
  <c r="L9" i="10"/>
  <c r="J13" i="10"/>
  <c r="J15" i="10"/>
  <c r="J17" i="10"/>
  <c r="J19" i="10"/>
  <c r="J21" i="10"/>
  <c r="G35" i="13"/>
  <c r="G36" i="13" s="1"/>
  <c r="F10" i="12"/>
  <c r="F12" i="12" s="1"/>
  <c r="G35" i="9"/>
  <c r="J18" i="18"/>
  <c r="L27" i="18"/>
  <c r="L35" i="18"/>
  <c r="J36" i="18"/>
  <c r="L30" i="10"/>
  <c r="J30" i="10"/>
  <c r="H30" i="10"/>
  <c r="L49" i="10"/>
  <c r="J49" i="10"/>
  <c r="F12" i="11"/>
  <c r="E11" i="12"/>
  <c r="F45" i="9"/>
  <c r="F45" i="13"/>
  <c r="E34" i="13"/>
  <c r="L25" i="10"/>
  <c r="H27" i="10"/>
  <c r="H38" i="10" s="1"/>
  <c r="F38" i="9" s="1"/>
  <c r="H35" i="10"/>
  <c r="L41" i="10"/>
  <c r="H43" i="10"/>
  <c r="H54" i="10" s="1"/>
  <c r="F48" i="9" s="1"/>
  <c r="J51" i="10"/>
  <c r="H53" i="10"/>
  <c r="K54" i="10"/>
  <c r="K55" i="10" s="1"/>
  <c r="E32" i="13"/>
  <c r="F21" i="8"/>
  <c r="I22" i="10"/>
  <c r="I23" i="10" s="1"/>
  <c r="J27" i="10"/>
  <c r="H32" i="10"/>
  <c r="J35" i="10"/>
  <c r="J43" i="10"/>
  <c r="H48" i="10"/>
  <c r="L51" i="10"/>
  <c r="J53" i="10"/>
  <c r="E10" i="11"/>
  <c r="J32" i="10"/>
  <c r="H45" i="10"/>
  <c r="J48" i="10"/>
  <c r="G9" i="12"/>
  <c r="G12" i="12" s="1"/>
  <c r="J9" i="10"/>
  <c r="K38" i="10"/>
  <c r="K39" i="10" s="1"/>
  <c r="G10" i="11"/>
  <c r="G12" i="11" s="1"/>
  <c r="G33" i="13"/>
  <c r="H35" i="13"/>
  <c r="H36" i="13" s="1"/>
  <c r="G10" i="12"/>
  <c r="F36" i="13"/>
  <c r="E36" i="13" s="1"/>
  <c r="F33" i="13"/>
  <c r="E37" i="13"/>
  <c r="Z21" i="16"/>
  <c r="V81" i="16"/>
  <c r="E102" i="2" s="1"/>
  <c r="J102" i="2" s="1"/>
  <c r="M238" i="2" s="1"/>
  <c r="I41" i="16"/>
  <c r="H9" i="5" s="1"/>
  <c r="E158" i="2" s="1"/>
  <c r="J158" i="2" s="1"/>
  <c r="Z41" i="16"/>
  <c r="Z40" i="16"/>
  <c r="I21" i="16"/>
  <c r="E151" i="2" s="1"/>
  <c r="R61" i="16"/>
  <c r="E109" i="2" s="1"/>
  <c r="E180" i="2" l="1"/>
  <c r="E178" i="2"/>
  <c r="D32" i="7" s="1"/>
  <c r="D97" i="7" s="1"/>
  <c r="N8" i="18"/>
  <c r="O8" i="18"/>
  <c r="P8" i="18"/>
  <c r="L54" i="10"/>
  <c r="H48" i="9" s="1"/>
  <c r="H49" i="9" s="1"/>
  <c r="G11" i="9" s="1"/>
  <c r="E45" i="13"/>
  <c r="F46" i="13"/>
  <c r="E46" i="13" s="1"/>
  <c r="L22" i="10"/>
  <c r="H28" i="9" s="1"/>
  <c r="H29" i="9" s="1"/>
  <c r="G9" i="9" s="1"/>
  <c r="F39" i="9"/>
  <c r="E33" i="9"/>
  <c r="E42" i="13"/>
  <c r="F43" i="13"/>
  <c r="G230" i="2"/>
  <c r="G231" i="2"/>
  <c r="G229" i="2"/>
  <c r="E19" i="7" s="1"/>
  <c r="J54" i="10"/>
  <c r="G48" i="9" s="1"/>
  <c r="G49" i="9" s="1"/>
  <c r="F11" i="9" s="1"/>
  <c r="E42" i="9"/>
  <c r="F43" i="9"/>
  <c r="E33" i="13"/>
  <c r="J22" i="10"/>
  <c r="G28" i="9" s="1"/>
  <c r="G29" i="9" s="1"/>
  <c r="F9" i="9" s="1"/>
  <c r="E45" i="9"/>
  <c r="F46" i="9"/>
  <c r="E46" i="9" s="1"/>
  <c r="G21" i="8"/>
  <c r="H14" i="8"/>
  <c r="H21" i="8" s="1"/>
  <c r="E23" i="2" s="1"/>
  <c r="J23" i="2" s="1"/>
  <c r="A25" i="7"/>
  <c r="A26" i="7" s="1"/>
  <c r="A24" i="13"/>
  <c r="A3" i="16"/>
  <c r="F11" i="7"/>
  <c r="E89" i="2"/>
  <c r="J89" i="2" s="1"/>
  <c r="E35" i="9"/>
  <c r="G36" i="9"/>
  <c r="E36" i="9" s="1"/>
  <c r="F26" i="13"/>
  <c r="E26" i="13" s="1"/>
  <c r="E25" i="13"/>
  <c r="E96" i="2"/>
  <c r="A26" i="9"/>
  <c r="N6" i="18"/>
  <c r="P6" i="18"/>
  <c r="O6" i="18"/>
  <c r="L23" i="18"/>
  <c r="L36" i="18" s="1"/>
  <c r="I36" i="18"/>
  <c r="E168" i="4"/>
  <c r="E164" i="4"/>
  <c r="E160" i="4"/>
  <c r="E152" i="4"/>
  <c r="E144" i="4"/>
  <c r="E137" i="4"/>
  <c r="E129" i="4"/>
  <c r="E118" i="4"/>
  <c r="E114" i="4"/>
  <c r="E110" i="4"/>
  <c r="E100" i="4"/>
  <c r="E82" i="4"/>
  <c r="E78" i="4"/>
  <c r="E74" i="4"/>
  <c r="E66" i="4"/>
  <c r="E58" i="4"/>
  <c r="E51" i="4"/>
  <c r="E43" i="4"/>
  <c r="E32" i="4"/>
  <c r="E28" i="4"/>
  <c r="E24" i="4"/>
  <c r="E149" i="4"/>
  <c r="E134" i="4"/>
  <c r="E126" i="4"/>
  <c r="E105" i="4"/>
  <c r="E97" i="4"/>
  <c r="E63" i="4"/>
  <c r="E48" i="4"/>
  <c r="E40" i="4"/>
  <c r="E19" i="4"/>
  <c r="E11" i="4"/>
  <c r="E167" i="4"/>
  <c r="E163" i="4"/>
  <c r="E159" i="4"/>
  <c r="E146" i="4"/>
  <c r="E131" i="4"/>
  <c r="E121" i="4"/>
  <c r="E117" i="4"/>
  <c r="E113" i="4"/>
  <c r="E102" i="4"/>
  <c r="E94" i="4"/>
  <c r="E81" i="4"/>
  <c r="E77" i="4"/>
  <c r="E73" i="4"/>
  <c r="E60" i="4"/>
  <c r="E45" i="4"/>
  <c r="E35" i="4"/>
  <c r="E31" i="4"/>
  <c r="E27" i="4"/>
  <c r="E16" i="4"/>
  <c r="E151" i="4"/>
  <c r="E143" i="4"/>
  <c r="E136" i="4"/>
  <c r="E128" i="4"/>
  <c r="E99" i="4"/>
  <c r="E65" i="4"/>
  <c r="E57" i="4"/>
  <c r="E50" i="4"/>
  <c r="E42" i="4"/>
  <c r="E13" i="4"/>
  <c r="E169" i="4"/>
  <c r="E165" i="4"/>
  <c r="E161" i="4"/>
  <c r="E150" i="4"/>
  <c r="E142" i="4"/>
  <c r="E135" i="4"/>
  <c r="E127" i="4"/>
  <c r="E119" i="4"/>
  <c r="E115" i="4"/>
  <c r="E111" i="4"/>
  <c r="E98" i="4"/>
  <c r="E83" i="4"/>
  <c r="E79" i="4"/>
  <c r="E75" i="4"/>
  <c r="E64" i="4"/>
  <c r="E56" i="4"/>
  <c r="E49" i="4"/>
  <c r="E41" i="4"/>
  <c r="E33" i="4"/>
  <c r="E29" i="4"/>
  <c r="E25" i="4"/>
  <c r="E12" i="4"/>
  <c r="E166" i="4"/>
  <c r="E145" i="4"/>
  <c r="E133" i="4"/>
  <c r="E95" i="4"/>
  <c r="E26" i="4"/>
  <c r="E18" i="4"/>
  <c r="E10" i="4"/>
  <c r="E120" i="4"/>
  <c r="E80" i="4"/>
  <c r="E59" i="4"/>
  <c r="E47" i="4"/>
  <c r="E14" i="4"/>
  <c r="E153" i="4"/>
  <c r="E148" i="4"/>
  <c r="E103" i="4"/>
  <c r="E34" i="4"/>
  <c r="E162" i="4"/>
  <c r="E132" i="4"/>
  <c r="E67" i="4"/>
  <c r="E62" i="4"/>
  <c r="E17" i="4"/>
  <c r="E9" i="4"/>
  <c r="E72" i="4"/>
  <c r="E116" i="4"/>
  <c r="E76" i="4"/>
  <c r="E46" i="4"/>
  <c r="E112" i="4"/>
  <c r="E147" i="4"/>
  <c r="E101" i="4"/>
  <c r="E96" i="4"/>
  <c r="E30" i="4"/>
  <c r="E158" i="4"/>
  <c r="E130" i="4"/>
  <c r="E61" i="4"/>
  <c r="E104" i="4"/>
  <c r="E44" i="4"/>
  <c r="E15" i="4"/>
  <c r="H39" i="13"/>
  <c r="G10" i="13" s="1"/>
  <c r="L38" i="10"/>
  <c r="H38" i="9" s="1"/>
  <c r="H39" i="9" s="1"/>
  <c r="G10" i="9" s="1"/>
  <c r="E12" i="12"/>
  <c r="N15" i="18"/>
  <c r="P15" i="18"/>
  <c r="O15" i="18"/>
  <c r="F86" i="4"/>
  <c r="E80" i="2"/>
  <c r="J93" i="2"/>
  <c r="D36" i="4"/>
  <c r="A24" i="4"/>
  <c r="A25" i="4" s="1"/>
  <c r="A26" i="4" s="1"/>
  <c r="A27" i="4" s="1"/>
  <c r="A28" i="4" s="1"/>
  <c r="A29" i="4" s="1"/>
  <c r="A30" i="4" s="1"/>
  <c r="A31" i="4" s="1"/>
  <c r="A32" i="4" s="1"/>
  <c r="A33" i="4" s="1"/>
  <c r="A34" i="4" s="1"/>
  <c r="A35" i="4" s="1"/>
  <c r="A36" i="4" s="1"/>
  <c r="E152" i="2"/>
  <c r="J151" i="2"/>
  <c r="P7" i="18"/>
  <c r="O7" i="18"/>
  <c r="N7" i="18"/>
  <c r="G7" i="5"/>
  <c r="E106" i="2"/>
  <c r="J106" i="2" s="1"/>
  <c r="M239" i="2" s="1"/>
  <c r="G39" i="13"/>
  <c r="F10" i="13" s="1"/>
  <c r="E35" i="13"/>
  <c r="D62" i="7"/>
  <c r="D66" i="7" s="1"/>
  <c r="A15" i="6"/>
  <c r="A16" i="6" s="1"/>
  <c r="A17" i="6" s="1"/>
  <c r="A18" i="6" s="1"/>
  <c r="J82" i="2"/>
  <c r="J96" i="2" s="1"/>
  <c r="D64" i="7"/>
  <c r="P14" i="18"/>
  <c r="O14" i="18"/>
  <c r="N14" i="18"/>
  <c r="N16" i="18"/>
  <c r="P16" i="18"/>
  <c r="O16" i="18"/>
  <c r="J38" i="10"/>
  <c r="G38" i="9" s="1"/>
  <c r="E38" i="9" s="1"/>
  <c r="E159" i="2"/>
  <c r="F173" i="4"/>
  <c r="E87" i="2"/>
  <c r="E90" i="2" s="1"/>
  <c r="A82" i="2"/>
  <c r="G19" i="7"/>
  <c r="P5" i="18"/>
  <c r="N5" i="18"/>
  <c r="L18" i="18"/>
  <c r="O5" i="18"/>
  <c r="C14" i="6"/>
  <c r="F16" i="10" l="1"/>
  <c r="K229" i="2"/>
  <c r="O18" i="18"/>
  <c r="D6" i="18" s="1"/>
  <c r="F19" i="10"/>
  <c r="H19" i="10"/>
  <c r="E51" i="11"/>
  <c r="E54" i="11" s="1"/>
  <c r="F13" i="10"/>
  <c r="H13" i="10"/>
  <c r="B30" i="7"/>
  <c r="A27" i="7"/>
  <c r="E10" i="9"/>
  <c r="F49" i="13"/>
  <c r="E43" i="13"/>
  <c r="A83" i="2"/>
  <c r="A85" i="2" s="1"/>
  <c r="A86" i="2" s="1"/>
  <c r="C83" i="2"/>
  <c r="N18" i="18"/>
  <c r="D5" i="18" s="1"/>
  <c r="J152" i="2"/>
  <c r="E153" i="2"/>
  <c r="A38" i="4"/>
  <c r="A39" i="4" s="1"/>
  <c r="G39" i="9"/>
  <c r="F10" i="9" s="1"/>
  <c r="F12" i="9" s="1"/>
  <c r="M120" i="7"/>
  <c r="A19" i="6"/>
  <c r="A20" i="6" s="1"/>
  <c r="A21" i="6" s="1"/>
  <c r="A22" i="6" s="1"/>
  <c r="A23" i="6" s="1"/>
  <c r="A24" i="6" s="1"/>
  <c r="A25" i="6" s="1"/>
  <c r="A26" i="6" s="1"/>
  <c r="A27" i="6" s="1"/>
  <c r="F17" i="10"/>
  <c r="H17" i="10"/>
  <c r="A27" i="9"/>
  <c r="E51" i="7"/>
  <c r="I19" i="7"/>
  <c r="G12" i="9"/>
  <c r="G16" i="9" s="1"/>
  <c r="A25" i="13"/>
  <c r="B23" i="13"/>
  <c r="F21" i="10"/>
  <c r="H21" i="10"/>
  <c r="F49" i="9"/>
  <c r="E43" i="9"/>
  <c r="E21" i="7"/>
  <c r="K231" i="2"/>
  <c r="E48" i="9"/>
  <c r="P18" i="18"/>
  <c r="D7" i="18" s="1"/>
  <c r="F11" i="10"/>
  <c r="H11" i="10"/>
  <c r="G84" i="7"/>
  <c r="G51" i="7"/>
  <c r="J211" i="2"/>
  <c r="E94" i="2"/>
  <c r="E97" i="2" s="1"/>
  <c r="E83" i="2"/>
  <c r="K230" i="2"/>
  <c r="E20" i="7"/>
  <c r="G49" i="13"/>
  <c r="F11" i="13" s="1"/>
  <c r="H16" i="10" l="1"/>
  <c r="K232" i="2"/>
  <c r="I51" i="7"/>
  <c r="F12" i="10"/>
  <c r="H12" i="10"/>
  <c r="F18" i="10"/>
  <c r="H18" i="10"/>
  <c r="F15" i="10"/>
  <c r="H15" i="10"/>
  <c r="E11" i="13"/>
  <c r="F22" i="13"/>
  <c r="F22" i="9"/>
  <c r="E9" i="11"/>
  <c r="E12" i="11" s="1"/>
  <c r="G9" i="10"/>
  <c r="J214" i="2"/>
  <c r="J216" i="2" s="1"/>
  <c r="E112" i="2"/>
  <c r="E115" i="2" s="1"/>
  <c r="M121" i="7"/>
  <c r="D8" i="18"/>
  <c r="P23" i="18" s="1"/>
  <c r="M119" i="7"/>
  <c r="E39" i="9"/>
  <c r="E173" i="2"/>
  <c r="A28" i="9"/>
  <c r="B26" i="9"/>
  <c r="F20" i="10"/>
  <c r="H20" i="10"/>
  <c r="A87" i="2"/>
  <c r="D93" i="2"/>
  <c r="A28" i="6"/>
  <c r="A29" i="6" s="1"/>
  <c r="A30" i="6" s="1"/>
  <c r="A31" i="6" s="1"/>
  <c r="A32" i="6" s="1"/>
  <c r="A33" i="6" s="1"/>
  <c r="C22" i="6"/>
  <c r="I21" i="7"/>
  <c r="E86" i="7"/>
  <c r="I86" i="7" s="1"/>
  <c r="E53" i="7"/>
  <c r="I53" i="7" s="1"/>
  <c r="H49" i="13"/>
  <c r="G11" i="13" s="1"/>
  <c r="E48" i="13"/>
  <c r="B24" i="6"/>
  <c r="F14" i="10"/>
  <c r="H14" i="10"/>
  <c r="A26" i="13"/>
  <c r="E52" i="7"/>
  <c r="I52" i="7" s="1"/>
  <c r="E85" i="7"/>
  <c r="I20" i="7"/>
  <c r="I22" i="7" s="1"/>
  <c r="E11" i="9"/>
  <c r="E49" i="9"/>
  <c r="H29" i="13"/>
  <c r="G9" i="13" s="1"/>
  <c r="E38" i="13"/>
  <c r="F39" i="13"/>
  <c r="A40" i="4"/>
  <c r="A41" i="4" s="1"/>
  <c r="A42" i="4" s="1"/>
  <c r="A43" i="4" s="1"/>
  <c r="A44" i="4" s="1"/>
  <c r="A45" i="4" s="1"/>
  <c r="A46" i="4" s="1"/>
  <c r="A47" i="4" s="1"/>
  <c r="A48" i="4" s="1"/>
  <c r="A49" i="4" s="1"/>
  <c r="A50" i="4" s="1"/>
  <c r="A51" i="4" s="1"/>
  <c r="A52" i="4" s="1"/>
  <c r="D52" i="4"/>
  <c r="B33" i="7"/>
  <c r="A28" i="7"/>
  <c r="A29" i="7" s="1"/>
  <c r="A30" i="7" s="1"/>
  <c r="G29" i="13"/>
  <c r="F9" i="13" s="1"/>
  <c r="F12" i="13" s="1"/>
  <c r="G12" i="13" l="1"/>
  <c r="G16" i="13" s="1"/>
  <c r="I54" i="7"/>
  <c r="N28" i="18"/>
  <c r="P27" i="18"/>
  <c r="D59" i="7"/>
  <c r="D27" i="7"/>
  <c r="N33" i="18"/>
  <c r="N27" i="18"/>
  <c r="P24" i="18"/>
  <c r="E84" i="7"/>
  <c r="I84" i="7" s="1"/>
  <c r="I85" i="7"/>
  <c r="A88" i="2"/>
  <c r="D94" i="2"/>
  <c r="A29" i="9"/>
  <c r="B29" i="9"/>
  <c r="O28" i="18"/>
  <c r="O26" i="18"/>
  <c r="O34" i="18"/>
  <c r="O33" i="18"/>
  <c r="O29" i="18"/>
  <c r="O24" i="18"/>
  <c r="O25" i="18"/>
  <c r="O23" i="18"/>
  <c r="O27" i="18"/>
  <c r="O32" i="18"/>
  <c r="O31" i="18"/>
  <c r="O35" i="18"/>
  <c r="O30" i="18"/>
  <c r="N35" i="18"/>
  <c r="P35" i="18"/>
  <c r="P121" i="7" s="1"/>
  <c r="P34" i="18"/>
  <c r="H156" i="2"/>
  <c r="J156" i="2" s="1"/>
  <c r="J159" i="2" s="1"/>
  <c r="F221" i="2"/>
  <c r="H221" i="2" s="1"/>
  <c r="H224" i="2" s="1"/>
  <c r="H109" i="2"/>
  <c r="H144" i="2"/>
  <c r="H80" i="2"/>
  <c r="H87" i="2"/>
  <c r="J87" i="2" s="1"/>
  <c r="J90" i="2" s="1"/>
  <c r="E39" i="13"/>
  <c r="E10" i="13"/>
  <c r="A27" i="13"/>
  <c r="N23" i="18"/>
  <c r="P26" i="18"/>
  <c r="P30" i="18"/>
  <c r="G22" i="10"/>
  <c r="G23" i="10" s="1"/>
  <c r="H9" i="10"/>
  <c r="A31" i="7"/>
  <c r="N31" i="18"/>
  <c r="N24" i="18"/>
  <c r="P25" i="18"/>
  <c r="P29" i="18"/>
  <c r="F10" i="10"/>
  <c r="F22" i="10" s="1"/>
  <c r="H10" i="10"/>
  <c r="N29" i="18"/>
  <c r="N26" i="18"/>
  <c r="P33" i="18"/>
  <c r="P28" i="18"/>
  <c r="F23" i="9"/>
  <c r="E22" i="9"/>
  <c r="N25" i="18"/>
  <c r="N34" i="18"/>
  <c r="P31" i="18"/>
  <c r="P32" i="18"/>
  <c r="E22" i="13"/>
  <c r="F23" i="13"/>
  <c r="B35" i="6"/>
  <c r="A34" i="6"/>
  <c r="A35" i="6" s="1"/>
  <c r="A36" i="6" s="1"/>
  <c r="A37" i="6" s="1"/>
  <c r="A38" i="6" s="1"/>
  <c r="A54" i="4"/>
  <c r="A55" i="4" s="1"/>
  <c r="C33" i="6"/>
  <c r="N32" i="18"/>
  <c r="N30" i="18"/>
  <c r="E49" i="13"/>
  <c r="P36" i="18" l="1"/>
  <c r="E7" i="18" s="1"/>
  <c r="C121" i="7" s="1"/>
  <c r="H22" i="10"/>
  <c r="F28" i="9" s="1"/>
  <c r="E28" i="9" s="1"/>
  <c r="E23" i="13"/>
  <c r="N36" i="18"/>
  <c r="E5" i="18" s="1"/>
  <c r="E23" i="9"/>
  <c r="O36" i="18"/>
  <c r="E6" i="18" s="1"/>
  <c r="I9" i="9"/>
  <c r="A32" i="9"/>
  <c r="P119" i="7"/>
  <c r="B40" i="6"/>
  <c r="A39" i="6"/>
  <c r="A40" i="6" s="1"/>
  <c r="B26" i="13"/>
  <c r="H19" i="2"/>
  <c r="J19" i="2" s="1"/>
  <c r="M243" i="2" s="1"/>
  <c r="J80" i="2"/>
  <c r="A89" i="2"/>
  <c r="D95" i="2"/>
  <c r="B63" i="7"/>
  <c r="B96" i="7"/>
  <c r="A32" i="7"/>
  <c r="H149" i="2"/>
  <c r="J149" i="2" s="1"/>
  <c r="J144" i="2"/>
  <c r="H148" i="2"/>
  <c r="J148" i="2" s="1"/>
  <c r="H145" i="2"/>
  <c r="J145" i="2" s="1"/>
  <c r="P120" i="7"/>
  <c r="A56" i="4"/>
  <c r="A57" i="4" s="1"/>
  <c r="A58" i="4" s="1"/>
  <c r="A59" i="4" s="1"/>
  <c r="A60" i="4" s="1"/>
  <c r="A61" i="4" s="1"/>
  <c r="A62" i="4" s="1"/>
  <c r="A63" i="4" s="1"/>
  <c r="A64" i="4" s="1"/>
  <c r="A65" i="4" s="1"/>
  <c r="A66" i="4" s="1"/>
  <c r="A67" i="4" s="1"/>
  <c r="A68" i="4" s="1"/>
  <c r="B34" i="7"/>
  <c r="J109" i="2"/>
  <c r="H113" i="2"/>
  <c r="J113" i="2" s="1"/>
  <c r="H100" i="2"/>
  <c r="I87" i="7"/>
  <c r="D92" i="7"/>
  <c r="F29" i="9" l="1"/>
  <c r="E29" i="9" s="1"/>
  <c r="P136" i="7"/>
  <c r="J153" i="2"/>
  <c r="E8" i="18"/>
  <c r="C119" i="7"/>
  <c r="J94" i="2"/>
  <c r="J97" i="2" s="1"/>
  <c r="J83" i="2"/>
  <c r="H83" i="2" s="1"/>
  <c r="J112" i="2"/>
  <c r="A70" i="4"/>
  <c r="A71" i="4" s="1"/>
  <c r="A33" i="7"/>
  <c r="A34" i="7" s="1"/>
  <c r="A35" i="7" s="1"/>
  <c r="A33" i="9"/>
  <c r="C23" i="18"/>
  <c r="C120" i="7"/>
  <c r="D68" i="4"/>
  <c r="A90" i="2"/>
  <c r="A92" i="2" s="1"/>
  <c r="A93" i="2" s="1"/>
  <c r="D96" i="2"/>
  <c r="C90" i="2"/>
  <c r="A29" i="13"/>
  <c r="A32" i="13" s="1"/>
  <c r="B29" i="13"/>
  <c r="E9" i="9" l="1"/>
  <c r="E12" i="9" s="1"/>
  <c r="E16" i="9" s="1"/>
  <c r="A72" i="4"/>
  <c r="A73" i="4" s="1"/>
  <c r="A74" i="4" s="1"/>
  <c r="A75" i="4" s="1"/>
  <c r="A76" i="4" s="1"/>
  <c r="A77" i="4" s="1"/>
  <c r="A78" i="4" s="1"/>
  <c r="A79" i="4" s="1"/>
  <c r="A80" i="4" s="1"/>
  <c r="A81" i="4" s="1"/>
  <c r="A82" i="4" s="1"/>
  <c r="A83" i="4" s="1"/>
  <c r="A84" i="4" s="1"/>
  <c r="A94" i="2"/>
  <c r="H166" i="2"/>
  <c r="J166" i="2" s="1"/>
  <c r="H114" i="2"/>
  <c r="J114" i="2" s="1"/>
  <c r="J115" i="2" s="1"/>
  <c r="H168" i="2"/>
  <c r="J168" i="2" s="1"/>
  <c r="H97" i="2"/>
  <c r="A34" i="9"/>
  <c r="H237" i="2"/>
  <c r="A33" i="13"/>
  <c r="A38" i="7"/>
  <c r="E38" i="7"/>
  <c r="E23" i="18"/>
  <c r="D23" i="18"/>
  <c r="C35" i="7"/>
  <c r="A34" i="13" l="1"/>
  <c r="A95" i="2"/>
  <c r="A96" i="2" s="1"/>
  <c r="D237" i="2"/>
  <c r="A35" i="9"/>
  <c r="B33" i="9"/>
  <c r="E28" i="13"/>
  <c r="F29" i="13"/>
  <c r="D84" i="4"/>
  <c r="A86" i="4"/>
  <c r="A92" i="4" s="1"/>
  <c r="A93" i="4" s="1"/>
  <c r="D86" i="4"/>
  <c r="F14" i="13"/>
  <c r="F16" i="13" s="1"/>
  <c r="G99" i="7"/>
  <c r="J99" i="7" s="1"/>
  <c r="J100" i="7" s="1"/>
  <c r="F14" i="9"/>
  <c r="F16" i="9" s="1"/>
  <c r="H16" i="9" s="1"/>
  <c r="E100" i="2" s="1"/>
  <c r="G66" i="7"/>
  <c r="J66" i="7" s="1"/>
  <c r="J67" i="7" s="1"/>
  <c r="H101" i="2"/>
  <c r="J101" i="2" s="1"/>
  <c r="H180" i="2"/>
  <c r="G34" i="7"/>
  <c r="J34" i="7" s="1"/>
  <c r="J35" i="7" s="1"/>
  <c r="A39" i="7"/>
  <c r="A40" i="7" s="1"/>
  <c r="A46" i="7" s="1"/>
  <c r="J169" i="2"/>
  <c r="E107" i="2" l="1"/>
  <c r="J100" i="2"/>
  <c r="J107" i="2" s="1"/>
  <c r="J117" i="2" s="1"/>
  <c r="A48" i="7"/>
  <c r="A51" i="7" s="1"/>
  <c r="E71" i="7"/>
  <c r="E29" i="13"/>
  <c r="E9" i="13"/>
  <c r="E12" i="13" s="1"/>
  <c r="E16" i="13" s="1"/>
  <c r="H16" i="13" s="1"/>
  <c r="A36" i="9"/>
  <c r="E40" i="7"/>
  <c r="J180" i="2"/>
  <c r="H178" i="2"/>
  <c r="J178" i="2" s="1"/>
  <c r="A94" i="4"/>
  <c r="A95" i="4" s="1"/>
  <c r="A96" i="4" s="1"/>
  <c r="A97" i="4" s="1"/>
  <c r="A98" i="4" s="1"/>
  <c r="A99" i="4" s="1"/>
  <c r="A100" i="4" s="1"/>
  <c r="A101" i="4" s="1"/>
  <c r="A102" i="4" s="1"/>
  <c r="A103" i="4" s="1"/>
  <c r="A104" i="4" s="1"/>
  <c r="A105" i="4" s="1"/>
  <c r="A106" i="4" s="1"/>
  <c r="A97" i="2"/>
  <c r="C97" i="2"/>
  <c r="A35" i="13"/>
  <c r="B33" i="13"/>
  <c r="D106" i="4" l="1"/>
  <c r="A36" i="13"/>
  <c r="A52" i="7"/>
  <c r="A53" i="7" s="1"/>
  <c r="A54" i="7" s="1"/>
  <c r="A55" i="7" s="1"/>
  <c r="J14" i="7"/>
  <c r="J184" i="2"/>
  <c r="A99" i="2"/>
  <c r="A100" i="2" s="1"/>
  <c r="A37" i="9"/>
  <c r="A108" i="4"/>
  <c r="A109" i="4" s="1"/>
  <c r="C118" i="7"/>
  <c r="E117" i="2"/>
  <c r="E184" i="2" s="1"/>
  <c r="J179" i="2" l="1"/>
  <c r="J181" i="2" s="1"/>
  <c r="C136" i="7"/>
  <c r="J237" i="2"/>
  <c r="M237" i="2" s="1"/>
  <c r="M241" i="2" s="1"/>
  <c r="M118" i="7"/>
  <c r="J39" i="7"/>
  <c r="J46" i="7"/>
  <c r="J23" i="7"/>
  <c r="A38" i="9"/>
  <c r="B36" i="9"/>
  <c r="E179" i="2"/>
  <c r="E181" i="2" s="1"/>
  <c r="E186" i="2" s="1"/>
  <c r="A110" i="4"/>
  <c r="A111" i="4" s="1"/>
  <c r="A112" i="4" s="1"/>
  <c r="A113" i="4" s="1"/>
  <c r="A114" i="4" s="1"/>
  <c r="A115" i="4" s="1"/>
  <c r="A116" i="4" s="1"/>
  <c r="A117" i="4" s="1"/>
  <c r="A118" i="4" s="1"/>
  <c r="A119" i="4" s="1"/>
  <c r="A120" i="4" s="1"/>
  <c r="A121" i="4" s="1"/>
  <c r="A122" i="4" s="1"/>
  <c r="A57" i="7"/>
  <c r="A58" i="7" s="1"/>
  <c r="B60" i="7"/>
  <c r="A37" i="13"/>
  <c r="A101" i="2"/>
  <c r="A102" i="2" s="1"/>
  <c r="D122" i="4" l="1"/>
  <c r="M136" i="7"/>
  <c r="M111" i="7" s="1"/>
  <c r="N118" i="7" s="1"/>
  <c r="N119" i="7" s="1"/>
  <c r="A38" i="13"/>
  <c r="B36" i="13"/>
  <c r="A39" i="9"/>
  <c r="B39" i="9"/>
  <c r="D33" i="7"/>
  <c r="D35" i="7" s="1"/>
  <c r="J38" i="7"/>
  <c r="J40" i="7" s="1"/>
  <c r="A59" i="7"/>
  <c r="B62" i="7"/>
  <c r="M242" i="2"/>
  <c r="M244" i="2" s="1"/>
  <c r="M112" i="7" s="1"/>
  <c r="J186" i="2"/>
  <c r="J79" i="7"/>
  <c r="J71" i="7"/>
  <c r="J55" i="7"/>
  <c r="A104" i="2"/>
  <c r="A105" i="2" s="1"/>
  <c r="D238" i="2"/>
  <c r="A124" i="4"/>
  <c r="A125" i="4" s="1"/>
  <c r="A42" i="9" l="1"/>
  <c r="I10" i="9"/>
  <c r="L130" i="7"/>
  <c r="L128" i="7"/>
  <c r="L135" i="7"/>
  <c r="L129" i="7"/>
  <c r="L131" i="7"/>
  <c r="L125" i="7"/>
  <c r="L124" i="7"/>
  <c r="L123" i="7"/>
  <c r="L133" i="7"/>
  <c r="L127" i="7"/>
  <c r="L134" i="7"/>
  <c r="L132" i="7"/>
  <c r="L122" i="7"/>
  <c r="L126" i="7"/>
  <c r="L121" i="7"/>
  <c r="L120" i="7"/>
  <c r="C24" i="18" s="1"/>
  <c r="L119" i="7"/>
  <c r="L118" i="7"/>
  <c r="A39" i="13"/>
  <c r="A42" i="13" s="1"/>
  <c r="B39" i="13"/>
  <c r="D65" i="7"/>
  <c r="D67" i="7" s="1"/>
  <c r="J70" i="7"/>
  <c r="J72" i="7" s="1"/>
  <c r="J73" i="7" s="1"/>
  <c r="D240" i="2"/>
  <c r="A106" i="2"/>
  <c r="O118" i="7"/>
  <c r="J104" i="7"/>
  <c r="J88" i="7"/>
  <c r="A126" i="4"/>
  <c r="A127" i="4" s="1"/>
  <c r="A128" i="4" s="1"/>
  <c r="A129" i="4" s="1"/>
  <c r="A130" i="4" s="1"/>
  <c r="A131" i="4" s="1"/>
  <c r="A132" i="4" s="1"/>
  <c r="A133" i="4" s="1"/>
  <c r="A134" i="4" s="1"/>
  <c r="A135" i="4" s="1"/>
  <c r="A136" i="4" s="1"/>
  <c r="A137" i="4" s="1"/>
  <c r="A138" i="4" s="1"/>
  <c r="N120" i="7"/>
  <c r="O119" i="7"/>
  <c r="A60" i="7"/>
  <c r="A61" i="7" s="1"/>
  <c r="A62" i="7" s="1"/>
  <c r="B65" i="7"/>
  <c r="G134" i="7" l="1"/>
  <c r="H134" i="7" s="1"/>
  <c r="I134" i="7" s="1"/>
  <c r="G126" i="7"/>
  <c r="H126" i="7" s="1"/>
  <c r="I126" i="7" s="1"/>
  <c r="G132" i="7"/>
  <c r="H132" i="7" s="1"/>
  <c r="I132" i="7" s="1"/>
  <c r="G124" i="7"/>
  <c r="H124" i="7" s="1"/>
  <c r="I124" i="7" s="1"/>
  <c r="G125" i="7"/>
  <c r="H125" i="7" s="1"/>
  <c r="I125" i="7" s="1"/>
  <c r="G123" i="7"/>
  <c r="H123" i="7" s="1"/>
  <c r="I123" i="7" s="1"/>
  <c r="G118" i="7"/>
  <c r="H118" i="7" s="1"/>
  <c r="I118" i="7" s="1"/>
  <c r="G133" i="7"/>
  <c r="H133" i="7" s="1"/>
  <c r="I133" i="7" s="1"/>
  <c r="G122" i="7"/>
  <c r="H122" i="7" s="1"/>
  <c r="I122" i="7" s="1"/>
  <c r="G120" i="7"/>
  <c r="H120" i="7" s="1"/>
  <c r="I120" i="7" s="1"/>
  <c r="G127" i="7"/>
  <c r="H127" i="7" s="1"/>
  <c r="I127" i="7" s="1"/>
  <c r="G128" i="7"/>
  <c r="H128" i="7" s="1"/>
  <c r="I128" i="7" s="1"/>
  <c r="G135" i="7"/>
  <c r="H135" i="7" s="1"/>
  <c r="I135" i="7" s="1"/>
  <c r="G129" i="7"/>
  <c r="H129" i="7" s="1"/>
  <c r="I129" i="7" s="1"/>
  <c r="G121" i="7"/>
  <c r="H121" i="7" s="1"/>
  <c r="I121" i="7" s="1"/>
  <c r="G131" i="7"/>
  <c r="H131" i="7" s="1"/>
  <c r="I131" i="7" s="1"/>
  <c r="G119" i="7"/>
  <c r="H119" i="7" s="1"/>
  <c r="I119" i="7" s="1"/>
  <c r="G130" i="7"/>
  <c r="H130" i="7" s="1"/>
  <c r="I130" i="7" s="1"/>
  <c r="D138" i="4"/>
  <c r="D98" i="7"/>
  <c r="D100" i="7" s="1"/>
  <c r="J103" i="7"/>
  <c r="J105" i="7" s="1"/>
  <c r="J106" i="7" s="1"/>
  <c r="A63" i="7"/>
  <c r="A64" i="7" s="1"/>
  <c r="A140" i="4"/>
  <c r="A141" i="4" s="1"/>
  <c r="L136" i="7"/>
  <c r="A43" i="9"/>
  <c r="A43" i="13"/>
  <c r="D239" i="2"/>
  <c r="A107" i="2"/>
  <c r="C107" i="2"/>
  <c r="E25" i="18"/>
  <c r="Q120" i="7" s="1"/>
  <c r="Q136" i="7" s="1"/>
  <c r="D25" i="18"/>
  <c r="N121" i="7"/>
  <c r="O120" i="7"/>
  <c r="I136" i="7" l="1"/>
  <c r="K131" i="7"/>
  <c r="K129" i="7"/>
  <c r="K134" i="7"/>
  <c r="K128" i="7"/>
  <c r="K135" i="7"/>
  <c r="K121" i="7"/>
  <c r="K119" i="7"/>
  <c r="R119" i="7" s="1"/>
  <c r="K130" i="7"/>
  <c r="K132" i="7"/>
  <c r="K126" i="7"/>
  <c r="K122" i="7"/>
  <c r="K120" i="7"/>
  <c r="R120" i="7" s="1"/>
  <c r="K133" i="7"/>
  <c r="K127" i="7"/>
  <c r="K125" i="7"/>
  <c r="K124" i="7"/>
  <c r="K123" i="7"/>
  <c r="K118" i="7"/>
  <c r="A44" i="13"/>
  <c r="A65" i="7"/>
  <c r="A66" i="7" s="1"/>
  <c r="A67" i="7" s="1"/>
  <c r="N122" i="7"/>
  <c r="O121" i="7"/>
  <c r="D154" i="4"/>
  <c r="A142" i="4"/>
  <c r="A143" i="4" s="1"/>
  <c r="A144" i="4" s="1"/>
  <c r="A145" i="4" s="1"/>
  <c r="A146" i="4" s="1"/>
  <c r="A147" i="4" s="1"/>
  <c r="A148" i="4" s="1"/>
  <c r="A149" i="4" s="1"/>
  <c r="A150" i="4" s="1"/>
  <c r="A151" i="4" s="1"/>
  <c r="A152" i="4" s="1"/>
  <c r="A153" i="4" s="1"/>
  <c r="A154" i="4" s="1"/>
  <c r="A44" i="9"/>
  <c r="B66" i="7"/>
  <c r="A109" i="2"/>
  <c r="A111" i="2" s="1"/>
  <c r="A112" i="2" s="1"/>
  <c r="A45" i="9" l="1"/>
  <c r="B43" i="9"/>
  <c r="R121" i="7"/>
  <c r="A45" i="13"/>
  <c r="B43" i="13"/>
  <c r="K136" i="7"/>
  <c r="E188" i="2"/>
  <c r="A113" i="2"/>
  <c r="A114" i="2" s="1"/>
  <c r="A115" i="2" s="1"/>
  <c r="A70" i="7"/>
  <c r="E70" i="7"/>
  <c r="C67" i="7"/>
  <c r="R118" i="7"/>
  <c r="N123" i="7"/>
  <c r="O122" i="7"/>
  <c r="R122" i="7" s="1"/>
  <c r="A156" i="4"/>
  <c r="A157" i="4" s="1"/>
  <c r="A71" i="7" l="1"/>
  <c r="A72" i="7" s="1"/>
  <c r="O123" i="7"/>
  <c r="R123" i="7" s="1"/>
  <c r="N124" i="7"/>
  <c r="C115" i="2"/>
  <c r="A46" i="9"/>
  <c r="J188" i="2"/>
  <c r="J191" i="2" s="1"/>
  <c r="E191" i="2"/>
  <c r="A46" i="13"/>
  <c r="A158" i="4"/>
  <c r="A159" i="4" s="1"/>
  <c r="A160" i="4" s="1"/>
  <c r="A161" i="4" s="1"/>
  <c r="A162" i="4" s="1"/>
  <c r="A163" i="4" s="1"/>
  <c r="A164" i="4" s="1"/>
  <c r="A165" i="4" s="1"/>
  <c r="A166" i="4" s="1"/>
  <c r="A167" i="4" s="1"/>
  <c r="A168" i="4" s="1"/>
  <c r="A169" i="4" s="1"/>
  <c r="A170" i="4" s="1"/>
  <c r="A117" i="2"/>
  <c r="C117" i="2"/>
  <c r="R137" i="7" l="1"/>
  <c r="J15" i="2"/>
  <c r="J21" i="2" s="1"/>
  <c r="J25" i="2" s="1"/>
  <c r="A143" i="2"/>
  <c r="A144" i="2" s="1"/>
  <c r="A47" i="9"/>
  <c r="D170" i="4"/>
  <c r="A47" i="13"/>
  <c r="A73" i="7"/>
  <c r="A79" i="7" s="1"/>
  <c r="E73" i="7"/>
  <c r="A173" i="4"/>
  <c r="A5" i="5" s="1"/>
  <c r="A7" i="5" s="1"/>
  <c r="A9" i="5" s="1"/>
  <c r="A11" i="5" s="1"/>
  <c r="A13" i="5" s="1"/>
  <c r="D173" i="4"/>
  <c r="O124" i="7"/>
  <c r="R124" i="7" s="1"/>
  <c r="N125" i="7"/>
  <c r="E72" i="7"/>
  <c r="O125" i="7" l="1"/>
  <c r="R125" i="7" s="1"/>
  <c r="N126" i="7"/>
  <c r="A14" i="5"/>
  <c r="A15" i="5" s="1"/>
  <c r="A16" i="5" s="1"/>
  <c r="A17" i="5" s="1"/>
  <c r="A18" i="5" s="1"/>
  <c r="A19" i="5" s="1"/>
  <c r="A20" i="5" s="1"/>
  <c r="A21" i="5" s="1"/>
  <c r="A22" i="5" s="1"/>
  <c r="A23" i="5" s="1"/>
  <c r="A24" i="5" s="1"/>
  <c r="A25" i="5" s="1"/>
  <c r="A26" i="5" s="1"/>
  <c r="A145" i="2"/>
  <c r="A146" i="2" s="1"/>
  <c r="A147" i="2" s="1"/>
  <c r="A148" i="2" s="1"/>
  <c r="A149" i="2" s="1"/>
  <c r="A153" i="2" s="1"/>
  <c r="E104" i="7"/>
  <c r="A81" i="7"/>
  <c r="A84" i="7" s="1"/>
  <c r="A48" i="9"/>
  <c r="B46" i="9"/>
  <c r="A48" i="13"/>
  <c r="B46" i="13"/>
  <c r="C153" i="2" l="1"/>
  <c r="A155" i="2"/>
  <c r="A156" i="2" s="1"/>
  <c r="N127" i="7"/>
  <c r="O126" i="7"/>
  <c r="R126" i="7" s="1"/>
  <c r="A49" i="13"/>
  <c r="B49" i="13"/>
  <c r="A49" i="9"/>
  <c r="I11" i="9" s="1"/>
  <c r="B49" i="9"/>
  <c r="D26" i="5"/>
  <c r="A85" i="7"/>
  <c r="A86" i="7" s="1"/>
  <c r="A87" i="7" s="1"/>
  <c r="B88" i="7" l="1"/>
  <c r="A88" i="7"/>
  <c r="N128" i="7"/>
  <c r="O127" i="7"/>
  <c r="R127" i="7" s="1"/>
  <c r="B93" i="7"/>
  <c r="A157" i="2"/>
  <c r="A158" i="2" s="1"/>
  <c r="A159" i="2" s="1"/>
  <c r="A161" i="2" l="1"/>
  <c r="A162" i="2" s="1"/>
  <c r="A163" i="2" s="1"/>
  <c r="N129" i="7"/>
  <c r="O128" i="7"/>
  <c r="R128" i="7" s="1"/>
  <c r="A90" i="7"/>
  <c r="A91" i="7" s="1"/>
  <c r="C159" i="2"/>
  <c r="A92" i="7" l="1"/>
  <c r="B95" i="7"/>
  <c r="O129" i="7"/>
  <c r="R129" i="7" s="1"/>
  <c r="N130" i="7"/>
  <c r="A164" i="2"/>
  <c r="A165" i="2" s="1"/>
  <c r="A166" i="2" s="1"/>
  <c r="A167" i="2" s="1"/>
  <c r="A168" i="2" s="1"/>
  <c r="A169" i="2" s="1"/>
  <c r="C169" i="2" l="1"/>
  <c r="A171" i="2"/>
  <c r="A172" i="2" s="1"/>
  <c r="O130" i="7"/>
  <c r="R130" i="7" s="1"/>
  <c r="N131" i="7"/>
  <c r="A93" i="7"/>
  <c r="A94" i="7" s="1"/>
  <c r="A95" i="7" s="1"/>
  <c r="B98" i="7"/>
  <c r="A96" i="7" l="1"/>
  <c r="A97" i="7" s="1"/>
  <c r="C176" i="2"/>
  <c r="A173" i="2"/>
  <c r="A174" i="2" s="1"/>
  <c r="A175" i="2" s="1"/>
  <c r="A176" i="2" s="1"/>
  <c r="A177" i="2" s="1"/>
  <c r="A178" i="2" s="1"/>
  <c r="O131" i="7"/>
  <c r="R131" i="7" s="1"/>
  <c r="N132" i="7"/>
  <c r="O132" i="7" l="1"/>
  <c r="R132" i="7" s="1"/>
  <c r="N133" i="7"/>
  <c r="A179" i="2"/>
  <c r="A180" i="2" s="1"/>
  <c r="A181" i="2" s="1"/>
  <c r="A98" i="7"/>
  <c r="A99" i="7" s="1"/>
  <c r="A100" i="7" s="1"/>
  <c r="C100" i="7"/>
  <c r="B99" i="7"/>
  <c r="A183" i="2" l="1"/>
  <c r="A184" i="2" s="1"/>
  <c r="A186" i="2" s="1"/>
  <c r="C186" i="2"/>
  <c r="O133" i="7"/>
  <c r="R133" i="7" s="1"/>
  <c r="N134" i="7"/>
  <c r="A103" i="7"/>
  <c r="E103" i="7"/>
  <c r="D181" i="2"/>
  <c r="A104" i="7" l="1"/>
  <c r="A105" i="7" s="1"/>
  <c r="E105" i="7"/>
  <c r="N135" i="7"/>
  <c r="O135" i="7" s="1"/>
  <c r="O134" i="7"/>
  <c r="R134" i="7" s="1"/>
  <c r="R136" i="7" s="1"/>
  <c r="R138" i="7" s="1"/>
  <c r="A188" i="2"/>
  <c r="A191" i="2" s="1"/>
  <c r="O136" i="7" l="1"/>
  <c r="A209" i="2"/>
  <c r="A211" i="2" s="1"/>
  <c r="D15" i="2"/>
  <c r="C191" i="2"/>
  <c r="E106" i="7"/>
  <c r="A106" i="7"/>
  <c r="A109" i="7" s="1"/>
  <c r="A111" i="7" s="1"/>
  <c r="A112" i="7" s="1"/>
  <c r="A212" i="2" l="1"/>
  <c r="A213" i="2" s="1"/>
  <c r="A214" i="2" s="1"/>
  <c r="C214" i="2"/>
  <c r="A216" i="2" l="1"/>
  <c r="A218" i="2" s="1"/>
  <c r="A219" i="2" s="1"/>
  <c r="A220" i="2" s="1"/>
  <c r="C216" i="2"/>
  <c r="A221" i="2" l="1"/>
  <c r="A222" i="2" s="1"/>
  <c r="A223" i="2" s="1"/>
  <c r="A224" i="2" s="1"/>
  <c r="A226" i="2" s="1"/>
  <c r="A227" i="2" s="1"/>
  <c r="A228" i="2" s="1"/>
  <c r="A229" i="2" s="1"/>
  <c r="A230" i="2" l="1"/>
  <c r="A231" i="2" s="1"/>
  <c r="A232" i="2" s="1"/>
  <c r="C232" i="2"/>
  <c r="C174" i="2"/>
  <c r="C224" i="2"/>
  <c r="A237" i="2" l="1"/>
  <c r="A238" i="2" s="1"/>
  <c r="A239" i="2" s="1"/>
  <c r="A240" i="2" s="1"/>
  <c r="A241" i="2" s="1"/>
  <c r="A242" i="2" s="1"/>
  <c r="A243" i="2" s="1"/>
  <c r="A244" i="2" s="1"/>
  <c r="C184" i="2"/>
</calcChain>
</file>

<file path=xl/sharedStrings.xml><?xml version="1.0" encoding="utf-8"?>
<sst xmlns="http://schemas.openxmlformats.org/spreadsheetml/2006/main" count="2217" uniqueCount="986">
  <si>
    <t>6.10.9.2.1NextEra Energy Transmission New York, Inc. Formula Rate Template</t>
  </si>
  <si>
    <t>Index</t>
  </si>
  <si>
    <t>NextEra Energy Transmission New York, Inc.</t>
  </si>
  <si>
    <t>Appendix A</t>
  </si>
  <si>
    <t>Main body of the Formula Rate</t>
  </si>
  <si>
    <t>Attachment 1</t>
  </si>
  <si>
    <t>Detail of the Revenue Credits</t>
  </si>
  <si>
    <t>Attachment 2</t>
  </si>
  <si>
    <t>Monthly Plant and Accumulated Depreciation balances</t>
  </si>
  <si>
    <t>Attachment 3</t>
  </si>
  <si>
    <t>Cost Support Detail</t>
  </si>
  <si>
    <t>Attachment 4</t>
  </si>
  <si>
    <t xml:space="preserve">Calculations showing the revenue requirement by Investment, including any Incentives, </t>
  </si>
  <si>
    <t>Attachment 5</t>
  </si>
  <si>
    <t>True-Up calculations</t>
  </si>
  <si>
    <t>Detail of the Accumulated Deferred Income Tax Balances</t>
  </si>
  <si>
    <t>Attachment 7</t>
  </si>
  <si>
    <t>Depreciation Rates</t>
  </si>
  <si>
    <t>Workpapers</t>
  </si>
  <si>
    <t>Page 1 of 5</t>
  </si>
  <si>
    <t xml:space="preserve">Formula Rate - Non-Levelized </t>
  </si>
  <si>
    <r>
      <t>Rate Formula Template</t>
    </r>
    <r>
      <rPr>
        <strike/>
        <sz val="12"/>
        <color indexed="10"/>
        <rFont val="Arial"/>
        <family val="2"/>
      </rPr>
      <t xml:space="preserve"> </t>
    </r>
  </si>
  <si>
    <t xml:space="preserve"> </t>
  </si>
  <si>
    <t xml:space="preserve"> Utilizing FERC Form 1 Data</t>
  </si>
  <si>
    <t>Projected Annual Transmission Revenue Requirement</t>
  </si>
  <si>
    <t>For the 12 months ended 12/31/2023</t>
  </si>
  <si>
    <t>(1)</t>
  </si>
  <si>
    <t>(2)</t>
  </si>
  <si>
    <t>(3)</t>
  </si>
  <si>
    <t>Line</t>
  </si>
  <si>
    <t>Allocated</t>
  </si>
  <si>
    <t>No.</t>
  </si>
  <si>
    <t>Amount</t>
  </si>
  <si>
    <t xml:space="preserve">GROSS REVENUE REQUIREMENT    </t>
  </si>
  <si>
    <t>12 months</t>
  </si>
  <si>
    <t xml:space="preserve">REVENUE CREDITS </t>
  </si>
  <si>
    <t>Total</t>
  </si>
  <si>
    <t>Allocator</t>
  </si>
  <si>
    <t>Net Revenue Requirement</t>
  </si>
  <si>
    <t>True-up Adjustment</t>
  </si>
  <si>
    <t>(Attachment 5, line 3, col. G)</t>
  </si>
  <si>
    <t>DA</t>
  </si>
  <si>
    <t>NET ADJUSTED REVENUE REQUIREMENT</t>
  </si>
  <si>
    <t>Page 2 of 5</t>
  </si>
  <si>
    <t>(4)</t>
  </si>
  <si>
    <t>(5)</t>
  </si>
  <si>
    <t>Transmission</t>
  </si>
  <si>
    <t>Source</t>
  </si>
  <si>
    <t>Company Total</t>
  </si>
  <si>
    <t xml:space="preserve">                  Allocator</t>
  </si>
  <si>
    <t>(Col 3 times Col 4)</t>
  </si>
  <si>
    <t>RATE BASE:</t>
  </si>
  <si>
    <t>GROSS PLANT IN SERVICE (Note M)</t>
  </si>
  <si>
    <t xml:space="preserve">  Production</t>
  </si>
  <si>
    <t>(Attach 2, line 75)</t>
  </si>
  <si>
    <t>NA</t>
  </si>
  <si>
    <t xml:space="preserve">  Transmission </t>
  </si>
  <si>
    <t>(Attach 2, line 15)</t>
  </si>
  <si>
    <t>TP</t>
  </si>
  <si>
    <t xml:space="preserve">  Distribution</t>
  </si>
  <si>
    <t>(Attach 2, line 30)</t>
  </si>
  <si>
    <t xml:space="preserve">  General &amp; Intangible</t>
  </si>
  <si>
    <t>(Attach 2, lines 45 + 60)</t>
  </si>
  <si>
    <t>W/S</t>
  </si>
  <si>
    <t>(If line 7&gt;0, GP= line 10 column 5 / line 10 column 3.  If line 7=0, GP=0)</t>
  </si>
  <si>
    <t>GP=</t>
  </si>
  <si>
    <t>ACCUMULATED DEPRECIATION &amp; AMORTIZATION  (Note M)</t>
  </si>
  <si>
    <t>(Attach 2, line 151)</t>
  </si>
  <si>
    <t>(Attach 2, line 91)</t>
  </si>
  <si>
    <t>(Attach 2, line 106)</t>
  </si>
  <si>
    <t>(Attach 2, lines 121 + 136</t>
  </si>
  <si>
    <t>NET PLANT IN SERVICE</t>
  </si>
  <si>
    <t xml:space="preserve">  Transmission</t>
  </si>
  <si>
    <t xml:space="preserve">  General &amp; Intangible </t>
  </si>
  <si>
    <t>(If line 19&gt;0, NP= line 22, column 5 / line 22, column 3.  If line 19=0, NP=0)</t>
  </si>
  <si>
    <t>NP=</t>
  </si>
  <si>
    <t xml:space="preserve">  ADIT                                                           (Attach 6a proj., line 8, Column E or Attach 6e True-up - line 8, column E)</t>
  </si>
  <si>
    <t xml:space="preserve">  Account No. 255 (enter negative) (Note F)</t>
  </si>
  <si>
    <t>(Attach 3, line 153)</t>
  </si>
  <si>
    <t>NP</t>
  </si>
  <si>
    <t xml:space="preserve">  CWIP</t>
  </si>
  <si>
    <t xml:space="preserve">(Attach 8, line 8, col.u)  </t>
  </si>
  <si>
    <t>26a</t>
  </si>
  <si>
    <t xml:space="preserve">  Unamortized portion of lumpsum lease payment</t>
  </si>
  <si>
    <t>(Note P)</t>
  </si>
  <si>
    <t xml:space="preserve">  Unfunded Reserves (enter negative)</t>
  </si>
  <si>
    <t>(Attach 3, line 170a, col. h)  (Note O)</t>
  </si>
  <si>
    <t xml:space="preserve">  Unamortized Regulatory Assets</t>
  </si>
  <si>
    <t>(Attach 8, line 2, col. y)  (Note L)</t>
  </si>
  <si>
    <t xml:space="preserve">  Unamortized Abandoned Plant</t>
  </si>
  <si>
    <t>(Attach 8, line 4, col. y) (Note K)</t>
  </si>
  <si>
    <t>LAND HELD FOR FUTURE USE</t>
  </si>
  <si>
    <t>(Attach 8, line 6, column q)</t>
  </si>
  <si>
    <t xml:space="preserve">  CWC  </t>
  </si>
  <si>
    <t>(1/8 * (Line 45  less Line 44b)</t>
  </si>
  <si>
    <t>(Attach 3, line 189, column C)</t>
  </si>
  <si>
    <t>(Attach 3, line 170, column B)</t>
  </si>
  <si>
    <t>GP</t>
  </si>
  <si>
    <t>Page 3 of 5</t>
  </si>
  <si>
    <t>O&amp;M</t>
  </si>
  <si>
    <t>321.112.b</t>
  </si>
  <si>
    <t xml:space="preserve">     Less Account 565</t>
  </si>
  <si>
    <t>321.96.b</t>
  </si>
  <si>
    <t xml:space="preserve">  A&amp;G</t>
  </si>
  <si>
    <t>323.197.b</t>
  </si>
  <si>
    <t xml:space="preserve">     Less EPRI &amp; Reg. Comm. Exp. &amp; Other  Ad.  </t>
  </si>
  <si>
    <t xml:space="preserve">     Plus Transmission Related Reg. Comm.  Exp.  </t>
  </si>
  <si>
    <t xml:space="preserve">     PBOP expense adjustment</t>
  </si>
  <si>
    <t>(Attach 3, line 197, col. b)</t>
  </si>
  <si>
    <t>44a</t>
  </si>
  <si>
    <t xml:space="preserve">    Less Account 566</t>
  </si>
  <si>
    <t>321.97.b</t>
  </si>
  <si>
    <t>44b</t>
  </si>
  <si>
    <t xml:space="preserve">    Amortization of Regulatory Assets</t>
  </si>
  <si>
    <t>(Attach 8, line 2, column h)</t>
  </si>
  <si>
    <t>44c</t>
  </si>
  <si>
    <t xml:space="preserve">    Account 566 excluding amort. of Reg Assets</t>
  </si>
  <si>
    <t>(line 44a less line 44b)</t>
  </si>
  <si>
    <t xml:space="preserve">DEPRECIATION EXPENSE </t>
  </si>
  <si>
    <t>336.7.f (Note M)</t>
  </si>
  <si>
    <t xml:space="preserve">  General and Intangible</t>
  </si>
  <si>
    <t>336.1.f + 336.10.f (Note M)</t>
  </si>
  <si>
    <t xml:space="preserve">  Amortization of Abandoned Plant</t>
  </si>
  <si>
    <t>(Attach 3, line 155) (Note K)</t>
  </si>
  <si>
    <t xml:space="preserve">  LABOR RELATED</t>
  </si>
  <si>
    <t xml:space="preserve">          Payroll</t>
  </si>
  <si>
    <t>263._.i (enter FN1 line #)</t>
  </si>
  <si>
    <t xml:space="preserve">          Highway and vehicle</t>
  </si>
  <si>
    <t xml:space="preserve">  PLANT RELATED</t>
  </si>
  <si>
    <t xml:space="preserve">         Property</t>
  </si>
  <si>
    <t xml:space="preserve">         Gross Receipts</t>
  </si>
  <si>
    <t xml:space="preserve">         Other</t>
  </si>
  <si>
    <t xml:space="preserve">INCOME TAXES          </t>
  </si>
  <si>
    <t xml:space="preserve">     T=1 - {[(1 - SIT) * (1 - FIT)] / (1 - SIT * FIT * p))} =</t>
  </si>
  <si>
    <t xml:space="preserve">     CIT=(T/1-T) * (1-(WCLTD/R)) =</t>
  </si>
  <si>
    <t>Amortized Investment Tax Credit (Attachment 4, line 14)</t>
  </si>
  <si>
    <t>Permanent Differences Tax Adjustment</t>
  </si>
  <si>
    <t>(Attach 3, line 173a * line 65)</t>
  </si>
  <si>
    <t xml:space="preserve">Income Tax Calculation = line 62 * line 72 </t>
  </si>
  <si>
    <t>ITC adjustment (line 65 * line 66)</t>
  </si>
  <si>
    <t>Total Income Taxes</t>
  </si>
  <si>
    <t xml:space="preserve">RETURN </t>
  </si>
  <si>
    <t xml:space="preserve">Incentive Return and Income Tax and Competitive Bid Concessions for Projects </t>
  </si>
  <si>
    <t>(Attach 4, line 70, cols. h, j &amp; less p)</t>
  </si>
  <si>
    <t>Page 4 of 5</t>
  </si>
  <si>
    <t>Rate Formula Template</t>
  </si>
  <si>
    <t>SUPPORTING CALCULATIONS AND NOTES</t>
  </si>
  <si>
    <t>TRANSMISSION PLANT INCLUDED IN ISO RATES</t>
  </si>
  <si>
    <t>(Attachment 3, line 175)</t>
  </si>
  <si>
    <t>TP=</t>
  </si>
  <si>
    <t>WAGES &amp; SALARY ALLOCATOR   (W&amp;S) (Note I)</t>
  </si>
  <si>
    <t>Form 1 Reference</t>
  </si>
  <si>
    <t>$</t>
  </si>
  <si>
    <t>Allocation</t>
  </si>
  <si>
    <t>354.20.b</t>
  </si>
  <si>
    <t>354.21.b</t>
  </si>
  <si>
    <t>354.23.b</t>
  </si>
  <si>
    <t>W&amp;S Allocator</t>
  </si>
  <si>
    <t xml:space="preserve">  Other</t>
  </si>
  <si>
    <t>354.24,25,26.b</t>
  </si>
  <si>
    <t>($ / Allocation)</t>
  </si>
  <si>
    <t>=</t>
  </si>
  <si>
    <t>WS</t>
  </si>
  <si>
    <t>%</t>
  </si>
  <si>
    <t>Cost</t>
  </si>
  <si>
    <t>Weighted</t>
  </si>
  <si>
    <t xml:space="preserve">  Long Term Debt </t>
  </si>
  <si>
    <t>(Attach 3, lines 249 &amp; 270) (Note G)</t>
  </si>
  <si>
    <t>=WCLTD</t>
  </si>
  <si>
    <t xml:space="preserve">  Preferred Stock  </t>
  </si>
  <si>
    <t>(Attachment 3, lines 251 &amp; 273)</t>
  </si>
  <si>
    <t>(Attachment 3, line 257)</t>
  </si>
  <si>
    <t>=R</t>
  </si>
  <si>
    <t>Development of Base Carrying charge and Summary of Incentive and Non-Incentive Investments</t>
  </si>
  <si>
    <t>(a)</t>
  </si>
  <si>
    <t>(b)</t>
  </si>
  <si>
    <t>(c)</t>
  </si>
  <si>
    <t>Source of Total Column</t>
  </si>
  <si>
    <t>Non-incentive Investments from Attachment 4 (Note N)</t>
  </si>
  <si>
    <t>Incentive Investments from Attachment 4 (Note N)</t>
  </si>
  <si>
    <t>Net Transmission Plant in Service</t>
  </si>
  <si>
    <t>CWIP in Rate Base</t>
  </si>
  <si>
    <t>Unamortized Abandoned Plant</t>
  </si>
  <si>
    <t>Project Specific Regulatory Assets</t>
  </si>
  <si>
    <t>Return and Taxes</t>
  </si>
  <si>
    <t>(Lines 69 &amp; 71)</t>
  </si>
  <si>
    <t/>
  </si>
  <si>
    <t>Base Carrying Charge (used in Attach 4, Line 65)</t>
  </si>
  <si>
    <t>(Line 100 - Line 101)/ Line 99</t>
  </si>
  <si>
    <t>Page 5 of 5</t>
  </si>
  <si>
    <t xml:space="preserve">                SUPPORTING CALCULATIONS AND NOTES</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</si>
  <si>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</si>
  <si>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</si>
  <si>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</si>
  <si>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</si>
  <si>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</si>
  <si>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t>
  </si>
  <si>
    <t xml:space="preserve">   to FASB 106 or 109. Balance of Account 255 is reduced by prior flow throughs and excluded if the utility chose</t>
  </si>
  <si>
    <t>B</t>
  </si>
  <si>
    <t>Identified in Form 1 as being only transmission related.</t>
  </si>
  <si>
    <t>C</t>
  </si>
  <si>
    <t>Cash Working Capital assigned to transmission is one-eighth of O&amp;M allocated to transmission minus the amortization of any Regulatory Asset.</t>
  </si>
  <si>
    <t xml:space="preserve">  Prepayments are the electric related prepayments booked to Account No. 165 and reported on Pages 110-111 line 57 in the Form 1.</t>
  </si>
  <si>
    <t>D</t>
  </si>
  <si>
    <t>Line 42 removes EPRI Annual Membership Dues listed in Form 1 at 353._.f (enter FN1 line #),  </t>
  </si>
  <si>
    <t>any  EPRI Lobbying expenses included in line 42 of the template and all Regulatory Commission Expenses itemized at 351.h</t>
  </si>
  <si>
    <t>Line 42 removes all advertising  included in Account 930.1, except safety, education or out-reach related advertising</t>
  </si>
  <si>
    <t>Line 42 removes all EEI and EPRI research, development and demonstration expenses and NEET NY will not participate in EEI or EPRI.</t>
  </si>
  <si>
    <t>Line 43 reflects all Regulatory Commission Expenses directly related to transmission service, ISO filings, or transmission siting itemized at 351.h</t>
  </si>
  <si>
    <t xml:space="preserve">Line 39 or Line 41 and thus Line 45 shall include any NYISO charges other than penalties, including but not limited to administrative costs.  </t>
  </si>
  <si>
    <t>E</t>
  </si>
  <si>
    <t>Includes only FICA, unemployment, highway, property, gross receipts, and other assessments charged in the current year.</t>
  </si>
  <si>
    <t xml:space="preserve">  Taxes related to income are excluded.  Gross receipts taxes are not included in transmission revenue requirement in the Rate Formula Template, </t>
  </si>
  <si>
    <t xml:space="preserve">   since they are recovered elsewhere.</t>
  </si>
  <si>
    <t>F</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</si>
  <si>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</si>
  <si>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</si>
  <si>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</si>
  <si>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</si>
  <si>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 must reduce its income tax expense by the amount of the Amortized Investment Tax Credit (266.8.f)</t>
  </si>
  <si>
    <t xml:space="preserve">  multiplied by (1/1-T).  Excess Deferred Income Taxes reduce income tax expense by the amount of the expense multiplied by (1/1-T).</t>
  </si>
  <si>
    <t xml:space="preserve">         Inputs Required:</t>
  </si>
  <si>
    <t>FIT =</t>
  </si>
  <si>
    <t>SIT=</t>
  </si>
  <si>
    <t xml:space="preserve">  (State Income Tax Rate or Composite SIT from Attach 3)</t>
  </si>
  <si>
    <t>p =</t>
  </si>
  <si>
    <t xml:space="preserve">  (percent of federal income tax deductible for state purposes)</t>
  </si>
  <si>
    <t xml:space="preserve">For each Rate Year (including both Annual Projections and True-Up Adjustments) the statutory income tax rates utilized in the Formula Rate shall reflect the weighted average rates </t>
  </si>
  <si>
    <t xml:space="preserve">  actually in effect during the Rate Year.  For example, if the statutory tax rate is 10% from January 1 through June 30, and 5% from July 1 through December 31, such rates would be weighted </t>
  </si>
  <si>
    <t xml:space="preserve">  181/365 and 184/365, respectively, for a non-leap year.</t>
  </si>
  <si>
    <t>G</t>
  </si>
  <si>
    <t>H</t>
  </si>
  <si>
    <t>Removes dollar amount of transmission plant included in the development of OATT ancillary services rates and generation</t>
  </si>
  <si>
    <t xml:space="preserve">  step-up facilities, which are deemed to included in OATT ancillary services.  For these purposes, generation step-up</t>
  </si>
  <si>
    <t xml:space="preserve">  facilities are those facilities at a generator substation on which there is no through-flow when the generator is shut down.</t>
  </si>
  <si>
    <t>I</t>
  </si>
  <si>
    <t>Enter dollar amounts</t>
  </si>
  <si>
    <t>J</t>
  </si>
  <si>
    <t>ROE will be supported in the original filing and no change in ROE may be made absent a filing with FERC under FPA Section 205 or 206.</t>
  </si>
  <si>
    <t>K</t>
  </si>
  <si>
    <t xml:space="preserve">Recovery of Regulatory Assets is permitted only for pre-commercial expenses incurred prior to the date when NEET New York may first recover costs under the NYISO Tariff, as authorized by the Commission.  Recovery of any other regulatory assets (e.g., project specific) requires authorization from the Commission. A carrying charge equal to the weighted cost of capital calculated pursuant to this formula will be applied to the Regulatory Asset prior to the rate year when costs are first recovered. </t>
  </si>
  <si>
    <t>L</t>
  </si>
  <si>
    <t>Unamortized Regulatory Assets, consisting of all expenses incurred but not included in CWIP prior to the date the rate is charged to customers, is included at line 28</t>
  </si>
  <si>
    <t>Carrying costs equal to the weighted cost of capital on the balance of the regulatory asset will accrue until the rate is charged to customers</t>
  </si>
  <si>
    <t>M</t>
  </si>
  <si>
    <t>Balances exclude Asset Retirement Costs</t>
  </si>
  <si>
    <t>N</t>
  </si>
  <si>
    <t>Non-incentive investments are investments without ROE incentives and incentive investments are investments with ROE incentives</t>
  </si>
  <si>
    <t>O</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</si>
  <si>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</si>
  <si>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</si>
  <si>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P</t>
  </si>
  <si>
    <t xml:space="preserve">In the event that leased tranmission assests or right of ways involve a lumpsum upfront payment, it will be amortized over the life of the lease to Account No. 567 and the unamortized balance will be included here. </t>
  </si>
  <si>
    <t xml:space="preserve">  In the event such a lease involves monthly or annual payments, the payments will be booked to Account 567.</t>
  </si>
  <si>
    <t xml:space="preserve">Attachment 1 - Revenue Credit Workpaper* </t>
  </si>
  <si>
    <t>Account 454 - Rent from Electric Property  (300.19.b)</t>
  </si>
  <si>
    <t>Notes 1 &amp; 3</t>
  </si>
  <si>
    <t>Rent from FERC Form No. 1</t>
  </si>
  <si>
    <t>Account 456 (including 456.1) (300.21.b and 300.22.b)</t>
  </si>
  <si>
    <t>Other Electric Revenues (Note 2)</t>
  </si>
  <si>
    <t xml:space="preserve">Professional Services </t>
  </si>
  <si>
    <t>Revenues from Directly Assigned Transmission Facility Charges (Note 2)</t>
  </si>
  <si>
    <t xml:space="preserve">Rent or Attachment Fees associated with Transmission Facilities </t>
  </si>
  <si>
    <t>Total Revenue Credits</t>
  </si>
  <si>
    <t>Note 1</t>
  </si>
  <si>
    <t xml:space="preserve">All revenues booked to Account 454 that are derived from cost items classified as transmission-related will be included as a revenue credit.  All revenues booked to Account 456 (includes 456.1)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t>
  </si>
  <si>
    <t>Note 2</t>
  </si>
  <si>
    <t xml:space="preserve">If the facilities associated with the revenues are not included in the formula, the revenue is shown below, but not included in the total above and explained in the Attachment 3. </t>
  </si>
  <si>
    <t>Note 3</t>
  </si>
  <si>
    <t>All Account 454, 456, and 456.1 Revenues must be itemized below and tie to FERC Form No. 1 cites set forth below.</t>
  </si>
  <si>
    <t>Line No.</t>
  </si>
  <si>
    <t>Accounts 456 and 456.1 (300.21.b plus 300.22.b)</t>
  </si>
  <si>
    <t>TOTAL</t>
  </si>
  <si>
    <t>NY-ISO</t>
  </si>
  <si>
    <t>Other 1</t>
  </si>
  <si>
    <t>Other 2</t>
  </si>
  <si>
    <t>1a</t>
  </si>
  <si>
    <t>…</t>
  </si>
  <si>
    <t>1x</t>
  </si>
  <si>
    <t>Less:</t>
  </si>
  <si>
    <t xml:space="preserve">     Revenue for Demands in Divisor </t>
  </si>
  <si>
    <t>Sub Total Revenue Credit</t>
  </si>
  <si>
    <t>Prior Period Adjustments</t>
  </si>
  <si>
    <t>Total  (must tie to 300.21.b plus 300.22.b)</t>
  </si>
  <si>
    <t>Account 454 (300.19.b)</t>
  </si>
  <si>
    <t>9a</t>
  </si>
  <si>
    <t>9b</t>
  </si>
  <si>
    <t>9c</t>
  </si>
  <si>
    <t>9d</t>
  </si>
  <si>
    <t>9e</t>
  </si>
  <si>
    <t>9f</t>
  </si>
  <si>
    <t>9g</t>
  </si>
  <si>
    <t>9x</t>
  </si>
  <si>
    <t>Total  (must tie to 300.19.b)</t>
  </si>
  <si>
    <t>Attachment 2 - Cost Support</t>
  </si>
  <si>
    <t>Plant in Service Worksheet</t>
  </si>
  <si>
    <t>Calculation of Transmission  Plant In Service</t>
  </si>
  <si>
    <t>Source (Less ARO, see Note M)</t>
  </si>
  <si>
    <t>Year</t>
  </si>
  <si>
    <t>Balance</t>
  </si>
  <si>
    <t>December</t>
  </si>
  <si>
    <t>p206.58.b</t>
  </si>
  <si>
    <t>January</t>
  </si>
  <si>
    <t>company records</t>
  </si>
  <si>
    <t>February</t>
  </si>
  <si>
    <t>March</t>
  </si>
  <si>
    <t>April</t>
  </si>
  <si>
    <t>May</t>
  </si>
  <si>
    <t xml:space="preserve">June </t>
  </si>
  <si>
    <t>July</t>
  </si>
  <si>
    <t>August</t>
  </si>
  <si>
    <t>September</t>
  </si>
  <si>
    <t xml:space="preserve">October </t>
  </si>
  <si>
    <t>November</t>
  </si>
  <si>
    <t>p207.58.g</t>
  </si>
  <si>
    <t>Transmission Plant In Service</t>
  </si>
  <si>
    <t>Calculation of Distribution Plant In Service</t>
  </si>
  <si>
    <t>p206.75.b</t>
  </si>
  <si>
    <t>October</t>
  </si>
  <si>
    <t>p207.75.g</t>
  </si>
  <si>
    <t>Distribution Plant In Service</t>
  </si>
  <si>
    <t>Calculation of Intangible Plant In Service</t>
  </si>
  <si>
    <t>p204.5.b</t>
  </si>
  <si>
    <t>p205.5.g</t>
  </si>
  <si>
    <t>Intangible Plant In Service</t>
  </si>
  <si>
    <t>Calculation of General Plant In Service</t>
  </si>
  <si>
    <t>p206.99.b</t>
  </si>
  <si>
    <t>p207.99.g</t>
  </si>
  <si>
    <t>General Plant In Service</t>
  </si>
  <si>
    <t>Calculation of Production Plant In Service</t>
  </si>
  <si>
    <t>p204.46b</t>
  </si>
  <si>
    <t>p205.46.g</t>
  </si>
  <si>
    <t>Production Plant In Service</t>
  </si>
  <si>
    <t>Total Plant In Service</t>
  </si>
  <si>
    <t>Accumulated Depreciation Worksheet</t>
  </si>
  <si>
    <t>Appendix A Line #s, Descriptions, Notes, Form 1 Page #s and Instructions</t>
  </si>
  <si>
    <t>Calculation of Transmission Accumulated Depreciation</t>
  </si>
  <si>
    <t>Prior year p219.25.c</t>
  </si>
  <si>
    <t>p219.25.c</t>
  </si>
  <si>
    <t>Transmission Accumulated Depreciation</t>
  </si>
  <si>
    <t>Calculation of Distribution Accumulated Depreciation</t>
  </si>
  <si>
    <t>Prior year p219.26.c</t>
  </si>
  <si>
    <t>p219.26.c</t>
  </si>
  <si>
    <t>Distribution Accumulated Depreciation</t>
  </si>
  <si>
    <t>Calculation of Intangible Accumulated Amortization</t>
  </si>
  <si>
    <t>Prior year p200.21.c</t>
  </si>
  <si>
    <t>p200.21.c</t>
  </si>
  <si>
    <t>Accumulated Intangible Amortization</t>
  </si>
  <si>
    <t>Calculation of General Accumulated Depreciation</t>
  </si>
  <si>
    <t>Prior year p219.28.c</t>
  </si>
  <si>
    <t>p219.28.c</t>
  </si>
  <si>
    <t>Accumulated General Depreciation</t>
  </si>
  <si>
    <t>Calculation of Production Accumulated Depreciation</t>
  </si>
  <si>
    <t>p219.20.c to 24.c (prior year)</t>
  </si>
  <si>
    <t>p219.20.c to 24.c</t>
  </si>
  <si>
    <t>Production Accumulated Depreciation</t>
  </si>
  <si>
    <t>Total Accumulated Depreciation and Amortization</t>
  </si>
  <si>
    <t>Attachment 3 - Cost Support</t>
  </si>
  <si>
    <t>Details</t>
  </si>
  <si>
    <t>Numbering continues from Attachment 2</t>
  </si>
  <si>
    <t>Beginning of Year</t>
  </si>
  <si>
    <t>End of Year</t>
  </si>
  <si>
    <t>Average Balance</t>
  </si>
  <si>
    <t xml:space="preserve">  Account No. 255 (enter negative)  </t>
  </si>
  <si>
    <t>267.8.h</t>
  </si>
  <si>
    <t>Attachment 8, line 4, col. (v)</t>
  </si>
  <si>
    <t xml:space="preserve">  (recovery of abandoned plant requires a FERC order approving the amount and recovery period)</t>
  </si>
  <si>
    <t>Amortization Expense</t>
  </si>
  <si>
    <t>Amortization of Abandoned Plant</t>
  </si>
  <si>
    <t>Attachment 8, line 4, col. (h)</t>
  </si>
  <si>
    <t xml:space="preserve">  Prepayments (Account 165)</t>
  </si>
  <si>
    <t xml:space="preserve">B </t>
  </si>
  <si>
    <t xml:space="preserve">     (Prepayments exclude Prepaid Pension Assets)</t>
  </si>
  <si>
    <t>111.57.d</t>
  </si>
  <si>
    <t>111.57.c</t>
  </si>
  <si>
    <t>Prepayments</t>
  </si>
  <si>
    <t>Reserves</t>
  </si>
  <si>
    <t>170a</t>
  </si>
  <si>
    <t>(d)</t>
  </si>
  <si>
    <t>(e)</t>
  </si>
  <si>
    <t>(f)</t>
  </si>
  <si>
    <t>(g)</t>
  </si>
  <si>
    <t>(h)</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</si>
  <si>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</si>
  <si>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</si>
  <si>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</si>
  <si>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</si>
  <si>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</si>
  <si>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</si>
  <si>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</si>
  <si>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</si>
  <si>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</si>
  <si>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All unfunded reserves will be listed above, specifically including (but not limited to) all subaccounts for FERC Account Nos. 228.1 through 228.4.  "Unfunded reserve" is defined as an accrued balance (1) created and increased by debiting an expense which is included in this formula rate (column (e), using the same allocator in column (g) as used in the formula to allocate the amounts in the corresponding expense account)  (2) in advance of an anticipated expenditure related to that expense (3) that is not deposited in a restricted account (e.g., set aside in an escrow account, see column (d)) with the earnings thereon retained within that account.  Where a given reserve is only partially funded through accruals collected from customers, only the balance funded by customer collections shall serve as a rate base credit, see column (f).  The source of monthly balance data is company records.</t>
  </si>
  <si>
    <t>EPRI Dues Cost Support</t>
  </si>
  <si>
    <t>EPRI &amp; EEI Costs to be Excluded</t>
  </si>
  <si>
    <t>Allocated General &amp; Common Expenses</t>
  </si>
  <si>
    <t>EPRI Dues</t>
  </si>
  <si>
    <t>(A)</t>
  </si>
  <si>
    <t xml:space="preserve">EPRI and EEI Dues to be excluded from the formula rate </t>
  </si>
  <si>
    <t>p353._.f (enter FN1 line #)</t>
  </si>
  <si>
    <t>Regulatory Expense Related to Transmission Cost Support</t>
  </si>
  <si>
    <t>Form 1 Amount</t>
  </si>
  <si>
    <t>Transmission Related</t>
  </si>
  <si>
    <t>Other</t>
  </si>
  <si>
    <t>Details*</t>
  </si>
  <si>
    <t>Directly Assigned A&amp;G</t>
  </si>
  <si>
    <t>(B)</t>
  </si>
  <si>
    <t>C (Col A-Col B)</t>
  </si>
  <si>
    <t>Regulatory Commission Exp Account 928</t>
  </si>
  <si>
    <t>p323.189.b</t>
  </si>
  <si>
    <t>* insert case specific detail and associated assignments here</t>
  </si>
  <si>
    <t>Multi-state Workpaper</t>
  </si>
  <si>
    <t>New York</t>
  </si>
  <si>
    <t>State 2</t>
  </si>
  <si>
    <t>State 3</t>
  </si>
  <si>
    <t>State 4</t>
  </si>
  <si>
    <t>State 5</t>
  </si>
  <si>
    <t>Weighed Average</t>
  </si>
  <si>
    <t>Income Tax Rates</t>
  </si>
  <si>
    <t>Weighting</t>
  </si>
  <si>
    <t>SIT=State Income Tax Rate or Composite</t>
  </si>
  <si>
    <t>Multiple state rates are weighted based on the state apportionment factors on the state income tax returns and the number of days in the year that the rates are effective (see Note F)</t>
  </si>
  <si>
    <t>173a</t>
  </si>
  <si>
    <t>The Tax Effect of Permanent Differences captures the differences in the income taxes due under the Federal and State calculations and the income taxes calculated in Appendix A that are not the result of a timing difference. If any, a workpaper showing the calculation will be attached.</t>
  </si>
  <si>
    <t>Safety Related and Education and Out Reach Cost Support</t>
  </si>
  <si>
    <t>Safety Related, Education, Siting &amp; Outreach Related</t>
  </si>
  <si>
    <t>General Advertising Exp Account 930.1</t>
  </si>
  <si>
    <t>Safety advertising consists of any advertising whose primary purpose is to educate the recipient as to what is safe or is not safe.</t>
  </si>
  <si>
    <t>Education advertising consists of any advertising whose primary purpose is to educate the recipient as about transmission related facts or issues</t>
  </si>
  <si>
    <t>Outreach advertising consists of advertising whose primary purpose is to attract the attention of the recipient about a transmission related issue</t>
  </si>
  <si>
    <t>Siting advertising consists of advertising whose primary purpose is to inform the recipient about locating transmission facilities</t>
  </si>
  <si>
    <t>Lobbying expenses are not allowed to be included in account 930.1</t>
  </si>
  <si>
    <t>Excluded Plant Cost Support</t>
  </si>
  <si>
    <t xml:space="preserve">Transmission plant included in OATT Ancillary Services and not otherwise excluded </t>
  </si>
  <si>
    <t>Description of the Facilities</t>
  </si>
  <si>
    <t>Adjustment to Remove Revenue Requirements Associated with Excluded Transmission Facilities</t>
  </si>
  <si>
    <t>Excluded Transmission Facilities</t>
  </si>
  <si>
    <t>General Description of the Facilities</t>
  </si>
  <si>
    <t>A worksheet will be provided if there are ever any excluded transmission plant or transmission plant in OATT Ancillary Services</t>
  </si>
  <si>
    <t>Add more lines if necessary</t>
  </si>
  <si>
    <t>Materials &amp; Supplies</t>
  </si>
  <si>
    <t>Stores Expense Undistributed</t>
  </si>
  <si>
    <t>Transmission Materials &amp; Supplies</t>
  </si>
  <si>
    <t>Note:  for the projection, the prior year's actual balances will be used</t>
  </si>
  <si>
    <t>p227.16</t>
  </si>
  <si>
    <t>p227.8</t>
  </si>
  <si>
    <t xml:space="preserve"> Form No.1 page</t>
  </si>
  <si>
    <t>C (Col A+Col B)</t>
  </si>
  <si>
    <t>Column b</t>
  </si>
  <si>
    <t>Company Records</t>
  </si>
  <si>
    <t>Column c</t>
  </si>
  <si>
    <t>Average</t>
  </si>
  <si>
    <t>sum line 176 to 188 divided by 13</t>
  </si>
  <si>
    <t>PBOPs</t>
  </si>
  <si>
    <t>Calculation of PBOP Expenses</t>
  </si>
  <si>
    <t>Total PBOP expenses (Note A)</t>
  </si>
  <si>
    <t>Labor dollars (total labor under PBOP Plan, Note A)</t>
  </si>
  <si>
    <t>Cost per labor dollar (line 191 / line 192)</t>
  </si>
  <si>
    <t>labor expensed (labor not capitalized) in current year, 354.28.b.</t>
  </si>
  <si>
    <t>PBOP Expense for current year</t>
  </si>
  <si>
    <t>(line 193 * line 194)</t>
  </si>
  <si>
    <t>PBOP amount included in Company's O&amp;M and A&amp;G expenses included in FERC Account Nos. 500-935</t>
  </si>
  <si>
    <t>PBOP Adjustment (line 195 - line 196)</t>
  </si>
  <si>
    <t xml:space="preserve">Lines 191-192 cannot change absent approval or acceptance by FERC in a separate proceeding. </t>
  </si>
  <si>
    <t>The source of the amounts from the Actuary Study supporting the numbers in Line 2 and 3 is -</t>
  </si>
  <si>
    <t>COST OF CAPITAL</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</si>
  <si>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</si>
  <si>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</si>
  <si>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</si>
  <si>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</si>
  <si>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</si>
  <si>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</si>
  <si>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</si>
  <si>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</si>
  <si>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</si>
  <si>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</si>
  <si>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</si>
  <si>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</si>
  <si>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</si>
  <si>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</si>
  <si>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</si>
  <si>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</si>
  <si>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</si>
  <si>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</si>
  <si>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</si>
  <si>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 (3):</t>
  </si>
  <si>
    <t>Acct 221 Bonds</t>
  </si>
  <si>
    <t>112.18.c,d</t>
  </si>
  <si>
    <t>Acct 223 Advances from Assoc. Companies</t>
  </si>
  <si>
    <t>112.20.c,d</t>
  </si>
  <si>
    <t>Acct 224 Other Long Term Debt</t>
  </si>
  <si>
    <t>112.21.c,d</t>
  </si>
  <si>
    <t>Less  Acct 222 Reacquired Debt</t>
  </si>
  <si>
    <t>112.19 c, 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</si>
  <si>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</si>
  <si>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</si>
  <si>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</si>
  <si>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</si>
  <si>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</si>
  <si>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</si>
  <si>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</si>
  <si>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</si>
  <si>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</si>
  <si>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</si>
  <si>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 (3)</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</si>
  <si>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</si>
  <si>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</si>
  <si>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</si>
  <si>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</si>
  <si>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</si>
  <si>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</si>
  <si>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</si>
  <si>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</si>
  <si>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</si>
  <si>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</si>
  <si>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</si>
  <si>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</si>
  <si>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</si>
  <si>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</si>
  <si>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</si>
  <si>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</si>
  <si>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</si>
  <si>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</si>
  <si>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Note 3.  In the event there is a construction loan, line 222 will also include the outstanding amounts associated with any short term construction financing, prior to the issuance of long term debt.</t>
  </si>
  <si>
    <t xml:space="preserve">     Rate Formula Template</t>
  </si>
  <si>
    <t>Project Worksheet</t>
  </si>
  <si>
    <r>
      <t xml:space="preserve"> Utilizing </t>
    </r>
    <r>
      <rPr>
        <sz val="12"/>
        <color rgb="FF7030A0"/>
        <rFont val="Times New Roman"/>
        <family val="1"/>
      </rPr>
      <t>Appendix A</t>
    </r>
    <r>
      <rPr>
        <sz val="12"/>
        <rFont val="Times New Roman"/>
        <family val="1"/>
      </rPr>
      <t xml:space="preserve"> Data</t>
    </r>
  </si>
  <si>
    <t xml:space="preserve">The calculations below calculate that additional revenue requirement for 100 basis points of ROE and 1 percent change in the equity component of the capital structure. </t>
  </si>
  <si>
    <t>These amounts are then used to valuate the actual increase in  revenue in the table below (starting on line 66) associated with the actual incentive authorized by the Commission</t>
  </si>
  <si>
    <t xml:space="preserve">The use of the 100 basis point calculations do not presume any particular incentive (i.e., 100 basis points) being granted by the Commission. </t>
  </si>
  <si>
    <t>Base ROE and Income Taxes Carrying Charge</t>
  </si>
  <si>
    <t>Result</t>
  </si>
  <si>
    <t>Rate Base</t>
  </si>
  <si>
    <t>BASE RETURN CALCULATION:</t>
  </si>
  <si>
    <t xml:space="preserve">  Long Term Debt  </t>
  </si>
  <si>
    <t>(Appendix A, Line 91)</t>
  </si>
  <si>
    <t xml:space="preserve">  Preferred Stock </t>
  </si>
  <si>
    <t>(Appendix A, Line 92)</t>
  </si>
  <si>
    <t xml:space="preserve">  Common Stock </t>
  </si>
  <si>
    <t>(Appendix A, Line 93)</t>
  </si>
  <si>
    <t>Total  (sum lines 3-5)</t>
  </si>
  <si>
    <t>Return multiplied by Rate Base (line 1 * line 6)</t>
  </si>
  <si>
    <t xml:space="preserve">     T=1 - {[(1 - SIT) * (1 - FIT)] / (1 - SIT * FIT * p)} =  (Appendix A, line 61)</t>
  </si>
  <si>
    <t>Amortized Investment Tax Credit (266.8f) (enter negative)</t>
  </si>
  <si>
    <t>Permanent Differences Tax Adjustment = (Appendix A, line 67)</t>
  </si>
  <si>
    <t>Base Return and Income Taxes</t>
  </si>
  <si>
    <t>Return and Income Taxes at Base ROE</t>
  </si>
  <si>
    <t>100 Basis Point Incentive ROE and Income Taxes Carrying Charge</t>
  </si>
  <si>
    <t xml:space="preserve">100 Basis Point Incentive Return impact on </t>
  </si>
  <si>
    <t>(line 3)</t>
  </si>
  <si>
    <t>(line 4)</t>
  </si>
  <si>
    <t xml:space="preserve">  Common Stock</t>
  </si>
  <si>
    <t>(line 5 plus 100 basis points)</t>
  </si>
  <si>
    <t>Total  (sum lines 24-26)</t>
  </si>
  <si>
    <t>100 Basis Point Incentive Return multiplied by Rate Base (line 22 * line 27)</t>
  </si>
  <si>
    <t>Permanent Differences Tax Adjustment = (line 15)</t>
  </si>
  <si>
    <t>Return and Income Taxes with 100 basis point increase in ROE</t>
  </si>
  <si>
    <t>Return and Income Taxes with 100 basis point increase in  ROE</t>
  </si>
  <si>
    <t>Difference in Return and Income Taxes between Base ROE and 100 Basis Point Incentive</t>
  </si>
  <si>
    <t>Effect of 1% Increase in the Equity Ratio</t>
  </si>
  <si>
    <t>Results</t>
  </si>
  <si>
    <t>100 Basis Point Incentive Return</t>
  </si>
  <si>
    <t>(line 3 minus 1% in equity ratio)</t>
  </si>
  <si>
    <t xml:space="preserve">  Common Stock  </t>
  </si>
  <si>
    <t>(line 5 plus 1% in equity ratio))</t>
  </si>
  <si>
    <t>Total  (sum lines 46-48)</t>
  </si>
  <si>
    <t>Return and Income Taxes with 1% Increase in the Equity Ratio</t>
  </si>
  <si>
    <t>Difference between Base ROE and 1% Increase in the Equity Ratio</t>
  </si>
  <si>
    <t>Revenue Requirement per project including incentives</t>
  </si>
  <si>
    <t>Expense Allocator</t>
  </si>
  <si>
    <t>[Appendix A, lines 45 and 59, less Appendix A, line 44b (project specific) / Gross Transmission Plant In Service Column (l).  If Gross Transmission Plant is zero, then the Expense Allocator should be zero] (Note B)</t>
  </si>
  <si>
    <t>Base Carrying Charge</t>
  </si>
  <si>
    <t>Line 103 Appendix A</t>
  </si>
  <si>
    <t>The table below  breaks out the total revenue requirement on Appendix A separately  for each investment.  The total of Column (p) must equal the amount shown on Appendix A, Line 3.</t>
  </si>
  <si>
    <t>(i)</t>
  </si>
  <si>
    <t>(j)</t>
  </si>
  <si>
    <t>(k)</t>
  </si>
  <si>
    <t>(l)</t>
  </si>
  <si>
    <t>(m)</t>
  </si>
  <si>
    <t>(n)</t>
  </si>
  <si>
    <t>(o)</t>
  </si>
  <si>
    <t>(p)</t>
  </si>
  <si>
    <t>(q)</t>
  </si>
  <si>
    <t>Net Investment (Note A)</t>
  </si>
  <si>
    <t>ROE Authorized by FERC (Note D)</t>
  </si>
  <si>
    <t>ROE Base (From Appendix A, line 94)</t>
  </si>
  <si>
    <t>Incentive % Authorized by FERC</t>
  </si>
  <si>
    <t>Line 43</t>
  </si>
  <si>
    <t>Col (e) / .01 x Col (f)</t>
  </si>
  <si>
    <t>Incentive $ (Col (b) x Col (g)</t>
  </si>
  <si>
    <t>Equity % in Capital Structure (% above base %, -% below base %)(1 equals 1%)</t>
  </si>
  <si>
    <t>Impact of Equity Component of Capital Structure(Col (b) x (i) x Line 65</t>
  </si>
  <si>
    <t>Base Return and Tax (Line 68 x Col (b)</t>
  </si>
  <si>
    <t>Gross Plant In Service (Note B)</t>
  </si>
  <si>
    <t>Expense Allocator    (line 67)</t>
  </si>
  <si>
    <t>O&amp;M, Taxes Other than Income                  (Col. (l) x Col. (n)</t>
  </si>
  <si>
    <t>Depreciation/Amortization Expense</t>
  </si>
  <si>
    <t>Competitive Bid Concession      (Note C)</t>
  </si>
  <si>
    <t>Total Revenues (Col. (h) + (j) + (k) +(n) +(o) -(p))</t>
  </si>
  <si>
    <t>NextEra Energy Transmission New York, Inc. - Other Rate Base</t>
  </si>
  <si>
    <t>69a</t>
  </si>
  <si>
    <t>Empire State Line Project - 100 BP ROE Adder and Cost Cap</t>
  </si>
  <si>
    <t>69b</t>
  </si>
  <si>
    <t>Empire State Line Project - Cost Containment Mechanism</t>
  </si>
  <si>
    <t>69c</t>
  </si>
  <si>
    <t>Empire State Line Project - Unforeseeable Costs</t>
  </si>
  <si>
    <t>Check Sum Appendix A Line 3</t>
  </si>
  <si>
    <t>Difference (must be equal to zero)</t>
  </si>
  <si>
    <t>Note:</t>
  </si>
  <si>
    <t>Column (b), Net Investment includes the Net Plant In Service, unamortized regulatory assets, unamortized abandoned plant and CWIP</t>
  </si>
  <si>
    <t>Column (l), Gross Plant in Service excludes Regulatory Assets, CWIP, and Abandoned Plant.</t>
  </si>
  <si>
    <t xml:space="preserve">Competitive Bid Concession, if any, will reflect outcome of competitive developer selection process and will be computed on a workpaper that will be provided as supporting documentation </t>
  </si>
  <si>
    <t xml:space="preserve">for each Annual Update and will be zero or a reduction to the revenue requirement.  The amount in Column (p) above equals the amount by which the annual revenue requirement is reduced from the ceiling rate.   </t>
  </si>
  <si>
    <t>Column (e), for each project with an incentive in column (e), note the docket No. in which FERC granted the incentive&gt;</t>
  </si>
  <si>
    <t>Project</t>
  </si>
  <si>
    <t>Docket No.</t>
  </si>
  <si>
    <t>Docket Nos. ER16-2719, ER18-125</t>
  </si>
  <si>
    <r>
      <t xml:space="preserve">Pursuant to the settlement agreement approved in Docket No. ER16-2719, a 100 bp ROE adder will apply to project investment incurred up to the Cost Cap.  A 100 bp ROE adder shall also apply to Unforeseeable Costs in excess of five (5) percent of the Cost Cap, Empire Third Party Costs, and Project Development Costs.  </t>
    </r>
    <r>
      <rPr>
        <u/>
        <sz val="12"/>
        <rFont val="Times New Roman"/>
        <family val="1"/>
      </rPr>
      <t>Empire Third Party Costs</t>
    </r>
    <r>
      <rPr>
        <sz val="12"/>
        <rFont val="Times New Roman"/>
        <family val="1"/>
      </rPr>
      <t xml:space="preserve"> are costs that result from: (i) NYISO modifications or further NYISO requirements, including interconnection costs and upgrades resulting from the NYISO interconnection study process; or (ii) real estate-related costs incurred in any lease arrangements or purchases related to the acquisition of rights-of-way or access to rights-of-way or purchases of rights to access utility facilities; (iii) all taxes; or (iv) Empire Upgrades. These Empire Third Party Costs are not included in the Capital Cost Bid , are not subject to the Cost Cap or Cost Containment Mechanism, and are recoverable in the formula rate.  </t>
    </r>
    <r>
      <rPr>
        <u/>
        <sz val="12"/>
        <rFont val="Times New Roman"/>
        <family val="1"/>
      </rPr>
      <t>Project Development Costs</t>
    </r>
    <r>
      <rPr>
        <sz val="12"/>
        <rFont val="Times New Roman"/>
        <family val="1"/>
      </rPr>
      <t xml:space="preserve"> are costs incurred for the Empire State Line Project prior to the selection of one or more transmission developer(s) by the NYISO Board of Directors and are not included in the Capital Cost Bid submitted to the NYISO, and are not subject to the Cost Cap or Cost Containment Mechanism, are to be included in Construction Work in Progress (“CWIP”) in accordance with the FERC Uniform System of Accounts, and are recoverable in the formula rate.  The </t>
    </r>
    <r>
      <rPr>
        <u/>
        <sz val="12"/>
        <rFont val="Times New Roman"/>
        <family val="1"/>
      </rPr>
      <t>Cost Cap</t>
    </r>
    <r>
      <rPr>
        <sz val="12"/>
        <rFont val="Times New Roman"/>
        <family val="1"/>
      </rPr>
      <t xml:space="preserve"> is the sum of the following:  (A) the Capital Cost Bid, defined as the amount submitted by NEET NY in response to the NYISO's solicitation on the Western New York Public Policy Transmission Need, but excluding Empire Third Party Costs; (B) contingency of 18% will be applied to the Capital Cost Bid; (C) the sum of the Capital Cost Bid and the contingency of 18%, multiplied by an inflation factor of 2.0% per year for the period of time from the submission in response to the NYISO’s Solicitation to the date that is one year prior to the Commercial Operation Date; and (D) Allowance for Funds Used During Construction.</t>
    </r>
  </si>
  <si>
    <t xml:space="preserve">Pursuant to the settlement agreement approved in Docket No. ER16-2719, 20% of any prudently incurred project costs above the Cost Cap that are subject to the Cost Containment Mechanism will not earn an equity return, but NEET NY will be allowed to recover the associated depreciation and debt cost.  In addition, 80% of any prudently incurred costs above the Cost Cap that are subject to the Cost Containment Mechanism will not earn any ROE Incentive Adders on the equity portion of such costs, but NEET NY will be allowed to earn the Base ROE, associated depreciation, and debt cost.  </t>
  </si>
  <si>
    <t>Unforeseeable Costs in an aggregate amount up to 5% of the Cost Cap shall be considered project costs that are part of the contingency and subject to the Cost Containment Mechanism. Unforeseeable Costs that are more than 5% of the amount of the Cost Cap are not subject to the Cost Cap or Cost Containment Mechanism and are recoverable in the formula rate, and are subject to the base ROE of 9.65%. NEET NY will provide updates of Unforeseeable Costs as part of project cost updates in its annual June informational filing, including information demonstrating how such costs were determined to be Unforeseeable Costs.</t>
  </si>
  <si>
    <t>Empire State Line Project - Additional ROE Adder for Certain Costs Below the Cost Cap</t>
  </si>
  <si>
    <t>Pursuant to the settlement agreement approved in Docket No. ER16-2719, NEET NY may utilize an additional ROE adder when the actual project costs are below the “Adjusted Cost Cap.”The Adjusted Cost Cap shall be comprised of the sum of the following: (a) the Capital Cost Bids for the Empire State Line Project and the AC Transmission Project, respectively; (b) the Capital Cost Bid multiplied by 5% (“5% Adder”); (c) the sum of the Capital Cost Bid and the 5% Adder, multiplied by an inflation factor of 2.0% per year for the period of time from when the Capital Cost Bid was established and until the date when the project starts commercial operations; and (d) any AFUDC.  NEET NY will receive an additional ROE adder as set forth in Table A below when the Eligible Project costs, inclusive of Unforeseeable Costs in an amount up to 5% of the Adjusted Cost Cap, are less than the Adjusted Cost Cap, as set forth in Table A below.</t>
  </si>
  <si>
    <t>Table A</t>
  </si>
  <si>
    <t>Actual Costs Below Adjusted Cost Cap</t>
  </si>
  <si>
    <t>ROE Adder</t>
  </si>
  <si>
    <t>0% to &lt;=5%</t>
  </si>
  <si>
    <t>0.05%</t>
  </si>
  <si>
    <t>&gt;5% to &lt;=10%</t>
  </si>
  <si>
    <t>0.17%</t>
  </si>
  <si>
    <t>&gt;10% to &lt;=15%</t>
  </si>
  <si>
    <t>0.30%</t>
  </si>
  <si>
    <t>&gt;15% to &lt;=20%</t>
  </si>
  <si>
    <t>0.45%</t>
  </si>
  <si>
    <t>&gt;20% to &lt;=25%</t>
  </si>
  <si>
    <t>0.62%</t>
  </si>
  <si>
    <t>&gt;25%</t>
  </si>
  <si>
    <t>0.71%</t>
  </si>
  <si>
    <t>Attachment 5 - Example of True-Up Calculation</t>
  </si>
  <si>
    <t>Annual True-Up Calculation</t>
  </si>
  <si>
    <t xml:space="preserve">Net </t>
  </si>
  <si>
    <t>Adjusted</t>
  </si>
  <si>
    <t>Under/(Over)</t>
  </si>
  <si>
    <t>Interest</t>
  </si>
  <si>
    <t>Total True-Up</t>
  </si>
  <si>
    <t>Net Revenue</t>
  </si>
  <si>
    <t>Collection</t>
  </si>
  <si>
    <t>Income</t>
  </si>
  <si>
    <t>Adjustment</t>
  </si>
  <si>
    <t>Identification</t>
  </si>
  <si>
    <t>Project Name</t>
  </si>
  <si>
    <r>
      <t>Requirement</t>
    </r>
    <r>
      <rPr>
        <vertAlign val="superscript"/>
        <sz val="12"/>
        <color theme="1"/>
        <rFont val="Times New Roman"/>
        <family val="1"/>
      </rPr>
      <t>1</t>
    </r>
  </si>
  <si>
    <r>
      <t>Revenue Received</t>
    </r>
    <r>
      <rPr>
        <vertAlign val="superscript"/>
        <sz val="12"/>
        <color theme="1"/>
        <rFont val="Times New Roman"/>
        <family val="1"/>
      </rPr>
      <t>2</t>
    </r>
  </si>
  <si>
    <t>(C-D)</t>
  </si>
  <si>
    <t>(Expense)</t>
  </si>
  <si>
    <t>(E + F)</t>
  </si>
  <si>
    <t>NEET New York, Inc.</t>
  </si>
  <si>
    <t>Empire State Line</t>
  </si>
  <si>
    <t>2a</t>
  </si>
  <si>
    <t>2b</t>
  </si>
  <si>
    <t>2c</t>
  </si>
  <si>
    <t>2d</t>
  </si>
  <si>
    <t>Note A</t>
  </si>
  <si>
    <t xml:space="preserve">1) From Attachment 4, Column (q) for the period being trued-up </t>
  </si>
  <si>
    <t>2) The "revenue received" is the total amount of revenue distributed in the True-Up Year. The amounts do not include any true-ups or prior period</t>
  </si>
  <si>
    <t xml:space="preserve">     adjustments and reflects any Competitive Bid Concessions</t>
  </si>
  <si>
    <t>3. Then Monthly Interest Rate shall be equal to the interest rate set forth below on line 13 and be applied to the amount in Column E for a period of 24 months</t>
  </si>
  <si>
    <t>4. The True-Up Adjustment is applied to each project prorata based its contribution to the Revenue Requirement shown in Attachment 4</t>
  </si>
  <si>
    <t>FERC Refund Interest Rate</t>
  </si>
  <si>
    <t>Interest Rate:</t>
  </si>
  <si>
    <t>Quarter</t>
  </si>
  <si>
    <t>Quarterly Interest Rate under Section 35.19(a)</t>
  </si>
  <si>
    <t>1st Qtr.</t>
  </si>
  <si>
    <t xml:space="preserve">2nd Qtr </t>
  </si>
  <si>
    <t xml:space="preserve">3rd Qtr </t>
  </si>
  <si>
    <t>4th Qtr</t>
  </si>
  <si>
    <t xml:space="preserve">1st Qtr </t>
  </si>
  <si>
    <t>Sum lines 5-11</t>
  </si>
  <si>
    <t>Avg. Monthly FERC Rate</t>
  </si>
  <si>
    <t>Line 12 divided by 7</t>
  </si>
  <si>
    <t>Attachment 6a - Accumulated Deferred Income Taxes (ADIT) Average Worksheet (Projection)</t>
  </si>
  <si>
    <t>(Sum Col. B, C &amp; D)</t>
  </si>
  <si>
    <t>Ln</t>
  </si>
  <si>
    <t>Item</t>
  </si>
  <si>
    <t>Plant Related</t>
  </si>
  <si>
    <t>Labor Related</t>
  </si>
  <si>
    <t>ADIT-282 (enter negative)</t>
  </si>
  <si>
    <t>ADIT-283 (enter negative)</t>
  </si>
  <si>
    <t>ADIT-190</t>
  </si>
  <si>
    <t>Subtotal</t>
  </si>
  <si>
    <t>Sum of Lines 1-3</t>
  </si>
  <si>
    <t>Wages &amp; Salary Allocator (sum lines 1-3 for each column)</t>
  </si>
  <si>
    <t>Appendix A, line 91</t>
  </si>
  <si>
    <t>Net Plant Allocator</t>
  </si>
  <si>
    <t>Appendix A, line 22</t>
  </si>
  <si>
    <t>Total Plant Allocator</t>
  </si>
  <si>
    <t>Projected ADIT Total</t>
  </si>
  <si>
    <t>Enter as negative Appendix A, page 2, line 24</t>
  </si>
  <si>
    <t>Beginning Balance &amp; Monthly Changes</t>
  </si>
  <si>
    <t>Month</t>
  </si>
  <si>
    <t xml:space="preserve">Balance </t>
  </si>
  <si>
    <t>ADIT-282</t>
  </si>
  <si>
    <t>Actual Balance, BOY (Attach 6c, Line 30)</t>
  </si>
  <si>
    <t>-</t>
  </si>
  <si>
    <t>Actual Balance, BOY, Prorated items (Attach 6c, Line 26)</t>
  </si>
  <si>
    <t>Actual Balance, EOY (Attach 6d, Line 30)</t>
  </si>
  <si>
    <t>Actual Balance, EOY Prorated (Attach 6d, Line 26)</t>
  </si>
  <si>
    <t>Prorated EOY Balance (Attach 6b, Line 14)</t>
  </si>
  <si>
    <t>ADIT-283</t>
  </si>
  <si>
    <t>Actual Balance, BOY (Attach 6c, Line 44)</t>
  </si>
  <si>
    <t>Actual Balance, BOY, Prorated items (Attach 6c, Line 40)</t>
  </si>
  <si>
    <t>Actual Balance, EOY (Attach 6d, Line 44)</t>
  </si>
  <si>
    <t>Actual Balance, EOY Prorated (Attach 6d, Line 40)</t>
  </si>
  <si>
    <t>Prorated EOY Balance (Attach 6b, Line 28)</t>
  </si>
  <si>
    <t>Actual Balance, BOY (Attach 6c, Line 18)</t>
  </si>
  <si>
    <t>Actual Balance, BOY, Prorated items (Attach 6c, Line 14)</t>
  </si>
  <si>
    <t>Actual Balance, EOY (Attach 6d, Line 18)</t>
  </si>
  <si>
    <t>Actual Balance, EOY Prorated (Attach 6d, Line 14)</t>
  </si>
  <si>
    <t>Prorated EOY Balance (Attach 6b, Line 42)</t>
  </si>
  <si>
    <t>Attachment 6b - Accumulated Deferred Income Taxes (ADIT) Proration Worksheet (Projection)</t>
  </si>
  <si>
    <t>Weighting for Projection</t>
  </si>
  <si>
    <t>Beginning Balance/
Monthly Increment</t>
  </si>
  <si>
    <t>Transmission Proration
(d) x (f)</t>
  </si>
  <si>
    <t>Plant Proration
(d) x (h)</t>
  </si>
  <si>
    <t>Labor Proration
(d) x (j)</t>
  </si>
  <si>
    <r>
      <t>ADIT-282-Proration-</t>
    </r>
    <r>
      <rPr>
        <b/>
        <sz val="12"/>
        <color rgb="FFFF0000"/>
        <rFont val="Arial Narrow"/>
        <family val="2"/>
      </rPr>
      <t>Note A</t>
    </r>
  </si>
  <si>
    <t>Balance (Attach 6c, Line 26)</t>
  </si>
  <si>
    <t>Increment</t>
  </si>
  <si>
    <t>ADIT 282-Prorated EOY Balance</t>
  </si>
  <si>
    <r>
      <t>ADIT-283-Proration-</t>
    </r>
    <r>
      <rPr>
        <b/>
        <sz val="12"/>
        <color rgb="FFFF0000"/>
        <rFont val="Arial Narrow"/>
        <family val="2"/>
      </rPr>
      <t>Note B</t>
    </r>
  </si>
  <si>
    <t>Balance (Attach 6c, Line 40)</t>
  </si>
  <si>
    <t>ADIT 283-Prorated EOY Balance</t>
  </si>
  <si>
    <r>
      <t>ADIT-190-Proration-</t>
    </r>
    <r>
      <rPr>
        <b/>
        <sz val="12"/>
        <color rgb="FFFF0000"/>
        <rFont val="Arial Narrow"/>
        <family val="2"/>
      </rPr>
      <t>Note C</t>
    </r>
  </si>
  <si>
    <t>Balance (Attach 6c, Line 14)</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</si>
  <si>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</si>
  <si>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</si>
  <si>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</si>
  <si>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</si>
  <si>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accelerated depreciation, if applicable, are subject to proration.  See Line 40 in Attach 6c and 6d.</t>
  </si>
  <si>
    <t>Only amounts in ADIT-190 related to NOL carryforwards resulting from accelerated depreciation, if applicable, are subject to proration.  See Line 14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</si>
  <si>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</si>
  <si>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</si>
  <si>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</si>
  <si>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</si>
  <si>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</si>
  <si>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</si>
  <si>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</si>
  <si>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</si>
  <si>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</si>
  <si>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</si>
  <si>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</si>
  <si>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</si>
  <si>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</si>
  <si>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</si>
  <si>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</si>
  <si>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</si>
  <si>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</si>
  <si>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</si>
  <si>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</si>
  <si>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</si>
  <si>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</si>
  <si>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Depreciation Items</t>
  </si>
  <si>
    <t xml:space="preserve">Subtotal - p274.b </t>
  </si>
  <si>
    <t>Instructions for Account 282:</t>
  </si>
  <si>
    <t>ADIT- 283</t>
  </si>
  <si>
    <t xml:space="preserve">Subtotal - p276.b  </t>
  </si>
  <si>
    <t>Instructions for Account 283:</t>
  </si>
  <si>
    <t>Attachment 6d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</si>
  <si>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</si>
  <si>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</si>
  <si>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</si>
  <si>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</si>
  <si>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6e - Accumulated Deferred Income Taxes (ADIT) Average Worksheet (True-Up)</t>
  </si>
  <si>
    <t>Total Plant &amp; Labor Related</t>
  </si>
  <si>
    <t>Line 16</t>
  </si>
  <si>
    <t>Line 24</t>
  </si>
  <si>
    <t>Line 32</t>
  </si>
  <si>
    <t>Wages &amp; Salary Allocator</t>
  </si>
  <si>
    <t>ADIT Total</t>
  </si>
  <si>
    <t>Prorated EOY Balance (Attach 6f, Line 14)</t>
  </si>
  <si>
    <t>Prorated EOY Balance (Attach 6f, Line 28)</t>
  </si>
  <si>
    <t>Prorated EOY Balance (Attach 6f, Line 42)</t>
  </si>
  <si>
    <t>Attachment 7 - Depreciation and Amortization Rates</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</si>
  <si>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</si>
  <si>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</si>
  <si>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</si>
  <si>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</si>
  <si>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</si>
  <si>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Fee Land</t>
  </si>
  <si>
    <t>350.2</t>
  </si>
  <si>
    <r>
      <rPr>
        <sz val="12"/>
        <color indexed="8"/>
        <rFont val="Arial Narrow"/>
        <family val="2"/>
      </rPr>
      <t>Land Rights</t>
    </r>
    <r>
      <rPr>
        <sz val="12"/>
        <rFont val="Arial Narrow"/>
        <family val="2"/>
      </rPr>
      <t xml:space="preserve"> </t>
    </r>
  </si>
  <si>
    <t>352</t>
  </si>
  <si>
    <r>
      <rPr>
        <sz val="12"/>
        <color indexed="8"/>
        <rFont val="Arial Narrow"/>
        <family val="2"/>
      </rPr>
      <t>Structures and Improvements</t>
    </r>
    <r>
      <rPr>
        <sz val="12"/>
        <rFont val="Arial Narrow"/>
        <family val="2"/>
      </rPr>
      <t xml:space="preserve"> </t>
    </r>
  </si>
  <si>
    <t>353</t>
  </si>
  <si>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</si>
  <si>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</si>
  <si>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</si>
  <si>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</si>
  <si>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t>Poles and Fixtures</t>
  </si>
  <si>
    <r>
      <rPr>
        <sz val="12"/>
        <color indexed="8"/>
        <rFont val="Arial Narrow"/>
        <family val="2"/>
      </rPr>
      <t>356</t>
    </r>
    <r>
      <rPr>
        <sz val="12"/>
        <rFont val="Arial Narrow"/>
        <family val="2"/>
      </rPr>
      <t xml:space="preserve"> </t>
    </r>
  </si>
  <si>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</si>
  <si>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</si>
  <si>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</si>
  <si>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</si>
  <si>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</si>
  <si>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</si>
  <si>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</si>
  <si>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</si>
  <si>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</si>
  <si>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</si>
  <si>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</si>
  <si>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rPr>
        <sz val="12"/>
        <color indexed="8"/>
        <rFont val="Arial Narrow"/>
        <family val="2"/>
      </rPr>
      <t>Office Furniture &amp; Equipment</t>
    </r>
    <r>
      <rPr>
        <sz val="12"/>
        <rFont val="Arial Narrow"/>
        <family val="2"/>
      </rPr>
      <t xml:space="preserve"> </t>
    </r>
  </si>
  <si>
    <t>392.10</t>
  </si>
  <si>
    <t>Automobiles</t>
  </si>
  <si>
    <t>392.20</t>
  </si>
  <si>
    <t>Light Trucks</t>
  </si>
  <si>
    <t>392.30</t>
  </si>
  <si>
    <t>Heavy Trucks</t>
  </si>
  <si>
    <t>392.40</t>
  </si>
  <si>
    <t>Tractor Trailers</t>
  </si>
  <si>
    <t>392.90</t>
  </si>
  <si>
    <t>Trailers</t>
  </si>
  <si>
    <t xml:space="preserve">393 </t>
  </si>
  <si>
    <t xml:space="preserve">Stores Equipment </t>
  </si>
  <si>
    <r>
      <rPr>
        <sz val="12"/>
        <color indexed="8"/>
        <rFont val="Arial Narrow"/>
        <family val="2"/>
      </rPr>
      <t>394</t>
    </r>
    <r>
      <rPr>
        <sz val="12"/>
        <rFont val="Arial Narrow"/>
        <family val="2"/>
      </rPr>
      <t xml:space="preserve"> </t>
    </r>
  </si>
  <si>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</si>
  <si>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</si>
  <si>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rPr>
        <sz val="12"/>
        <color indexed="8"/>
        <rFont val="Arial Narrow"/>
        <family val="2"/>
      </rPr>
      <t>Laboratory Equipment</t>
    </r>
    <r>
      <rPr>
        <sz val="12"/>
        <rFont val="Arial Narrow"/>
        <family val="2"/>
      </rPr>
      <t xml:space="preserve"> </t>
    </r>
  </si>
  <si>
    <t>397</t>
  </si>
  <si>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</si>
  <si>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</si>
  <si>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</si>
  <si>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</si>
  <si>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</si>
  <si>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</si>
  <si>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</si>
  <si>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</si>
  <si>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rPr>
        <sz val="12"/>
        <color indexed="8"/>
        <rFont val="Arial Narrow"/>
        <family val="2"/>
      </rPr>
      <t>Miscellaneous Intangible Plant</t>
    </r>
    <r>
      <rPr>
        <sz val="12"/>
        <rFont val="Arial Narrow"/>
        <family val="2"/>
      </rPr>
      <t xml:space="preserve"> </t>
    </r>
  </si>
  <si>
    <t>5 Year Property</t>
  </si>
  <si>
    <t>7 Year Property</t>
  </si>
  <si>
    <t>10 Year Property</t>
  </si>
  <si>
    <t>Interconnection Equipment</t>
  </si>
  <si>
    <r>
      <rPr>
        <sz val="12"/>
        <color indexed="8"/>
        <rFont val="Arial Narrow"/>
        <family val="2"/>
      </rPr>
      <t>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</si>
  <si>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</si>
  <si>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r>
      <t xml:space="preserve"> </t>
    </r>
    <r>
      <rPr>
        <sz val="12"/>
        <color indexed="8"/>
        <rFont val="Arial Narrow"/>
        <family val="2"/>
      </rPr>
      <t xml:space="preserve">Note 1: In the event a Contribution in Aid of Construction (CIAC) is made for a transmission facility, the transmission </t>
    </r>
    <r>
      <rPr>
        <sz val="12"/>
        <rFont val="Arial Narrow"/>
        <family val="2"/>
      </rPr>
      <t xml:space="preserve"> </t>
    </r>
  </si>
  <si>
    <r>
      <t xml:space="preserve"> </t>
    </r>
    <r>
      <rPr>
        <sz val="12"/>
        <color indexed="8"/>
        <rFont val="Arial Narrow"/>
        <family val="2"/>
      </rPr>
      <t>depreciation rates above will be weighted based on the relative amount of underlying plant booked to the accounts</t>
    </r>
    <r>
      <rPr>
        <sz val="12"/>
        <rFont val="Arial Narrow"/>
        <family val="2"/>
      </rPr>
      <t xml:space="preserve"> </t>
    </r>
  </si>
  <si>
    <r>
      <t xml:space="preserve"> </t>
    </r>
    <r>
      <rPr>
        <sz val="12"/>
        <color indexed="8"/>
        <rFont val="Arial Narrow"/>
        <family val="2"/>
      </rPr>
      <t>shown in lines 1-9 above and the weighted average depreciation rate will be used to amortize the CIAC.</t>
    </r>
    <r>
      <rPr>
        <sz val="12"/>
        <rFont val="Arial Narrow"/>
        <family val="2"/>
      </rPr>
      <t xml:space="preserve"> The life of a</t>
    </r>
  </si>
  <si>
    <t xml:space="preserve"> facility subject to a CIAC will be equivalent to the depreciation rate calculated above, i.e., 100% ÷ deprecation rate = life</t>
  </si>
  <si>
    <t xml:space="preserve"> in years. The estimated life of the facility or rights associated with the facility will not change  over the life of a CIAC</t>
  </si>
  <si>
    <t xml:space="preserve"> without prior FERC approval.</t>
  </si>
  <si>
    <r>
      <t xml:space="preserve"> </t>
    </r>
    <r>
      <rPr>
        <sz val="12"/>
        <color indexed="8"/>
        <rFont val="Arial Narrow"/>
        <family val="2"/>
      </rPr>
      <t>These depreciation rates will not change absent the appropriate filing at FERC.</t>
    </r>
    <r>
      <rPr>
        <sz val="12"/>
        <rFont val="Arial Narrow"/>
        <family val="2"/>
      </rPr>
      <t xml:space="preserve"> </t>
    </r>
  </si>
  <si>
    <t xml:space="preserve">Regulatory Assets </t>
  </si>
  <si>
    <t>(r)</t>
  </si>
  <si>
    <t>(s)</t>
  </si>
  <si>
    <t>(t)</t>
  </si>
  <si>
    <t>(u)</t>
  </si>
  <si>
    <t>(v)</t>
  </si>
  <si>
    <t>(w)</t>
  </si>
  <si>
    <t>(x)</t>
  </si>
  <si>
    <t>(y)</t>
  </si>
  <si>
    <t>(z)</t>
  </si>
  <si>
    <t>(aa)</t>
  </si>
  <si>
    <t>Dec. 31</t>
  </si>
  <si>
    <t>Jan. 31</t>
  </si>
  <si>
    <t>Feb. 28/29</t>
  </si>
  <si>
    <t>Mar. 31</t>
  </si>
  <si>
    <t>Apr. 30</t>
  </si>
  <si>
    <t>May 31</t>
  </si>
  <si>
    <t>Jun. 30</t>
  </si>
  <si>
    <t>Jul. 31</t>
  </si>
  <si>
    <t>Aug. 31</t>
  </si>
  <si>
    <t>Sept. 30</t>
  </si>
  <si>
    <t>Oct. 31</t>
  </si>
  <si>
    <t>Nov. 30</t>
  </si>
  <si>
    <t>Recovery Amnt Approved *</t>
  </si>
  <si>
    <t>Recovery Period Months *</t>
  </si>
  <si>
    <t>Monthly Amort Exp (b) / (c)</t>
  </si>
  <si>
    <t>Amort Periods this year</t>
  </si>
  <si>
    <t>Current Amort Expense     (d) x (e)</t>
  </si>
  <si>
    <t>% Allocated to Formula Rate *</t>
  </si>
  <si>
    <t>Amort Exp in Formula Rate**            (f) x (g)</t>
  </si>
  <si>
    <t>2015</t>
  </si>
  <si>
    <t>2016</t>
  </si>
  <si>
    <t>Avg Unamortized Balance         Sum (i) through (u) / 13</t>
  </si>
  <si>
    <t>% Approved for Rate Base *</t>
  </si>
  <si>
    <t>Allocated to Formula Rate     (from (g))</t>
  </si>
  <si>
    <t>Rate Base Balance      (v) x (w) x (x)</t>
  </si>
  <si>
    <t>Project Code</t>
  </si>
  <si>
    <t>Docket No</t>
  </si>
  <si>
    <t>1b</t>
  </si>
  <si>
    <t>1c</t>
  </si>
  <si>
    <t>Total Regulatory Asset in Rate Base (sum lines 1a-1x):</t>
  </si>
  <si>
    <t>* Non-zero values in these columns may only be established per FERC order</t>
  </si>
  <si>
    <t xml:space="preserve">**All amortizations of the Regulatory Asset are to be booked to Account 566 </t>
  </si>
  <si>
    <t>Abandoned Plant</t>
  </si>
  <si>
    <t>Amort Exp in Formula Rate            (f) x (g)</t>
  </si>
  <si>
    <t>2014</t>
  </si>
  <si>
    <t>3a</t>
  </si>
  <si>
    <t>3b</t>
  </si>
  <si>
    <t>3c</t>
  </si>
  <si>
    <t>3x</t>
  </si>
  <si>
    <t>Total Abandoned Plant in Rate Base (sum lines 3a-3x):</t>
  </si>
  <si>
    <t>Land Held for Future Use (LHFU)</t>
  </si>
  <si>
    <t xml:space="preserve">(c) </t>
  </si>
  <si>
    <t xml:space="preserve">(e) </t>
  </si>
  <si>
    <t>Subaccount No.</t>
  </si>
  <si>
    <t>Item Name</t>
  </si>
  <si>
    <t>Land Held for Future Use and Estimated Date</t>
  </si>
  <si>
    <t>Average of Columns (d) Through (p)</t>
  </si>
  <si>
    <t>5a</t>
  </si>
  <si>
    <t>5b</t>
  </si>
  <si>
    <t>5c</t>
  </si>
  <si>
    <t>5x</t>
  </si>
  <si>
    <t>Total LHFU in rate base (sum lines 5a-5x):</t>
  </si>
  <si>
    <t>job ID</t>
  </si>
  <si>
    <t>Construction Start Date</t>
  </si>
  <si>
    <t>Estimated in-service date</t>
  </si>
  <si>
    <t>Approval Doc. No.</t>
  </si>
  <si>
    <t>Avg (f) through (r)</t>
  </si>
  <si>
    <t>% approved for recovery</t>
  </si>
  <si>
    <t>Rate Base Amnt (s) x (t)</t>
  </si>
  <si>
    <t>2106</t>
  </si>
  <si>
    <t>7a</t>
  </si>
  <si>
    <t>7b</t>
  </si>
  <si>
    <t>7c</t>
  </si>
  <si>
    <t>7x</t>
  </si>
  <si>
    <t>Total  (sum lines 7a-7x)</t>
  </si>
  <si>
    <t>Total CWIP in Rate Base</t>
  </si>
  <si>
    <t>Change to recovery percent in Column (t) requires FERC order</t>
  </si>
  <si>
    <t>Actual Additions by FERC Account</t>
  </si>
  <si>
    <t>The total of these additions should total the additions reported in the FERC Form No.1 on page 206, lines 48 to 56</t>
  </si>
  <si>
    <t xml:space="preserve"> Land Rights </t>
  </si>
  <si>
    <t xml:space="preserve"> Structures and Improvements </t>
  </si>
  <si>
    <t xml:space="preserve"> Structures and Improvements - Equipment</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</si>
  <si>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</si>
  <si>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</si>
  <si>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</si>
  <si>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</si>
  <si>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</si>
  <si>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</si>
  <si>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</si>
  <si>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t>Total  (sum lines 9a-9x)</t>
  </si>
  <si>
    <t>Intangible Plant Detail</t>
  </si>
  <si>
    <t xml:space="preserve">Source </t>
  </si>
  <si>
    <t>Service Life</t>
  </si>
  <si>
    <t>11a</t>
  </si>
  <si>
    <t>11b</t>
  </si>
  <si>
    <t>11c</t>
  </si>
  <si>
    <t>11x</t>
  </si>
  <si>
    <t>Total  (sum lines 11a-11x) ties to p207.5.g</t>
  </si>
  <si>
    <t>NextEra Energy Transmission New York, Inc. Formula Rate Template</t>
  </si>
  <si>
    <t>From Tab 2</t>
  </si>
  <si>
    <t>Calculated</t>
  </si>
  <si>
    <t>Per Docket Nos. ER16-2719, ER18-125</t>
  </si>
  <si>
    <t>2023 Gross Plant</t>
  </si>
  <si>
    <t>13M Average Gross</t>
  </si>
  <si>
    <t>13M Average Net of AD</t>
  </si>
  <si>
    <t>Transmission Plant in Servce</t>
  </si>
  <si>
    <t>General Plant in Service</t>
  </si>
  <si>
    <t>Intangible Plant in Service</t>
  </si>
  <si>
    <t>Total Gross Plant in Service (PIS)</t>
  </si>
  <si>
    <t>Empire State Line Project - 100 BP ROE Adder and Cost Cap (Gross PIS)</t>
  </si>
  <si>
    <t>Empire State Line Project - Cost Containment Mechanism (Gross PIS)</t>
  </si>
  <si>
    <t>Empire State Line Project - Unforeseeable Costs (Gross PIS)</t>
  </si>
  <si>
    <t>13M Avg</t>
  </si>
  <si>
    <t>80% (gets 9.65% ROE)</t>
  </si>
  <si>
    <t>20% (gets 0.00% ROE)</t>
  </si>
  <si>
    <t>General Accumulated Depreciation</t>
  </si>
  <si>
    <t>Intangible Accumulated Depreciation</t>
  </si>
  <si>
    <t>Total Accumulated Depreciation (AD)</t>
  </si>
  <si>
    <t>Empire State Line Project - 100 BP ROE Adder and Cost Cap (AD)</t>
  </si>
  <si>
    <t>Empire State Line Project - Cost Containment Mechanism (AD)</t>
  </si>
  <si>
    <t>Empire State Line Project - Unforeseeable Costs (AD)</t>
  </si>
  <si>
    <t>Base Return &amp; Taxes (from tab 4, row 66b, col k)</t>
  </si>
  <si>
    <t>Weighted for containment</t>
  </si>
  <si>
    <t>Income Tax Adjustments</t>
  </si>
  <si>
    <r>
      <t xml:space="preserve">Total Tax adjustment for Permanent Differences </t>
    </r>
    <r>
      <rPr>
        <vertAlign val="subscript"/>
        <sz val="12"/>
        <rFont val="Arial"/>
        <family val="2"/>
      </rPr>
      <t>1</t>
    </r>
  </si>
  <si>
    <t>Tax Adjustment for AFUDC - Equity Depreciation</t>
  </si>
  <si>
    <t>Tax Adjustment for Meals &amp; Entertainment</t>
  </si>
  <si>
    <t>Notes</t>
  </si>
  <si>
    <t>1) 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(1) the Equity portion of Allowance for Other Funds Used During Construction  (AFUDC) included in the current book depreciation expense and (2) meals and entertainment expenses. Permanent differences arising from lobbying and/or political contributions, or fines and penalties from government agencies will not be recovered through this mechanism.  The income tax impacts of these permanent differences are determined in Appendix A,  Line 67, Column 3.</t>
  </si>
  <si>
    <t>Workpaper B - Support to "4 - Incentives"</t>
  </si>
  <si>
    <t>Workpaper C - Support to "3 - Cost Support"</t>
  </si>
  <si>
    <t>Attachment 8a - Workpapers</t>
  </si>
  <si>
    <t xml:space="preserve">Prior to obtaining any debt, the cost of debt will be LIBOR plus 1.5%.  Once any debt is obtained, the formula will use the actual cost of long term debt determined in Attachment 3.  The capital structure will be 60% equity and 40% debt until NextEra Energy Transmission New York, Inc.'s first transmission project enters service, after which the capital structure will be the actual capital structure.  LIBOR refers to the London Inter Bank Offer Rate from the Federal Reserve Bank of St. Louis's https://fred.stlouisfed.org/. The capital structure and cost of debt will be the weighted for the year if the first debt is obtained or first project is placed into service midyear using the weighting setforth in Note G. </t>
  </si>
  <si>
    <t>Attachment 6a-6e</t>
  </si>
  <si>
    <t>Attachment 8a-c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</si>
</sst>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quot;$&quot;#,##0.000"/>
    <numFmt numFmtId="170" formatCode="0.0000"/>
    <numFmt numFmtId="171" formatCode="0.000%"/>
    <numFmt numFmtId="172" formatCode="#,##0.0"/>
    <numFmt numFmtId="173" formatCode="#,##0.0000"/>
    <numFmt numFmtId="174" formatCode="#,##0.00000"/>
    <numFmt numFmtId="175" formatCode="_(* #,##0.000_);_(* \(#,##0.000\);_(* &quot;-&quot;??_);_(@_)"/>
    <numFmt numFmtId="176" formatCode="&quot;$&quot;#,##0"/>
    <numFmt numFmtId="177" formatCode="0.000000%"/>
    <numFmt numFmtId="178" formatCode="0.0%"/>
    <numFmt numFmtId="179" formatCode="_(* #,##0.00000_);_(* \(#,##0.00000\);_(* &quot;-&quot;??_);_(@_)"/>
    <numFmt numFmtId="180" formatCode="_(&quot;$&quot;* #,##0_);_(&quot;$&quot;* \(#,##0\);_(&quot;$&quot;* &quot;-&quot;??_);_(@_)"/>
    <numFmt numFmtId="181" formatCode="0.000000"/>
    <numFmt numFmtId="182" formatCode="mm/dd/yy;@"/>
    <numFmt numFmtId="183" formatCode="_(* #,##0.0_);_(* \(#,##0.0\);_(* &quot;-&quot;??_);_(@_)"/>
    <numFmt numFmtId="184" formatCode="_(* #,##0.0_);_(* \(#,##0.0\);_(* &quot;-&quot;?_);_(@_)"/>
    <numFmt numFmtId="185" formatCode="[$-409]mmm\-yy;@"/>
    <numFmt numFmtId="186" formatCode="[&gt;=0]#,##0;[&lt;0]\(#,##0\)"/>
  </numFmts>
  <fonts count="84">
    <font>
      <sz val="12"/>
      <name val="Arial MT"/>
    </font>
    <font>
      <sz val="11"/>
      <color theme="1"/>
      <name val="Calibri"/>
      <family val="2"/>
      <scheme val="minor"/>
    </font>
    <font>
      <sz val="12"/>
      <name val="Arial MT"/>
    </font>
    <font>
      <sz val="12"/>
      <name val="Arial"/>
      <family val="2"/>
    </font>
    <font>
      <strike/>
      <sz val="12"/>
      <color indexed="10"/>
      <name val="Arial"/>
      <family val="2"/>
    </font>
    <font>
      <b/>
      <sz val="12"/>
      <name val="Calibri"/>
      <family val="2"/>
    </font>
    <font>
      <sz val="10"/>
      <name val="Arial"/>
      <family val="2"/>
    </font>
    <font>
      <strike/>
      <sz val="12"/>
      <color indexed="10"/>
      <name val="Arial MT"/>
    </font>
    <font>
      <sz val="12"/>
      <color indexed="12"/>
      <name val="Arial MT"/>
    </font>
    <font>
      <sz val="12"/>
      <color indexed="17"/>
      <name val="Arial MT"/>
    </font>
    <font>
      <sz val="12"/>
      <color indexed="12"/>
      <name val="Arial"/>
      <family val="2"/>
    </font>
    <font>
      <b/>
      <sz val="12"/>
      <name val="Arial"/>
      <family val="2"/>
    </font>
    <font>
      <sz val="11"/>
      <name val="Arial"/>
      <family val="2"/>
    </font>
    <font>
      <b/>
      <sz val="12"/>
      <color rgb="FF7030A0"/>
      <name val="Arial"/>
      <family val="2"/>
    </font>
    <font>
      <sz val="12"/>
      <name val="Arial Narrow"/>
      <family val="2"/>
    </font>
    <font>
      <b/>
      <u/>
      <sz val="12"/>
      <name val="Arial"/>
      <family val="2"/>
    </font>
    <font>
      <sz val="12"/>
      <color indexed="10"/>
      <name val="Arial"/>
      <family val="2"/>
    </font>
    <font>
      <sz val="10"/>
      <name val="Arial MT"/>
    </font>
    <font>
      <sz val="12"/>
      <name val="Times New Roman"/>
      <family val="1"/>
    </font>
    <font>
      <sz val="14"/>
      <name val="Arial MT"/>
    </font>
    <font>
      <sz val="14"/>
      <name val="Arial"/>
      <family val="2"/>
    </font>
    <font>
      <sz val="14"/>
      <name val="Times New Roman"/>
      <family val="1"/>
    </font>
    <font>
      <sz val="14"/>
      <name val="Arial Narrow"/>
      <family val="2"/>
    </font>
    <font>
      <sz val="14"/>
      <color rgb="FFFF0000"/>
      <name val="Arial Narrow"/>
      <family val="2"/>
    </font>
    <font>
      <b/>
      <sz val="14"/>
      <color rgb="FF7030A0"/>
      <name val="Arial Narrow"/>
      <family val="2"/>
    </font>
    <font>
      <sz val="14"/>
      <color indexed="17"/>
      <name val="Arial"/>
      <family val="2"/>
    </font>
    <font>
      <sz val="14"/>
      <name val="Helv"/>
    </font>
    <font>
      <b/>
      <sz val="12"/>
      <name val="Arial Narrow"/>
      <family val="2"/>
    </font>
    <font>
      <sz val="12"/>
      <color indexed="10"/>
      <name val="Arial Narrow"/>
      <family val="2"/>
    </font>
    <font>
      <sz val="10"/>
      <color indexed="10"/>
      <name val="Arial"/>
      <family val="2"/>
    </font>
    <font>
      <u/>
      <sz val="12"/>
      <name val="Arial Narrow"/>
      <family val="2"/>
    </font>
    <font>
      <b/>
      <sz val="14"/>
      <name val="Arial"/>
      <family val="2"/>
    </font>
    <font>
      <b/>
      <sz val="12"/>
      <color indexed="10"/>
      <name val="Arial Narrow"/>
      <family val="2"/>
    </font>
    <font>
      <sz val="10"/>
      <color rgb="FF7030A0"/>
      <name val="Arial"/>
      <family val="2"/>
    </font>
    <font>
      <b/>
      <u/>
      <sz val="12"/>
      <name val="Arial Narrow"/>
      <family val="2"/>
    </font>
    <font>
      <b/>
      <sz val="10"/>
      <color indexed="10"/>
      <name val="Arial"/>
      <family val="2"/>
    </font>
    <font>
      <sz val="12"/>
      <color indexed="12"/>
      <name val="Arial Narrow"/>
      <family val="2"/>
    </font>
    <font>
      <b/>
      <sz val="10"/>
      <name val="Arial"/>
      <family val="2"/>
    </font>
    <font>
      <sz val="10"/>
      <color indexed="12"/>
      <name val="Arial"/>
      <family val="2"/>
    </font>
    <font>
      <b/>
      <sz val="12"/>
      <color rgb="FFFF0000"/>
      <name val="Arial MT"/>
    </font>
    <font>
      <sz val="10"/>
      <name val="Times New Roman"/>
      <family val="1"/>
    </font>
    <font>
      <sz val="10"/>
      <color indexed="40"/>
      <name val="Times New Roman"/>
      <family val="1"/>
    </font>
    <font>
      <sz val="12"/>
      <color theme="1"/>
      <name val="Times New Roman"/>
      <family val="1"/>
    </font>
    <font>
      <sz val="8"/>
      <color theme="1"/>
      <name val="Arial"/>
      <family val="2"/>
    </font>
    <font>
      <b/>
      <sz val="10"/>
      <color rgb="FFFF0000"/>
      <name val="Arial"/>
      <family val="2"/>
    </font>
    <font>
      <sz val="11"/>
      <name val="Calibri"/>
      <family val="2"/>
      <scheme val="minor"/>
    </font>
    <font>
      <sz val="11"/>
      <color rgb="FF1F497D"/>
      <name val="Calibri"/>
      <family val="2"/>
    </font>
    <font>
      <b/>
      <sz val="10"/>
      <color indexed="8"/>
      <name val="Arial"/>
      <family val="2"/>
    </font>
    <font>
      <b/>
      <sz val="10"/>
      <name val="Arial Narrow"/>
      <family val="2"/>
    </font>
    <font>
      <sz val="10"/>
      <name val="Arial Narrow"/>
      <family val="2"/>
    </font>
    <font>
      <sz val="13"/>
      <name val="Times New Roman"/>
      <family val="1"/>
    </font>
    <font>
      <b/>
      <u/>
      <sz val="10"/>
      <name val="Arial"/>
      <family val="2"/>
    </font>
    <font>
      <sz val="11"/>
      <name val="Times New Roman"/>
      <family val="1"/>
    </font>
    <font>
      <b/>
      <sz val="10"/>
      <name val="Times New Roman"/>
      <family val="1"/>
    </font>
    <font>
      <b/>
      <sz val="12"/>
      <color rgb="FFFF0000"/>
      <name val="Arial Narrow"/>
      <family val="2"/>
    </font>
    <font>
      <sz val="12"/>
      <color rgb="FF7030A0"/>
      <name val="Times New Roman"/>
      <family val="1"/>
    </font>
    <font>
      <b/>
      <sz val="12"/>
      <name val="Times New Roman"/>
      <family val="1"/>
    </font>
    <font>
      <u/>
      <sz val="12"/>
      <name val="Times New Roman"/>
      <family val="1"/>
    </font>
    <font>
      <b/>
      <sz val="12"/>
      <name val="Arial MT"/>
    </font>
    <font>
      <vertAlign val="superscript"/>
      <sz val="12"/>
      <color theme="1"/>
      <name val="Times New Roman"/>
      <family val="1"/>
    </font>
    <font>
      <sz val="11"/>
      <color indexed="8"/>
      <name val="Arial Narrow"/>
      <family val="2"/>
    </font>
    <font>
      <sz val="10"/>
      <color rgb="FF0000FF"/>
      <name val="Arial"/>
      <family val="2"/>
    </font>
    <font>
      <sz val="12"/>
      <color theme="1"/>
      <name val="Calibri"/>
      <family val="2"/>
      <scheme val="minor"/>
    </font>
    <font>
      <sz val="12"/>
      <color theme="1"/>
      <name val="Arial Narrow"/>
      <family val="2"/>
    </font>
    <font>
      <sz val="12"/>
      <color rgb="FFFF0000"/>
      <name val="Arial MT"/>
    </font>
    <font>
      <b/>
      <sz val="12"/>
      <color rgb="FFFF0000"/>
      <name val="Arial"/>
      <family val="2"/>
    </font>
    <font>
      <sz val="12"/>
      <color indexed="8"/>
      <name val="Arial Narrow"/>
      <family val="2"/>
    </font>
    <font>
      <b/>
      <sz val="12"/>
      <color indexed="8"/>
      <name val="Arial Narrow"/>
      <family val="2"/>
    </font>
    <font>
      <sz val="11"/>
      <color theme="1"/>
      <name val="Garamond"/>
      <family val="1"/>
    </font>
    <font>
      <sz val="11"/>
      <name val="Garamond"/>
      <family val="1"/>
    </font>
    <font>
      <sz val="11"/>
      <color rgb="FFFF0000"/>
      <name val="Garamond"/>
      <family val="1"/>
    </font>
    <font>
      <sz val="10"/>
      <color theme="1"/>
      <name val="Arial"/>
      <family val="2"/>
    </font>
    <font>
      <sz val="10"/>
      <color rgb="FFFF0000"/>
      <name val="Arial"/>
      <family val="2"/>
    </font>
    <font>
      <sz val="12"/>
      <color rgb="FFFF0000"/>
      <name val="Arial Narrow"/>
      <family val="2"/>
    </font>
    <font>
      <sz val="11"/>
      <name val="Arial Narrow"/>
      <family val="2"/>
    </font>
    <font>
      <b/>
      <sz val="9"/>
      <name val="Arial"/>
      <family val="2"/>
    </font>
    <font>
      <sz val="9"/>
      <color theme="1"/>
      <name val="Arial"/>
      <family val="2"/>
    </font>
    <font>
      <b/>
      <sz val="9"/>
      <color theme="1"/>
      <name val="Arial"/>
      <family val="2"/>
    </font>
    <font>
      <sz val="9"/>
      <name val="Arial"/>
      <family val="2"/>
    </font>
    <font>
      <vertAlign val="subscript"/>
      <sz val="12"/>
      <name val="Arial"/>
      <family val="2"/>
    </font>
    <font>
      <sz val="11"/>
      <color indexed="8"/>
      <name val="Calibri"/>
      <family val="2"/>
    </font>
    <font>
      <sz val="6"/>
      <color indexed="16"/>
      <name val="Palatino"/>
      <family val="1"/>
    </font>
    <font>
      <sz val="10"/>
      <color theme="1"/>
      <name val="Calibri"/>
      <family val="2"/>
    </font>
    <font>
      <sz val="8"/>
      <color rgb="FF000000"/>
      <name val="Verdana"/>
      <family val="2"/>
    </font>
  </fonts>
  <fills count="12">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FFFFCC"/>
        <bgColor indexed="64"/>
      </patternFill>
    </fill>
    <fill>
      <patternFill patternType="solid">
        <fgColor indexed="10"/>
        <bgColor indexed="64"/>
      </patternFill>
    </fill>
    <fill>
      <patternFill patternType="solid">
        <fgColor indexed="13"/>
        <bgColor indexed="64"/>
      </patternFill>
    </fill>
    <fill>
      <patternFill patternType="solid">
        <fgColor rgb="FF66CCFF"/>
        <bgColor indexed="64"/>
      </patternFill>
    </fill>
    <fill>
      <patternFill patternType="solid">
        <fgColor rgb="FFFFC000"/>
        <bgColor indexed="64"/>
      </patternFill>
    </fill>
    <fill>
      <patternFill patternType="solid">
        <fgColor theme="0"/>
        <bgColor indexed="64"/>
      </patternFill>
    </fill>
    <fill>
      <patternFill patternType="solid">
        <fgColor rgb="FFF1F5FB"/>
        <bgColor rgb="FF000000"/>
      </patternFill>
    </fill>
  </fills>
  <borders count="5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medium">
        <color indexed="64"/>
      </right>
      <top/>
      <bottom/>
      <diagonal/>
    </border>
    <border>
      <left style="thin">
        <color indexed="22"/>
      </left>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64"/>
      </bottom>
      <diagonal/>
    </border>
    <border>
      <left style="thin">
        <color indexed="22"/>
      </left>
      <right/>
      <top/>
      <bottom style="thin">
        <color indexed="22"/>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bottom style="thin">
        <color auto="1"/>
      </bottom>
      <diagonal/>
    </border>
    <border>
      <left style="thin">
        <color rgb="FF808080"/>
      </left>
      <right style="thin">
        <color rgb="FF808080"/>
      </right>
      <top style="thin">
        <color rgb="FF808080"/>
      </top>
      <bottom style="thin">
        <color rgb="FF808080"/>
      </bottom>
      <diagonal/>
    </border>
  </borders>
  <cellStyleXfs count="47">
    <xf numFmtId="164" fontId="0" fillId="0" borderId="0" applyProtection="0"/>
    <xf numFmtId="43" fontId="6" fillId="0" borderId="0" applyFon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2" fillId="0" borderId="0" applyProtection="0"/>
    <xf numFmtId="164" fontId="2" fillId="0" borderId="0" applyProtection="0"/>
    <xf numFmtId="0" fontId="1" fillId="0" borderId="0"/>
    <xf numFmtId="0" fontId="6"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52" fillId="0" borderId="0"/>
    <xf numFmtId="164" fontId="2" fillId="0" borderId="0" applyProtection="0"/>
    <xf numFmtId="0" fontId="1" fillId="0" borderId="0"/>
    <xf numFmtId="0" fontId="6" fillId="0" borderId="0"/>
    <xf numFmtId="164" fontId="2" fillId="0" borderId="0" applyProtection="0"/>
    <xf numFmtId="0" fontId="6" fillId="0" borderId="0"/>
    <xf numFmtId="0" fontId="60" fillId="0" borderId="0"/>
    <xf numFmtId="0" fontId="1" fillId="0" borderId="0"/>
    <xf numFmtId="0" fontId="6" fillId="0" borderId="0"/>
    <xf numFmtId="164" fontId="2" fillId="0" borderId="0" applyProtection="0"/>
    <xf numFmtId="0" fontId="2" fillId="0" borderId="0" applyProtection="0"/>
    <xf numFmtId="9" fontId="71" fillId="0" borderId="0" applyFont="0" applyFill="0" applyBorder="0" applyAlignment="0" applyProtection="0"/>
    <xf numFmtId="43" fontId="71" fillId="0" borderId="0" applyFont="0" applyFill="0" applyBorder="0" applyAlignment="0" applyProtection="0"/>
    <xf numFmtId="0" fontId="6" fillId="0" borderId="0"/>
    <xf numFmtId="43" fontId="1" fillId="0" borderId="0" applyFont="0" applyFill="0" applyBorder="0" applyAlignment="0" applyProtection="0"/>
    <xf numFmtId="9" fontId="6" fillId="0" borderId="0" applyFont="0" applyFill="0" applyBorder="0" applyAlignment="0" applyProtection="0"/>
    <xf numFmtId="0" fontId="6" fillId="0" borderId="0"/>
    <xf numFmtId="164" fontId="2" fillId="0" borderId="0" applyProtection="0"/>
    <xf numFmtId="0" fontId="1" fillId="0" borderId="0"/>
    <xf numFmtId="164" fontId="2" fillId="0" borderId="0" applyProtection="0"/>
    <xf numFmtId="43" fontId="1" fillId="0" borderId="0" applyFont="0" applyFill="0" applyBorder="0" applyAlignment="0" applyProtection="0"/>
    <xf numFmtId="0" fontId="1" fillId="0" borderId="0"/>
    <xf numFmtId="0" fontId="80" fillId="0" borderId="0"/>
    <xf numFmtId="0" fontId="81" fillId="0" borderId="0" applyProtection="0">
      <alignment horizontal="right"/>
    </xf>
    <xf numFmtId="0" fontId="3" fillId="0" borderId="0" applyNumberFormat="0" applyFill="0" applyBorder="0" applyAlignment="0" applyProtection="0"/>
    <xf numFmtId="0" fontId="82" fillId="0" borderId="0"/>
    <xf numFmtId="43" fontId="6" fillId="0" borderId="0" applyFont="0" applyFill="0" applyBorder="0" applyAlignment="0" applyProtection="0"/>
    <xf numFmtId="0" fontId="37" fillId="0" borderId="0" applyFill="0" applyBorder="0" applyProtection="0">
      <alignment horizontal="center" wrapText="1"/>
    </xf>
    <xf numFmtId="0" fontId="6" fillId="0" borderId="0" applyNumberFormat="0" applyFont="0" applyFill="0" applyBorder="0" applyProtection="0">
      <alignment horizontal="left" indent="1"/>
    </xf>
    <xf numFmtId="37" fontId="6" fillId="0" borderId="54" applyFont="0" applyFill="0" applyAlignment="0" applyProtection="0"/>
    <xf numFmtId="37" fontId="6" fillId="0" borderId="0" applyFont="0" applyFill="0" applyBorder="0" applyAlignment="0" applyProtection="0"/>
    <xf numFmtId="0" fontId="83" fillId="11" borderId="55" applyNumberFormat="0" applyAlignment="0" applyProtection="0">
      <alignment horizontal="left" vertical="center" indent="1"/>
    </xf>
    <xf numFmtId="186" fontId="6" fillId="0" borderId="4" applyFont="0" applyFill="0" applyAlignment="0" applyProtection="0"/>
    <xf numFmtId="41" fontId="82" fillId="0" borderId="0" applyFont="0" applyFill="0" applyBorder="0" applyAlignment="0" applyProtection="0"/>
    <xf numFmtId="43" fontId="82" fillId="0" borderId="0" applyFont="0" applyFill="0" applyBorder="0" applyAlignment="0" applyProtection="0"/>
  </cellStyleXfs>
  <cellXfs count="1187">
    <xf numFmtId="164" fontId="0" fillId="0" borderId="0" xfId="0"/>
    <xf numFmtId="0" fontId="3" fillId="0" borderId="0" xfId="5" quotePrefix="1" applyFont="1" applyAlignment="1" applyProtection="1">
      <alignment horizontal="left"/>
      <protection locked="0"/>
    </xf>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2" fillId="0" borderId="0" xfId="5" applyAlignment="1">
      <alignment horizontal="right"/>
    </xf>
    <xf numFmtId="0" fontId="3" fillId="0" borderId="0" xfId="5" applyFont="1" applyAlignment="1">
      <alignment horizontal="right"/>
    </xf>
    <xf numFmtId="0" fontId="3" fillId="0" borderId="0" xfId="5" quotePrefix="1" applyFont="1" applyAlignment="1" applyProtection="1">
      <alignment horizontal="center"/>
      <protection locked="0"/>
    </xf>
    <xf numFmtId="3" fontId="3" fillId="0" borderId="0" xfId="5" applyNumberFormat="1" applyFont="1"/>
    <xf numFmtId="3" fontId="3" fillId="0" borderId="0" xfId="5" applyNumberFormat="1" applyFont="1" applyAlignment="1">
      <alignment horizontal="center"/>
    </xf>
    <xf numFmtId="0" fontId="3" fillId="2" borderId="0" xfId="5" applyFont="1" applyFill="1" applyProtection="1">
      <protection locked="0"/>
    </xf>
    <xf numFmtId="0" fontId="2" fillId="2" borderId="0" xfId="5" applyFill="1"/>
    <xf numFmtId="0" fontId="3" fillId="2" borderId="0" xfId="5" applyFont="1" applyFill="1"/>
    <xf numFmtId="0" fontId="3" fillId="2" borderId="0" xfId="5" applyFont="1" applyFill="1" applyAlignment="1">
      <alignment horizontal="right"/>
    </xf>
    <xf numFmtId="0" fontId="3" fillId="0" borderId="0" xfId="5" applyFont="1"/>
    <xf numFmtId="0" fontId="3" fillId="3" borderId="0" xfId="5" applyFont="1" applyFill="1" applyAlignment="1">
      <alignment horizontal="left"/>
    </xf>
    <xf numFmtId="0" fontId="2" fillId="3" borderId="0" xfId="5" applyFill="1"/>
    <xf numFmtId="0" fontId="3" fillId="3" borderId="0" xfId="5" quotePrefix="1" applyFont="1" applyFill="1" applyAlignment="1" applyProtection="1">
      <alignment horizontal="right"/>
      <protection locked="0"/>
    </xf>
    <xf numFmtId="164" fontId="0" fillId="0" borderId="0" xfId="0" applyAlignment="1">
      <alignment horizontal="center"/>
    </xf>
    <xf numFmtId="0" fontId="2" fillId="0" borderId="0" xfId="5" applyAlignment="1" applyProtection="1">
      <alignment horizontal="center"/>
      <protection locked="0"/>
    </xf>
    <xf numFmtId="164" fontId="5" fillId="0" borderId="0" xfId="0" applyFont="1" applyAlignment="1">
      <alignment horizontal="center"/>
    </xf>
    <xf numFmtId="49" fontId="3" fillId="0" borderId="0" xfId="5" applyNumberFormat="1" applyFont="1"/>
    <xf numFmtId="49" fontId="3" fillId="0" borderId="0" xfId="5" quotePrefix="1" applyNumberFormat="1" applyFont="1" applyAlignment="1">
      <alignment horizontal="center"/>
    </xf>
    <xf numFmtId="0" fontId="3" fillId="0" borderId="0" xfId="5" applyFont="1" applyAlignment="1" applyProtection="1">
      <alignment horizontal="center"/>
      <protection locked="0"/>
    </xf>
    <xf numFmtId="0" fontId="2" fillId="0" borderId="1" xfId="5" applyBorder="1" applyAlignment="1" applyProtection="1">
      <alignment horizontal="center"/>
      <protection locked="0"/>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3" fontId="7"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xf>
    <xf numFmtId="167" fontId="3" fillId="0" borderId="0" xfId="5" applyNumberFormat="1" applyFont="1"/>
    <xf numFmtId="165" fontId="2" fillId="0" borderId="0" xfId="1" applyNumberFormat="1" applyFont="1" applyAlignme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0" fontId="3" fillId="0" borderId="0" xfId="5" applyFont="1" applyAlignment="1">
      <alignment horizontal="center"/>
    </xf>
    <xf numFmtId="49" fontId="3" fillId="0" borderId="0" xfId="5" applyNumberFormat="1" applyFont="1" applyAlignment="1">
      <alignment horizontal="center"/>
    </xf>
    <xf numFmtId="3" fontId="2" fillId="0" borderId="0" xfId="5" applyNumberFormat="1"/>
    <xf numFmtId="0" fontId="9" fillId="0" borderId="0" xfId="5" applyFont="1"/>
    <xf numFmtId="3" fontId="3" fillId="0" borderId="0" xfId="5" applyNumberFormat="1" applyFont="1" applyAlignment="1">
      <alignment horizontal="center" wrapText="1"/>
    </xf>
    <xf numFmtId="0" fontId="0" fillId="0" borderId="0" xfId="5" applyFont="1" applyAlignment="1">
      <alignment horizontal="center"/>
    </xf>
    <xf numFmtId="0" fontId="2" fillId="0" borderId="0" xfId="5" applyAlignment="1">
      <alignment horizontal="center"/>
    </xf>
    <xf numFmtId="0" fontId="0" fillId="0" borderId="0" xfId="5" applyFont="1"/>
    <xf numFmtId="165" fontId="3" fillId="0" borderId="0" xfId="5" applyNumberFormat="1" applyFont="1"/>
    <xf numFmtId="43" fontId="3" fillId="0" borderId="0" xfId="1" applyFont="1" applyFill="1" applyBorder="1"/>
    <xf numFmtId="165" fontId="3" fillId="0" borderId="0" xfId="1" applyNumberFormat="1" applyFont="1" applyFill="1" applyBorder="1"/>
    <xf numFmtId="3" fontId="10" fillId="0" borderId="0" xfId="5" applyNumberFormat="1" applyFont="1" applyAlignment="1">
      <alignment horizontal="right"/>
    </xf>
    <xf numFmtId="43" fontId="2" fillId="0" borderId="0" xfId="1" applyFont="1" applyFill="1" applyBorder="1" applyAlignment="1"/>
    <xf numFmtId="42" fontId="3" fillId="0" borderId="0" xfId="5" applyNumberFormat="1" applyFont="1" applyProtection="1">
      <protection locked="0"/>
    </xf>
    <xf numFmtId="42" fontId="2" fillId="0" borderId="0" xfId="5" applyNumberFormat="1"/>
    <xf numFmtId="168" fontId="3" fillId="0" borderId="0" xfId="5" applyNumberFormat="1" applyFont="1"/>
    <xf numFmtId="168" fontId="3" fillId="0" borderId="0" xfId="5" applyNumberFormat="1" applyFont="1" applyAlignment="1">
      <alignment horizontal="center"/>
    </xf>
    <xf numFmtId="169" fontId="3" fillId="0" borderId="0" xfId="5" applyNumberFormat="1" applyFont="1"/>
    <xf numFmtId="3" fontId="3" fillId="0" borderId="0" xfId="5" applyNumberFormat="1" applyFont="1" applyAlignment="1">
      <alignment horizontal="left"/>
    </xf>
    <xf numFmtId="165" fontId="3" fillId="0" borderId="0" xfId="1" quotePrefix="1" applyNumberFormat="1" applyFont="1" applyFill="1" applyBorder="1" applyAlignment="1"/>
    <xf numFmtId="165" fontId="3" fillId="0" borderId="0" xfId="1" quotePrefix="1" applyNumberFormat="1" applyFont="1" applyFill="1" applyBorder="1" applyAlignment="1" applyProtection="1">
      <protection locked="0"/>
    </xf>
    <xf numFmtId="169" fontId="3" fillId="0" borderId="0" xfId="5" applyNumberFormat="1" applyFont="1" applyProtection="1">
      <protection locked="0"/>
    </xf>
    <xf numFmtId="165" fontId="3" fillId="0" borderId="0" xfId="1" quotePrefix="1" applyNumberFormat="1" applyFont="1" applyFill="1" applyBorder="1" applyProtection="1">
      <protection locked="0"/>
    </xf>
    <xf numFmtId="165" fontId="2" fillId="0" borderId="0" xfId="5" applyNumberFormat="1"/>
    <xf numFmtId="169" fontId="2" fillId="0" borderId="0" xfId="5" applyNumberFormat="1"/>
    <xf numFmtId="0" fontId="10" fillId="0" borderId="0" xfId="5" quotePrefix="1" applyFont="1" applyAlignment="1">
      <alignment horizontal="left"/>
    </xf>
    <xf numFmtId="0" fontId="8" fillId="0" borderId="0" xfId="5" quotePrefix="1" applyFont="1" applyAlignment="1">
      <alignment horizontal="left" indent="1"/>
    </xf>
    <xf numFmtId="170" fontId="3" fillId="0" borderId="0" xfId="5" applyNumberFormat="1" applyFont="1"/>
    <xf numFmtId="0" fontId="3" fillId="3" borderId="0" xfId="5" applyFont="1" applyFill="1"/>
    <xf numFmtId="164" fontId="11" fillId="0" borderId="0" xfId="0" applyFont="1" applyAlignment="1">
      <alignment horizontal="center"/>
    </xf>
    <xf numFmtId="3" fontId="0" fillId="0" borderId="0" xfId="5" applyNumberFormat="1" applyFont="1" applyAlignment="1">
      <alignment horizontal="right"/>
    </xf>
    <xf numFmtId="49" fontId="3" fillId="0" borderId="0" xfId="5" applyNumberFormat="1" applyFont="1" applyAlignment="1">
      <alignment horizontal="left"/>
    </xf>
    <xf numFmtId="3" fontId="11" fillId="0" borderId="0" xfId="5" applyNumberFormat="1" applyFont="1" applyAlignment="1">
      <alignment horizontal="center"/>
    </xf>
    <xf numFmtId="0" fontId="11" fillId="0" borderId="0" xfId="5" applyFont="1" applyAlignment="1" applyProtection="1">
      <alignment horizontal="center"/>
      <protection locked="0"/>
    </xf>
    <xf numFmtId="0" fontId="11" fillId="0" borderId="0" xfId="5" applyFont="1" applyAlignment="1">
      <alignment horizontal="center"/>
    </xf>
    <xf numFmtId="3" fontId="11" fillId="0" borderId="0" xfId="5" applyNumberFormat="1" applyFont="1"/>
    <xf numFmtId="0" fontId="12" fillId="0" borderId="0" xfId="5" applyFont="1" applyAlignment="1" applyProtection="1">
      <alignment horizontal="center"/>
      <protection locked="0"/>
    </xf>
    <xf numFmtId="0" fontId="11" fillId="0" borderId="0" xfId="5" applyFont="1"/>
    <xf numFmtId="165" fontId="3" fillId="0" borderId="0" xfId="1" applyNumberFormat="1" applyFont="1" applyFill="1" applyAlignment="1"/>
    <xf numFmtId="3" fontId="13" fillId="0" borderId="0" xfId="5" applyNumberFormat="1" applyFont="1"/>
    <xf numFmtId="3" fontId="4" fillId="0" borderId="0" xfId="5" quotePrefix="1" applyNumberFormat="1" applyFont="1" applyAlignment="1">
      <alignment horizontal="right"/>
    </xf>
    <xf numFmtId="0" fontId="8" fillId="0" borderId="0" xfId="5" quotePrefix="1" applyFont="1" applyAlignment="1">
      <alignment horizontal="left"/>
    </xf>
    <xf numFmtId="41" fontId="2" fillId="0" borderId="0" xfId="5" applyNumberFormat="1" applyAlignment="1">
      <alignment horizontal="right"/>
    </xf>
    <xf numFmtId="166" fontId="3" fillId="0" borderId="0" xfId="1" applyNumberFormat="1" applyFont="1" applyFill="1" applyAlignment="1">
      <alignment horizontal="center"/>
    </xf>
    <xf numFmtId="3" fontId="3" fillId="0" borderId="0" xfId="5" applyNumberFormat="1" applyFont="1" applyAlignment="1">
      <alignment horizontal="right"/>
    </xf>
    <xf numFmtId="166" fontId="3" fillId="0" borderId="0" xfId="1" applyNumberFormat="1" applyFont="1" applyAlignment="1">
      <alignment horizontal="center"/>
    </xf>
    <xf numFmtId="171" fontId="3" fillId="0" borderId="0" xfId="5" applyNumberFormat="1" applyFont="1" applyAlignment="1">
      <alignment horizontal="center"/>
    </xf>
    <xf numFmtId="165" fontId="2" fillId="0" borderId="0" xfId="1" applyNumberFormat="1" applyFont="1" applyFill="1" applyAlignment="1"/>
    <xf numFmtId="166" fontId="2" fillId="0" borderId="0" xfId="1" applyNumberFormat="1" applyFont="1" applyFill="1" applyAlignment="1"/>
    <xf numFmtId="166" fontId="3" fillId="0" borderId="0" xfId="1" applyNumberFormat="1" applyFont="1" applyFill="1" applyAlignment="1"/>
    <xf numFmtId="165" fontId="3" fillId="0" borderId="0" xfId="1" applyNumberFormat="1" applyFont="1" applyFill="1" applyBorder="1" applyAlignment="1"/>
    <xf numFmtId="166" fontId="3" fillId="0" borderId="0" xfId="1" applyNumberFormat="1" applyFont="1" applyFill="1" applyBorder="1" applyAlignment="1"/>
    <xf numFmtId="0" fontId="0"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0" fontId="3" fillId="0" borderId="3" xfId="5" applyFont="1" applyBorder="1"/>
    <xf numFmtId="166" fontId="3" fillId="0" borderId="3" xfId="1" applyNumberFormat="1" applyFont="1" applyFill="1" applyBorder="1" applyAlignment="1"/>
    <xf numFmtId="165" fontId="2" fillId="0" borderId="1" xfId="1" applyNumberFormat="1" applyFont="1" applyBorder="1" applyAlignment="1"/>
    <xf numFmtId="165" fontId="3" fillId="0" borderId="2" xfId="1" applyNumberFormat="1" applyFont="1" applyBorder="1" applyAlignment="1"/>
    <xf numFmtId="0" fontId="4" fillId="0" borderId="0" xfId="5" quotePrefix="1" applyFont="1" applyAlignment="1">
      <alignment horizontal="left"/>
    </xf>
    <xf numFmtId="0" fontId="4" fillId="0" borderId="0" xfId="5" applyFont="1" applyAlignment="1">
      <alignment horizontal="left"/>
    </xf>
    <xf numFmtId="165" fontId="3" fillId="0" borderId="0" xfId="1" applyNumberFormat="1" applyFont="1" applyAlignment="1" applyProtection="1">
      <protection locked="0"/>
    </xf>
    <xf numFmtId="165" fontId="3" fillId="0" borderId="0" xfId="1" applyNumberFormat="1" applyFont="1" applyAlignment="1" applyProtection="1">
      <alignment horizontal="right"/>
      <protection locked="0"/>
    </xf>
    <xf numFmtId="165" fontId="3" fillId="0" borderId="0" xfId="1" applyNumberFormat="1" applyFont="1" applyAlignment="1">
      <alignment horizontal="right"/>
    </xf>
    <xf numFmtId="165" fontId="3" fillId="0" borderId="0" xfId="1" applyNumberFormat="1" applyFont="1" applyProtection="1">
      <protection locked="0"/>
    </xf>
    <xf numFmtId="165" fontId="3" fillId="0" borderId="0" xfId="1" applyNumberFormat="1" applyFont="1" applyAlignment="1">
      <alignment horizontal="center"/>
    </xf>
    <xf numFmtId="0" fontId="2" fillId="0" borderId="0" xfId="5" applyProtection="1">
      <protection locked="0"/>
    </xf>
    <xf numFmtId="165" fontId="2" fillId="0" borderId="0" xfId="1" applyNumberFormat="1" applyFont="1" applyProtection="1">
      <protection locked="0"/>
    </xf>
    <xf numFmtId="165" fontId="11" fillId="0" borderId="0" xfId="1" applyNumberFormat="1" applyFont="1" applyAlignment="1" applyProtection="1">
      <alignment horizontal="center"/>
      <protection locked="0"/>
    </xf>
    <xf numFmtId="165" fontId="12" fillId="0" borderId="0" xfId="1" applyNumberFormat="1" applyFont="1" applyAlignment="1" applyProtection="1">
      <alignment horizontal="center"/>
      <protection locked="0"/>
    </xf>
    <xf numFmtId="0" fontId="15" fillId="0" borderId="0" xfId="5" applyFont="1" applyAlignment="1">
      <alignment horizontal="center"/>
    </xf>
    <xf numFmtId="3" fontId="15" fillId="0" borderId="0" xfId="5" applyNumberFormat="1" applyFont="1"/>
    <xf numFmtId="165" fontId="3" fillId="3" borderId="0" xfId="1" applyNumberFormat="1" applyFont="1" applyFill="1" applyAlignment="1"/>
    <xf numFmtId="3" fontId="8" fillId="0" borderId="0" xfId="5" quotePrefix="1" applyNumberFormat="1" applyFont="1" applyAlignment="1">
      <alignment horizontal="left"/>
    </xf>
    <xf numFmtId="172" fontId="3" fillId="0" borderId="0" xfId="5" applyNumberFormat="1" applyFont="1" applyAlignment="1">
      <alignment horizontal="left"/>
    </xf>
    <xf numFmtId="0" fontId="0" fillId="0" borderId="0" xfId="5" applyFont="1" applyAlignment="1" applyProtection="1">
      <alignment horizontal="center"/>
      <protection locked="0"/>
    </xf>
    <xf numFmtId="165" fontId="3" fillId="2" borderId="0" xfId="1" applyNumberFormat="1" applyFont="1" applyFill="1" applyAlignment="1"/>
    <xf numFmtId="165" fontId="2" fillId="0" borderId="3" xfId="1" applyNumberFormat="1" applyFont="1" applyBorder="1" applyAlignment="1"/>
    <xf numFmtId="3" fontId="3" fillId="2" borderId="0" xfId="0" applyNumberFormat="1" applyFont="1" applyFill="1"/>
    <xf numFmtId="3" fontId="16" fillId="0" borderId="0" xfId="0" applyNumberFormat="1" applyFont="1"/>
    <xf numFmtId="166" fontId="3" fillId="0" borderId="0" xfId="1" applyNumberFormat="1" applyFont="1" applyFill="1" applyAlignment="1">
      <alignment horizontal="right"/>
    </xf>
    <xf numFmtId="171" fontId="3" fillId="0" borderId="0" xfId="5" applyNumberFormat="1" applyFont="1" applyAlignment="1">
      <alignment horizontal="left"/>
    </xf>
    <xf numFmtId="167" fontId="3" fillId="0" borderId="0" xfId="5" applyNumberFormat="1" applyFont="1" applyAlignment="1">
      <alignment horizontal="center"/>
    </xf>
    <xf numFmtId="4" fontId="3" fillId="0" borderId="0" xfId="5" applyNumberFormat="1" applyFont="1"/>
    <xf numFmtId="43" fontId="2" fillId="0" borderId="0" xfId="5" applyNumberFormat="1"/>
    <xf numFmtId="164" fontId="3" fillId="0" borderId="0" xfId="6" applyFont="1"/>
    <xf numFmtId="43" fontId="3" fillId="0" borderId="0" xfId="1" applyFont="1" applyAlignment="1">
      <alignment horizontal="center"/>
    </xf>
    <xf numFmtId="10" fontId="3" fillId="0" borderId="0" xfId="5" applyNumberFormat="1" applyFont="1" applyAlignment="1">
      <alignment horizontal="left"/>
    </xf>
    <xf numFmtId="43" fontId="3" fillId="0" borderId="0" xfId="1" applyFont="1" applyAlignment="1"/>
    <xf numFmtId="0" fontId="2" fillId="0" borderId="3" xfId="5" applyBorder="1"/>
    <xf numFmtId="10" fontId="3" fillId="0" borderId="3" xfId="5" applyNumberFormat="1" applyFont="1" applyBorder="1" applyAlignment="1">
      <alignment horizontal="left"/>
    </xf>
    <xf numFmtId="171" fontId="3" fillId="0" borderId="0" xfId="5" applyNumberFormat="1" applyFont="1" applyAlignment="1" applyProtection="1">
      <alignment horizontal="left"/>
      <protection locked="0"/>
    </xf>
    <xf numFmtId="165" fontId="3" fillId="0" borderId="0" xfId="1" applyNumberFormat="1" applyFont="1" applyFill="1" applyAlignment="1">
      <alignment horizontal="right"/>
    </xf>
    <xf numFmtId="173" fontId="3" fillId="0" borderId="0" xfId="5" applyNumberFormat="1" applyFont="1"/>
    <xf numFmtId="165" fontId="3" fillId="0" borderId="0" xfId="1" applyNumberFormat="1" applyFont="1" applyBorder="1" applyAlignment="1"/>
    <xf numFmtId="165" fontId="3" fillId="0" borderId="0" xfId="5" applyNumberFormat="1" applyFont="1" applyAlignment="1">
      <alignment horizontal="center"/>
    </xf>
    <xf numFmtId="43" fontId="3" fillId="0" borderId="0" xfId="1" applyFont="1" applyBorder="1" applyAlignment="1"/>
    <xf numFmtId="10" fontId="3" fillId="0" borderId="0" xfId="4" applyNumberFormat="1" applyFont="1" applyBorder="1" applyAlignment="1"/>
    <xf numFmtId="0" fontId="17" fillId="0" borderId="0" xfId="5" applyFont="1"/>
    <xf numFmtId="3" fontId="2" fillId="0" borderId="0" xfId="5" applyNumberFormat="1" applyAlignment="1">
      <alignment horizontal="right"/>
    </xf>
    <xf numFmtId="0" fontId="3" fillId="0" borderId="1" xfId="5" applyFont="1" applyBorder="1" applyProtection="1">
      <protection locked="0"/>
    </xf>
    <xf numFmtId="0" fontId="3" fillId="0" borderId="1" xfId="5" applyFont="1" applyBorder="1"/>
    <xf numFmtId="43" fontId="3" fillId="0" borderId="0" xfId="1" applyFont="1" applyFill="1" applyAlignment="1">
      <alignment horizontal="right"/>
    </xf>
    <xf numFmtId="174" fontId="3" fillId="0" borderId="0" xfId="5" applyNumberFormat="1" applyFont="1" applyAlignment="1">
      <alignment horizontal="right"/>
    </xf>
    <xf numFmtId="3" fontId="3" fillId="0" borderId="1" xfId="5" applyNumberFormat="1" applyFont="1" applyBorder="1"/>
    <xf numFmtId="3" fontId="3" fillId="0" borderId="1" xfId="5" applyNumberFormat="1" applyFont="1" applyBorder="1" applyAlignment="1">
      <alignment horizontal="center"/>
    </xf>
    <xf numFmtId="43" fontId="3" fillId="3" borderId="0" xfId="1" applyFont="1" applyFill="1" applyAlignment="1"/>
    <xf numFmtId="43" fontId="3" fillId="3" borderId="1" xfId="1" applyFont="1" applyFill="1" applyBorder="1" applyAlignment="1"/>
    <xf numFmtId="43" fontId="3" fillId="0" borderId="1" xfId="1" applyFont="1" applyBorder="1" applyAlignment="1"/>
    <xf numFmtId="3" fontId="4" fillId="0" borderId="0" xfId="5" applyNumberFormat="1" applyFont="1"/>
    <xf numFmtId="3" fontId="7" fillId="0" borderId="0" xfId="5" applyNumberFormat="1" applyFont="1"/>
    <xf numFmtId="43" fontId="3" fillId="0" borderId="0" xfId="1" quotePrefix="1" applyFont="1" applyFill="1" applyAlignment="1">
      <alignment horizontal="right"/>
    </xf>
    <xf numFmtId="10" fontId="3" fillId="2" borderId="0" xfId="4" applyNumberFormat="1" applyFont="1" applyFill="1" applyAlignment="1"/>
    <xf numFmtId="43" fontId="3" fillId="2" borderId="0" xfId="1" applyFont="1" applyFill="1" applyAlignment="1"/>
    <xf numFmtId="175" fontId="3" fillId="0" borderId="0" xfId="1" applyNumberFormat="1" applyFont="1" applyAlignment="1"/>
    <xf numFmtId="3" fontId="3" fillId="0" borderId="0" xfId="5" quotePrefix="1" applyNumberFormat="1" applyFont="1"/>
    <xf numFmtId="43" fontId="3" fillId="0" borderId="1" xfId="1" quotePrefix="1" applyFont="1" applyBorder="1" applyAlignment="1">
      <alignment horizontal="right"/>
    </xf>
    <xf numFmtId="10" fontId="3" fillId="0" borderId="0" xfId="4" applyNumberFormat="1" applyFont="1" applyFill="1" applyAlignment="1"/>
    <xf numFmtId="175" fontId="3" fillId="0" borderId="1" xfId="1" applyNumberFormat="1" applyFont="1" applyBorder="1" applyAlignment="1"/>
    <xf numFmtId="9" fontId="2" fillId="0" borderId="0" xfId="5" applyNumberFormat="1"/>
    <xf numFmtId="164" fontId="18" fillId="0" borderId="0" xfId="0" applyFont="1"/>
    <xf numFmtId="42" fontId="0" fillId="0" borderId="0" xfId="5" applyNumberFormat="1" applyFont="1" applyAlignment="1">
      <alignment horizontal="center" wrapText="1"/>
    </xf>
    <xf numFmtId="165" fontId="2" fillId="2" borderId="0" xfId="5" applyNumberFormat="1" applyFill="1"/>
    <xf numFmtId="0" fontId="0" fillId="0" borderId="0" xfId="5" applyFont="1" applyAlignment="1">
      <alignment horizontal="left"/>
    </xf>
    <xf numFmtId="164" fontId="0" fillId="0" borderId="0" xfId="5" applyNumberFormat="1" applyFont="1"/>
    <xf numFmtId="165" fontId="2" fillId="2" borderId="0" xfId="1" applyNumberFormat="1" applyFont="1" applyFill="1" applyAlignment="1"/>
    <xf numFmtId="0" fontId="0" fillId="0" borderId="0" xfId="5" applyFont="1" applyAlignment="1">
      <alignment wrapText="1"/>
    </xf>
    <xf numFmtId="0" fontId="2" fillId="0" borderId="0" xfId="5" quotePrefix="1"/>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19" fillId="0" borderId="0" xfId="5" applyFont="1"/>
    <xf numFmtId="164" fontId="3" fillId="0" borderId="0" xfId="5" applyNumberFormat="1" applyFont="1" applyProtection="1">
      <protection locked="0"/>
    </xf>
    <xf numFmtId="0" fontId="2" fillId="0" borderId="0" xfId="5" applyProtection="1"/>
    <xf numFmtId="3" fontId="2" fillId="0" borderId="0" xfId="5" applyNumberFormat="1" applyProtection="1"/>
    <xf numFmtId="0" fontId="18" fillId="0" borderId="0" xfId="5" applyFont="1" applyAlignment="1" applyProtection="1">
      <alignment horizontal="center"/>
      <protection locked="0"/>
    </xf>
    <xf numFmtId="0" fontId="19" fillId="0" borderId="0" xfId="5" applyFont="1" applyAlignment="1" applyProtection="1">
      <alignment horizontal="center"/>
      <protection locked="0"/>
    </xf>
    <xf numFmtId="0" fontId="19" fillId="0" borderId="0" xfId="5" applyFont="1" applyProtection="1">
      <protection locked="0"/>
    </xf>
    <xf numFmtId="164" fontId="20" fillId="0" borderId="0" xfId="5" applyNumberFormat="1" applyFont="1" applyProtection="1">
      <protection locked="0"/>
    </xf>
    <xf numFmtId="3" fontId="20" fillId="0" borderId="0" xfId="5" applyNumberFormat="1" applyFont="1"/>
    <xf numFmtId="0" fontId="20" fillId="0" borderId="0" xfId="5" applyFont="1" applyProtection="1">
      <protection locked="0"/>
    </xf>
    <xf numFmtId="176" fontId="19" fillId="0" borderId="0" xfId="5" applyNumberFormat="1" applyFont="1" applyProtection="1">
      <protection locked="0"/>
    </xf>
    <xf numFmtId="0" fontId="19" fillId="0" borderId="0" xfId="5" applyFont="1" applyProtection="1"/>
    <xf numFmtId="3" fontId="19" fillId="0" borderId="0" xfId="5" applyNumberFormat="1" applyFont="1" applyProtection="1"/>
    <xf numFmtId="0" fontId="21" fillId="0" borderId="0" xfId="5" applyFont="1" applyAlignment="1" applyProtection="1">
      <alignment horizontal="center"/>
      <protection locked="0"/>
    </xf>
    <xf numFmtId="0" fontId="20" fillId="0" borderId="0" xfId="5" applyFont="1" applyAlignment="1" applyProtection="1">
      <alignment horizontal="center"/>
      <protection locked="0"/>
    </xf>
    <xf numFmtId="3" fontId="19" fillId="0" borderId="0" xfId="5" applyNumberFormat="1" applyFont="1"/>
    <xf numFmtId="0" fontId="19" fillId="0" borderId="1" xfId="5" applyFont="1" applyBorder="1" applyAlignment="1" applyProtection="1">
      <alignment horizontal="center"/>
      <protection locked="0"/>
    </xf>
    <xf numFmtId="0" fontId="22" fillId="0" borderId="0" xfId="5" applyFont="1" applyAlignment="1" applyProtection="1">
      <alignment horizontal="center"/>
      <protection locked="0"/>
    </xf>
    <xf numFmtId="0" fontId="22" fillId="0" borderId="0" xfId="5" applyFont="1" applyProtection="1">
      <protection locked="0"/>
    </xf>
    <xf numFmtId="164" fontId="22" fillId="0" borderId="0" xfId="0" applyFont="1"/>
    <xf numFmtId="0" fontId="22" fillId="0" borderId="0" xfId="5" applyFont="1"/>
    <xf numFmtId="0" fontId="18" fillId="0" borderId="0" xfId="0" applyNumberFormat="1" applyFont="1" applyProtection="1">
      <protection locked="0"/>
    </xf>
    <xf numFmtId="0" fontId="23" fillId="0" borderId="0" xfId="5" applyFont="1" applyProtection="1">
      <protection locked="0"/>
    </xf>
    <xf numFmtId="0" fontId="23" fillId="0" borderId="0" xfId="5" applyFont="1" applyAlignment="1" applyProtection="1">
      <alignment horizontal="center"/>
      <protection locked="0"/>
    </xf>
    <xf numFmtId="9" fontId="22" fillId="3" borderId="0" xfId="4" applyFont="1" applyFill="1" applyProtection="1">
      <protection locked="0"/>
    </xf>
    <xf numFmtId="10" fontId="22" fillId="3" borderId="0" xfId="4" applyNumberFormat="1" applyFont="1" applyFill="1" applyProtection="1">
      <protection locked="0"/>
    </xf>
    <xf numFmtId="3" fontId="24" fillId="0" borderId="0" xfId="5" applyNumberFormat="1" applyFont="1"/>
    <xf numFmtId="0" fontId="25" fillId="0" borderId="0" xfId="5" applyFont="1" applyAlignment="1" applyProtection="1">
      <alignment horizontal="left"/>
      <protection locked="0"/>
    </xf>
    <xf numFmtId="43" fontId="22" fillId="3" borderId="0" xfId="1" applyFont="1" applyFill="1" applyProtection="1">
      <protection locked="0"/>
    </xf>
    <xf numFmtId="10" fontId="22" fillId="0" borderId="0" xfId="5" applyNumberFormat="1" applyFont="1" applyProtection="1">
      <protection locked="0"/>
    </xf>
    <xf numFmtId="164" fontId="22" fillId="0" borderId="0" xfId="0" applyFont="1" applyAlignment="1">
      <alignment vertical="center"/>
    </xf>
    <xf numFmtId="0" fontId="22" fillId="0" borderId="0" xfId="0" applyNumberFormat="1" applyFont="1"/>
    <xf numFmtId="164" fontId="22" fillId="0" borderId="0" xfId="0" applyFont="1" applyAlignment="1">
      <alignment wrapText="1"/>
    </xf>
    <xf numFmtId="0" fontId="26" fillId="0" borderId="0" xfId="0" applyNumberFormat="1" applyFont="1"/>
    <xf numFmtId="0" fontId="22" fillId="0" borderId="0" xfId="0" applyNumberFormat="1" applyFont="1" applyAlignment="1">
      <alignment horizontal="center" vertical="top"/>
    </xf>
    <xf numFmtId="0" fontId="22" fillId="0" borderId="0" xfId="0" applyNumberFormat="1" applyFont="1" applyAlignment="1">
      <alignment horizontal="center"/>
    </xf>
    <xf numFmtId="0" fontId="22" fillId="0" borderId="0" xfId="5" applyFont="1" applyAlignment="1">
      <alignment horizontal="center"/>
    </xf>
    <xf numFmtId="0" fontId="22" fillId="0" borderId="0" xfId="7" applyFont="1" applyAlignment="1">
      <alignment vertical="center"/>
    </xf>
    <xf numFmtId="0" fontId="22" fillId="0" borderId="0" xfId="0" applyNumberFormat="1" applyFont="1" applyAlignment="1">
      <alignment horizontal="left"/>
    </xf>
    <xf numFmtId="177" fontId="22" fillId="0" borderId="0" xfId="4" applyNumberFormat="1" applyFont="1" applyFill="1"/>
    <xf numFmtId="43" fontId="22" fillId="0" borderId="0" xfId="0" applyNumberFormat="1" applyFont="1"/>
    <xf numFmtId="0" fontId="14" fillId="0" borderId="0" xfId="8" applyFont="1"/>
    <xf numFmtId="0" fontId="27" fillId="0" borderId="0" xfId="8" applyFont="1" applyAlignment="1">
      <alignment horizontal="center"/>
    </xf>
    <xf numFmtId="0" fontId="6" fillId="0" borderId="0" xfId="8"/>
    <xf numFmtId="0" fontId="27" fillId="0" borderId="0" xfId="8" applyFont="1"/>
    <xf numFmtId="165" fontId="14" fillId="0" borderId="0" xfId="9" applyNumberFormat="1" applyFont="1" applyAlignment="1"/>
    <xf numFmtId="165" fontId="14" fillId="3" borderId="0" xfId="9" applyNumberFormat="1" applyFont="1" applyFill="1" applyAlignment="1"/>
    <xf numFmtId="165" fontId="14" fillId="0" borderId="0" xfId="9" applyNumberFormat="1" applyFont="1" applyFill="1" applyBorder="1" applyAlignment="1">
      <alignment wrapText="1"/>
    </xf>
    <xf numFmtId="165" fontId="6" fillId="0" borderId="0" xfId="9" applyNumberFormat="1" applyAlignment="1"/>
    <xf numFmtId="0" fontId="14" fillId="0" borderId="0" xfId="8" applyFont="1" applyAlignment="1">
      <alignment vertical="top"/>
    </xf>
    <xf numFmtId="165" fontId="6" fillId="0" borderId="0" xfId="9" applyNumberFormat="1" applyFill="1" applyAlignment="1"/>
    <xf numFmtId="165" fontId="14" fillId="0" borderId="0" xfId="9" applyNumberFormat="1" applyFont="1" applyFill="1" applyBorder="1" applyAlignment="1"/>
    <xf numFmtId="165" fontId="14" fillId="0" borderId="0" xfId="9" applyNumberFormat="1" applyFont="1" applyFill="1" applyAlignment="1"/>
    <xf numFmtId="165" fontId="14" fillId="0" borderId="0" xfId="9" applyNumberFormat="1" applyFont="1" applyBorder="1" applyAlignment="1"/>
    <xf numFmtId="0" fontId="14" fillId="0" borderId="0" xfId="8" applyFont="1" applyAlignment="1">
      <alignment horizontal="center"/>
    </xf>
    <xf numFmtId="165" fontId="14" fillId="0" borderId="0" xfId="8" applyNumberFormat="1" applyFont="1"/>
    <xf numFmtId="0" fontId="28" fillId="0" borderId="0" xfId="8" applyFont="1"/>
    <xf numFmtId="0" fontId="29" fillId="0" borderId="0" xfId="8" applyFont="1"/>
    <xf numFmtId="164" fontId="14" fillId="0" borderId="0" xfId="0" applyFont="1"/>
    <xf numFmtId="164" fontId="6" fillId="0" borderId="0" xfId="0" applyFont="1"/>
    <xf numFmtId="164" fontId="14" fillId="0" borderId="3" xfId="0" applyFont="1" applyBorder="1"/>
    <xf numFmtId="164" fontId="14" fillId="0" borderId="0" xfId="0" applyFont="1" applyAlignment="1">
      <alignment horizontal="centerContinuous"/>
    </xf>
    <xf numFmtId="164" fontId="6" fillId="0" borderId="0" xfId="0" applyFont="1" applyAlignment="1">
      <alignment horizontal="centerContinuous"/>
    </xf>
    <xf numFmtId="0" fontId="14" fillId="0" borderId="0" xfId="0" applyNumberFormat="1" applyFont="1" applyAlignment="1">
      <alignment horizontal="center"/>
    </xf>
    <xf numFmtId="164" fontId="30" fillId="0" borderId="0" xfId="0" applyFont="1" applyAlignment="1">
      <alignment horizontal="right"/>
    </xf>
    <xf numFmtId="0" fontId="14" fillId="2" borderId="0" xfId="0" applyNumberFormat="1" applyFont="1" applyFill="1" applyAlignment="1">
      <alignment horizontal="center"/>
    </xf>
    <xf numFmtId="176" fontId="14" fillId="2" borderId="0" xfId="0" applyNumberFormat="1" applyFont="1" applyFill="1"/>
    <xf numFmtId="165" fontId="14" fillId="0" borderId="0" xfId="1" applyNumberFormat="1" applyFont="1"/>
    <xf numFmtId="165" fontId="14" fillId="2" borderId="0" xfId="1" applyNumberFormat="1" applyFont="1" applyFill="1"/>
    <xf numFmtId="176" fontId="14" fillId="0" borderId="0" xfId="0" applyNumberFormat="1" applyFont="1"/>
    <xf numFmtId="165" fontId="14" fillId="0" borderId="4" xfId="1" applyNumberFormat="1" applyFont="1" applyBorder="1"/>
    <xf numFmtId="176" fontId="27" fillId="0" borderId="0" xfId="0" applyNumberFormat="1" applyFont="1"/>
    <xf numFmtId="165" fontId="14" fillId="0" borderId="0" xfId="9" applyNumberFormat="1" applyFont="1" applyFill="1" applyAlignment="1">
      <alignment horizontal="right"/>
    </xf>
    <xf numFmtId="0" fontId="14" fillId="2" borderId="0" xfId="8" applyFont="1" applyFill="1"/>
    <xf numFmtId="165" fontId="14" fillId="3" borderId="0" xfId="9" applyNumberFormat="1" applyFont="1" applyFill="1"/>
    <xf numFmtId="165" fontId="14" fillId="6" borderId="0" xfId="9" applyNumberFormat="1" applyFont="1" applyFill="1" applyAlignment="1"/>
    <xf numFmtId="0" fontId="31" fillId="0" borderId="0" xfId="8" applyFont="1"/>
    <xf numFmtId="0" fontId="32" fillId="0" borderId="0" xfId="8" applyFont="1" applyAlignment="1">
      <alignment horizontal="left"/>
    </xf>
    <xf numFmtId="1" fontId="14" fillId="0" borderId="0" xfId="1" applyNumberFormat="1" applyFont="1"/>
    <xf numFmtId="0" fontId="33" fillId="0" borderId="0" xfId="8" applyFont="1"/>
    <xf numFmtId="0" fontId="29" fillId="7" borderId="0" xfId="8" applyFont="1" applyFill="1" applyAlignment="1">
      <alignment horizontal="center" wrapText="1"/>
    </xf>
    <xf numFmtId="0" fontId="14" fillId="0" borderId="8" xfId="8" applyFont="1" applyBorder="1" applyAlignment="1">
      <alignment horizontal="center"/>
    </xf>
    <xf numFmtId="0" fontId="34" fillId="0" borderId="0" xfId="8" applyFont="1" applyAlignment="1">
      <alignment horizontal="left"/>
    </xf>
    <xf numFmtId="1" fontId="14" fillId="0" borderId="0" xfId="1" applyNumberFormat="1" applyFont="1" applyBorder="1" applyAlignment="1">
      <alignment horizontal="center"/>
    </xf>
    <xf numFmtId="0" fontId="14" fillId="0" borderId="9" xfId="8" applyFont="1" applyBorder="1" applyAlignment="1">
      <alignment horizontal="right"/>
    </xf>
    <xf numFmtId="0" fontId="35" fillId="0" borderId="0" xfId="8" applyFont="1"/>
    <xf numFmtId="0" fontId="6" fillId="0" borderId="0" xfId="8" applyAlignment="1">
      <alignment horizontal="center" wrapText="1"/>
    </xf>
    <xf numFmtId="3" fontId="14" fillId="0" borderId="0" xfId="8" applyNumberFormat="1" applyFont="1"/>
    <xf numFmtId="1" fontId="36" fillId="3" borderId="0" xfId="1" applyNumberFormat="1" applyFont="1" applyFill="1" applyBorder="1" applyAlignment="1">
      <alignment horizontal="center"/>
    </xf>
    <xf numFmtId="165" fontId="14" fillId="3" borderId="9" xfId="9" applyNumberFormat="1" applyFont="1" applyFill="1" applyBorder="1" applyAlignment="1">
      <alignment horizontal="right"/>
    </xf>
    <xf numFmtId="3" fontId="6" fillId="0" borderId="0" xfId="8" applyNumberFormat="1" applyAlignment="1">
      <alignment horizontal="right"/>
    </xf>
    <xf numFmtId="3" fontId="6" fillId="0" borderId="0" xfId="8" applyNumberFormat="1" applyAlignment="1">
      <alignment horizontal="center"/>
    </xf>
    <xf numFmtId="0" fontId="14" fillId="0" borderId="0" xfId="8" applyFont="1" applyAlignment="1">
      <alignment horizontal="left"/>
    </xf>
    <xf numFmtId="0" fontId="6" fillId="0" borderId="0" xfId="8" applyAlignment="1">
      <alignment horizontal="right"/>
    </xf>
    <xf numFmtId="0" fontId="6" fillId="0" borderId="0" xfId="8" applyAlignment="1">
      <alignment horizontal="center"/>
    </xf>
    <xf numFmtId="0" fontId="14" fillId="0" borderId="3" xfId="8" applyFont="1" applyBorder="1" applyAlignment="1">
      <alignment horizontal="left"/>
    </xf>
    <xf numFmtId="3" fontId="14" fillId="0" borderId="3" xfId="8" applyNumberFormat="1" applyFont="1" applyBorder="1"/>
    <xf numFmtId="1" fontId="36" fillId="3" borderId="3" xfId="1" applyNumberFormat="1" applyFont="1" applyFill="1" applyBorder="1" applyAlignment="1">
      <alignment horizontal="center"/>
    </xf>
    <xf numFmtId="165" fontId="14" fillId="3" borderId="10" xfId="9" applyNumberFormat="1" applyFont="1" applyFill="1" applyBorder="1" applyAlignment="1">
      <alignment horizontal="right"/>
    </xf>
    <xf numFmtId="165" fontId="6" fillId="0" borderId="0" xfId="8" applyNumberFormat="1"/>
    <xf numFmtId="0" fontId="27" fillId="0" borderId="0" xfId="8" applyFont="1" applyAlignment="1">
      <alignment horizontal="left"/>
    </xf>
    <xf numFmtId="1" fontId="36" fillId="0" borderId="0" xfId="1" applyNumberFormat="1" applyFont="1" applyFill="1" applyBorder="1" applyAlignment="1">
      <alignment horizontal="center"/>
    </xf>
    <xf numFmtId="165" fontId="14" fillId="0" borderId="9" xfId="9" applyNumberFormat="1" applyFont="1" applyFill="1" applyBorder="1" applyAlignment="1">
      <alignment horizontal="right"/>
    </xf>
    <xf numFmtId="165" fontId="6" fillId="0" borderId="0" xfId="8" applyNumberFormat="1" applyAlignment="1">
      <alignment horizontal="right"/>
    </xf>
    <xf numFmtId="0" fontId="14" fillId="0" borderId="9" xfId="8" applyFont="1" applyBorder="1" applyAlignment="1">
      <alignment horizontal="left"/>
    </xf>
    <xf numFmtId="0" fontId="14" fillId="0" borderId="9" xfId="8" applyFont="1" applyBorder="1"/>
    <xf numFmtId="1" fontId="36" fillId="0" borderId="0" xfId="1" applyNumberFormat="1" applyFont="1" applyBorder="1" applyAlignment="1">
      <alignment horizontal="center"/>
    </xf>
    <xf numFmtId="3" fontId="14" fillId="0" borderId="9" xfId="8" applyNumberFormat="1" applyFont="1" applyBorder="1" applyAlignment="1">
      <alignment horizontal="left"/>
    </xf>
    <xf numFmtId="165" fontId="14" fillId="0" borderId="9" xfId="9" applyNumberFormat="1" applyFont="1" applyBorder="1" applyAlignment="1">
      <alignment horizontal="right"/>
    </xf>
    <xf numFmtId="165" fontId="6" fillId="0" borderId="0" xfId="9" applyNumberFormat="1" applyFont="1" applyFill="1" applyBorder="1" applyAlignment="1">
      <alignment horizontal="right"/>
    </xf>
    <xf numFmtId="0" fontId="14" fillId="0" borderId="11" xfId="8" applyFont="1" applyBorder="1" applyAlignment="1">
      <alignment horizontal="center"/>
    </xf>
    <xf numFmtId="0" fontId="14" fillId="0" borderId="1" xfId="8" applyFont="1" applyBorder="1" applyAlignment="1">
      <alignment horizontal="center"/>
    </xf>
    <xf numFmtId="0" fontId="14" fillId="0" borderId="1" xfId="8" applyFont="1" applyBorder="1" applyAlignment="1">
      <alignment horizontal="left"/>
    </xf>
    <xf numFmtId="0" fontId="14" fillId="0" borderId="1" xfId="8" applyFont="1" applyBorder="1"/>
    <xf numFmtId="1" fontId="36" fillId="0" borderId="1" xfId="1" applyNumberFormat="1" applyFont="1" applyFill="1" applyBorder="1" applyAlignment="1">
      <alignment horizontal="center"/>
    </xf>
    <xf numFmtId="0" fontId="14" fillId="0" borderId="12" xfId="8" applyFont="1" applyBorder="1" applyAlignment="1">
      <alignment horizontal="left"/>
    </xf>
    <xf numFmtId="0" fontId="32" fillId="0" borderId="8" xfId="8" applyFont="1" applyBorder="1" applyAlignment="1">
      <alignment horizontal="left"/>
    </xf>
    <xf numFmtId="1" fontId="14" fillId="0" borderId="0" xfId="1" applyNumberFormat="1" applyFont="1" applyBorder="1"/>
    <xf numFmtId="165" fontId="14" fillId="0" borderId="13" xfId="9" applyNumberFormat="1" applyFont="1" applyFill="1" applyBorder="1" applyAlignment="1">
      <alignment horizontal="right"/>
    </xf>
    <xf numFmtId="1" fontId="14" fillId="0" borderId="0" xfId="1" applyNumberFormat="1" applyFont="1" applyBorder="1" applyAlignment="1">
      <alignment horizontal="right"/>
    </xf>
    <xf numFmtId="10" fontId="6" fillId="0" borderId="0" xfId="8" applyNumberFormat="1"/>
    <xf numFmtId="10" fontId="14" fillId="0" borderId="0" xfId="4" applyNumberFormat="1" applyFont="1" applyBorder="1"/>
    <xf numFmtId="1" fontId="14" fillId="0" borderId="0" xfId="1" applyNumberFormat="1" applyFont="1" applyAlignment="1">
      <alignment horizontal="right"/>
    </xf>
    <xf numFmtId="0" fontId="6" fillId="0" borderId="6" xfId="8" applyBorder="1" applyAlignment="1">
      <alignment horizontal="center"/>
    </xf>
    <xf numFmtId="0" fontId="6" fillId="0" borderId="0" xfId="8" applyAlignment="1">
      <alignment horizontal="left"/>
    </xf>
    <xf numFmtId="0" fontId="35" fillId="0" borderId="0" xfId="8" applyFont="1" applyAlignment="1">
      <alignment horizontal="left"/>
    </xf>
    <xf numFmtId="0" fontId="35" fillId="7" borderId="15" xfId="8" applyFont="1" applyFill="1" applyBorder="1" applyAlignment="1">
      <alignment horizontal="center" wrapText="1"/>
    </xf>
    <xf numFmtId="0" fontId="6" fillId="0" borderId="5" xfId="8" applyBorder="1" applyAlignment="1">
      <alignment horizontal="left"/>
    </xf>
    <xf numFmtId="0" fontId="37" fillId="0" borderId="6" xfId="8" applyFont="1" applyBorder="1" applyAlignment="1">
      <alignment horizontal="left"/>
    </xf>
    <xf numFmtId="0" fontId="38" fillId="0" borderId="6" xfId="8" applyFont="1" applyBorder="1"/>
    <xf numFmtId="165" fontId="6" fillId="0" borderId="5" xfId="9" applyNumberFormat="1" applyFont="1" applyFill="1" applyBorder="1"/>
    <xf numFmtId="165" fontId="6" fillId="0" borderId="6" xfId="9" applyNumberFormat="1" applyFont="1" applyFill="1" applyBorder="1" applyAlignment="1">
      <alignment horizontal="center"/>
    </xf>
    <xf numFmtId="165" fontId="37" fillId="0" borderId="6" xfId="9" applyNumberFormat="1" applyFont="1" applyFill="1" applyBorder="1"/>
    <xf numFmtId="0" fontId="35" fillId="0" borderId="6" xfId="8" applyFont="1" applyBorder="1" applyAlignment="1">
      <alignment horizontal="center" wrapText="1"/>
    </xf>
    <xf numFmtId="0" fontId="6" fillId="0" borderId="6" xfId="8" applyBorder="1" applyAlignment="1">
      <alignment horizontal="center" wrapText="1"/>
    </xf>
    <xf numFmtId="0" fontId="6" fillId="0" borderId="7" xfId="8" applyBorder="1" applyAlignment="1">
      <alignment horizontal="center" wrapText="1"/>
    </xf>
    <xf numFmtId="0" fontId="6" fillId="0" borderId="8" xfId="5" applyFont="1" applyBorder="1" applyAlignment="1" applyProtection="1">
      <alignment horizontal="center"/>
      <protection locked="0"/>
    </xf>
    <xf numFmtId="0" fontId="6" fillId="0" borderId="0" xfId="5" applyFont="1"/>
    <xf numFmtId="165" fontId="6" fillId="3" borderId="0" xfId="9" applyNumberFormat="1" applyFont="1" applyFill="1" applyBorder="1" applyAlignment="1">
      <alignment horizontal="right"/>
    </xf>
    <xf numFmtId="165" fontId="6" fillId="0" borderId="8" xfId="1" applyNumberFormat="1" applyFont="1" applyFill="1" applyBorder="1" applyAlignment="1"/>
    <xf numFmtId="174" fontId="6" fillId="0" borderId="0" xfId="5" applyNumberFormat="1" applyFont="1"/>
    <xf numFmtId="3" fontId="6" fillId="0" borderId="0" xfId="5" applyNumberFormat="1" applyFont="1"/>
    <xf numFmtId="3" fontId="6" fillId="0" borderId="0" xfId="5" applyNumberFormat="1" applyFont="1" applyAlignment="1">
      <alignment horizontal="right"/>
    </xf>
    <xf numFmtId="0" fontId="38" fillId="0" borderId="9" xfId="5" applyFont="1" applyBorder="1"/>
    <xf numFmtId="3" fontId="8" fillId="0" borderId="0" xfId="5" applyNumberFormat="1" applyFont="1"/>
    <xf numFmtId="43" fontId="6" fillId="0" borderId="0" xfId="1" applyFont="1" applyFill="1" applyBorder="1" applyAlignment="1">
      <alignment horizontal="right"/>
    </xf>
    <xf numFmtId="43" fontId="3" fillId="0" borderId="8" xfId="1" applyFont="1" applyFill="1" applyBorder="1" applyAlignment="1"/>
    <xf numFmtId="174" fontId="3" fillId="0" borderId="0" xfId="5" applyNumberFormat="1" applyFont="1"/>
    <xf numFmtId="0" fontId="39" fillId="0" borderId="0" xfId="5" applyFont="1" applyAlignment="1">
      <alignment horizontal="left"/>
    </xf>
    <xf numFmtId="165" fontId="3" fillId="0" borderId="8" xfId="1" applyNumberFormat="1" applyFont="1" applyFill="1" applyBorder="1" applyAlignment="1"/>
    <xf numFmtId="0" fontId="2" fillId="0" borderId="8" xfId="5" applyBorder="1"/>
    <xf numFmtId="43" fontId="6" fillId="0" borderId="0" xfId="1" applyFont="1" applyFill="1" applyBorder="1" applyAlignment="1"/>
    <xf numFmtId="165" fontId="6" fillId="0" borderId="0" xfId="9" applyNumberFormat="1" applyFont="1" applyFill="1" applyBorder="1" applyAlignment="1">
      <alignment horizontal="center"/>
    </xf>
    <xf numFmtId="3" fontId="6" fillId="0" borderId="8" xfId="5" applyNumberFormat="1" applyFont="1" applyBorder="1"/>
    <xf numFmtId="0" fontId="6" fillId="0" borderId="8" xfId="8" applyBorder="1" applyAlignment="1">
      <alignment horizontal="center"/>
    </xf>
    <xf numFmtId="165" fontId="38" fillId="3" borderId="0" xfId="1" applyNumberFormat="1" applyFont="1" applyFill="1" applyBorder="1" applyAlignment="1">
      <alignment horizontal="center"/>
    </xf>
    <xf numFmtId="165" fontId="3" fillId="3" borderId="0" xfId="9" applyNumberFormat="1" applyFont="1" applyFill="1" applyBorder="1" applyAlignment="1"/>
    <xf numFmtId="0" fontId="6" fillId="0" borderId="3" xfId="8" applyBorder="1" applyAlignment="1">
      <alignment horizontal="left"/>
    </xf>
    <xf numFmtId="3" fontId="6" fillId="0" borderId="3" xfId="8" applyNumberFormat="1" applyBorder="1"/>
    <xf numFmtId="165" fontId="38" fillId="3" borderId="3" xfId="1" applyNumberFormat="1" applyFont="1" applyFill="1" applyBorder="1" applyAlignment="1">
      <alignment horizontal="center"/>
    </xf>
    <xf numFmtId="165" fontId="3" fillId="3" borderId="10" xfId="9" applyNumberFormat="1" applyFont="1" applyFill="1" applyBorder="1" applyAlignment="1"/>
    <xf numFmtId="0" fontId="37" fillId="0" borderId="0" xfId="8" applyFont="1" applyAlignment="1">
      <alignment horizontal="left"/>
    </xf>
    <xf numFmtId="3" fontId="38" fillId="0" borderId="0" xfId="8" applyNumberFormat="1" applyFont="1" applyAlignment="1">
      <alignment horizontal="center"/>
    </xf>
    <xf numFmtId="3" fontId="6" fillId="0" borderId="11" xfId="5" applyNumberFormat="1" applyFont="1" applyBorder="1"/>
    <xf numFmtId="174" fontId="6" fillId="0" borderId="1" xfId="5" applyNumberFormat="1" applyFont="1" applyBorder="1"/>
    <xf numFmtId="3" fontId="6" fillId="0" borderId="1" xfId="5" applyNumberFormat="1" applyFont="1" applyBorder="1"/>
    <xf numFmtId="3" fontId="6" fillId="0" borderId="1" xfId="5" applyNumberFormat="1" applyFont="1" applyBorder="1" applyAlignment="1">
      <alignment horizontal="right"/>
    </xf>
    <xf numFmtId="0" fontId="38" fillId="0" borderId="12" xfId="5" applyFont="1" applyBorder="1"/>
    <xf numFmtId="0" fontId="6" fillId="0" borderId="11" xfId="8" applyBorder="1" applyAlignment="1">
      <alignment horizontal="center"/>
    </xf>
    <xf numFmtId="0" fontId="6" fillId="0" borderId="1" xfId="8" applyBorder="1" applyAlignment="1">
      <alignment horizontal="center"/>
    </xf>
    <xf numFmtId="0" fontId="35" fillId="0" borderId="1" xfId="8" applyFont="1" applyBorder="1" applyAlignment="1">
      <alignment horizontal="left"/>
    </xf>
    <xf numFmtId="0" fontId="38" fillId="0" borderId="1" xfId="8" applyFont="1" applyBorder="1"/>
    <xf numFmtId="0" fontId="6" fillId="0" borderId="1" xfId="8" applyBorder="1" applyAlignment="1">
      <alignment horizontal="left"/>
    </xf>
    <xf numFmtId="0" fontId="6" fillId="0" borderId="1" xfId="8" applyBorder="1"/>
    <xf numFmtId="165" fontId="6" fillId="0" borderId="11" xfId="9" applyNumberFormat="1" applyFont="1" applyFill="1" applyBorder="1"/>
    <xf numFmtId="165" fontId="6" fillId="0" borderId="1" xfId="9" applyNumberFormat="1" applyFont="1" applyFill="1" applyBorder="1" applyAlignment="1">
      <alignment horizontal="center"/>
    </xf>
    <xf numFmtId="165" fontId="37" fillId="0" borderId="1" xfId="9" applyNumberFormat="1" applyFont="1" applyFill="1" applyBorder="1"/>
    <xf numFmtId="0" fontId="35" fillId="0" borderId="1" xfId="8" applyFont="1" applyBorder="1" applyAlignment="1">
      <alignment horizontal="center" wrapText="1"/>
    </xf>
    <xf numFmtId="0" fontId="6" fillId="0" borderId="1" xfId="8" applyBorder="1" applyAlignment="1">
      <alignment horizontal="center" wrapText="1"/>
    </xf>
    <xf numFmtId="0" fontId="6" fillId="0" borderId="12" xfId="8" applyBorder="1" applyAlignment="1">
      <alignment horizontal="center" wrapText="1"/>
    </xf>
    <xf numFmtId="0" fontId="35" fillId="0" borderId="0" xfId="8" applyFont="1" applyAlignment="1">
      <alignment horizontal="center"/>
    </xf>
    <xf numFmtId="0" fontId="6" fillId="0" borderId="0" xfId="8" applyAlignment="1">
      <alignment horizontal="left" wrapText="1"/>
    </xf>
    <xf numFmtId="165" fontId="6" fillId="0" borderId="0" xfId="9" applyNumberFormat="1" applyFont="1" applyFill="1" applyBorder="1"/>
    <xf numFmtId="165" fontId="37" fillId="0" borderId="0" xfId="9" applyNumberFormat="1" applyFont="1" applyFill="1" applyBorder="1"/>
    <xf numFmtId="0" fontId="35" fillId="0" borderId="0" xfId="8" applyFont="1" applyAlignment="1">
      <alignment horizontal="center" wrapText="1"/>
    </xf>
    <xf numFmtId="0" fontId="38" fillId="0" borderId="0" xfId="8" applyFont="1"/>
    <xf numFmtId="0" fontId="38" fillId="0" borderId="0" xfId="8" applyFont="1" applyAlignment="1">
      <alignment horizontal="center"/>
    </xf>
    <xf numFmtId="0" fontId="35" fillId="7" borderId="6" xfId="8" applyFont="1" applyFill="1" applyBorder="1" applyAlignment="1">
      <alignment horizontal="center" wrapText="1"/>
    </xf>
    <xf numFmtId="0" fontId="37" fillId="0" borderId="0" xfId="8" applyFont="1"/>
    <xf numFmtId="164" fontId="40" fillId="0" borderId="0" xfId="0" applyFont="1" applyAlignment="1">
      <alignment horizontal="center"/>
    </xf>
    <xf numFmtId="0" fontId="40" fillId="0" borderId="0" xfId="8" applyFont="1" applyAlignment="1">
      <alignment horizontal="center"/>
    </xf>
    <xf numFmtId="3" fontId="40" fillId="0" borderId="0" xfId="8" applyNumberFormat="1" applyFont="1" applyAlignment="1">
      <alignment horizontal="center" wrapText="1"/>
    </xf>
    <xf numFmtId="0" fontId="40" fillId="0" borderId="0" xfId="8" applyFont="1" applyAlignment="1">
      <alignment horizontal="center" wrapText="1"/>
    </xf>
    <xf numFmtId="164" fontId="6" fillId="0" borderId="9" xfId="0" applyFont="1" applyBorder="1"/>
    <xf numFmtId="0" fontId="40" fillId="2" borderId="0" xfId="8" applyFont="1" applyFill="1"/>
    <xf numFmtId="165" fontId="40" fillId="2" borderId="0" xfId="1" applyNumberFormat="1" applyFont="1" applyFill="1" applyBorder="1" applyAlignment="1">
      <alignment horizontal="center"/>
    </xf>
    <xf numFmtId="165" fontId="40" fillId="0" borderId="0" xfId="1" applyNumberFormat="1" applyFont="1" applyFill="1" applyBorder="1" applyAlignment="1">
      <alignment horizontal="center" wrapText="1"/>
    </xf>
    <xf numFmtId="165" fontId="40" fillId="2" borderId="0" xfId="1" applyNumberFormat="1" applyFont="1" applyFill="1" applyBorder="1"/>
    <xf numFmtId="0" fontId="40" fillId="2" borderId="3" xfId="8" applyFont="1" applyFill="1" applyBorder="1"/>
    <xf numFmtId="165" fontId="40" fillId="2" borderId="3" xfId="1" applyNumberFormat="1" applyFont="1" applyFill="1" applyBorder="1"/>
    <xf numFmtId="165" fontId="40" fillId="0" borderId="3" xfId="1" applyNumberFormat="1" applyFont="1" applyFill="1" applyBorder="1" applyAlignment="1">
      <alignment horizontal="center" wrapText="1"/>
    </xf>
    <xf numFmtId="0" fontId="40" fillId="0" borderId="0" xfId="8" applyFont="1"/>
    <xf numFmtId="165" fontId="40" fillId="0" borderId="0" xfId="1" applyNumberFormat="1" applyFont="1" applyFill="1" applyBorder="1"/>
    <xf numFmtId="165" fontId="40" fillId="0" borderId="0" xfId="1" applyNumberFormat="1" applyFont="1" applyFill="1" applyBorder="1" applyAlignment="1">
      <alignment horizontal="center"/>
    </xf>
    <xf numFmtId="164" fontId="41" fillId="0" borderId="0" xfId="0" applyFont="1"/>
    <xf numFmtId="43" fontId="6" fillId="0" borderId="0" xfId="8" applyNumberFormat="1" applyAlignment="1">
      <alignment horizontal="center"/>
    </xf>
    <xf numFmtId="0" fontId="35" fillId="0" borderId="5" xfId="8" applyFont="1" applyBorder="1" applyAlignment="1">
      <alignment horizontal="left"/>
    </xf>
    <xf numFmtId="0" fontId="6" fillId="0" borderId="6" xfId="8" applyBorder="1"/>
    <xf numFmtId="0" fontId="6" fillId="0" borderId="7" xfId="8" applyBorder="1"/>
    <xf numFmtId="0" fontId="44" fillId="4" borderId="0" xfId="8" applyFont="1" applyFill="1" applyAlignment="1">
      <alignment horizontal="left"/>
    </xf>
    <xf numFmtId="0" fontId="35" fillId="4" borderId="0" xfId="8" applyFont="1" applyFill="1" applyAlignment="1">
      <alignment horizontal="center" wrapText="1"/>
    </xf>
    <xf numFmtId="0" fontId="35" fillId="7" borderId="0" xfId="8" applyFont="1" applyFill="1" applyAlignment="1">
      <alignment horizontal="center" wrapText="1"/>
    </xf>
    <xf numFmtId="43" fontId="6" fillId="2" borderId="0" xfId="8" applyNumberFormat="1" applyFill="1" applyAlignment="1">
      <alignment horizontal="center"/>
    </xf>
    <xf numFmtId="0" fontId="6" fillId="0" borderId="8" xfId="8" applyBorder="1"/>
    <xf numFmtId="164" fontId="45" fillId="0" borderId="0" xfId="0" applyFont="1"/>
    <xf numFmtId="0" fontId="45" fillId="0" borderId="1" xfId="8" applyFont="1" applyBorder="1"/>
    <xf numFmtId="0" fontId="6" fillId="0" borderId="12" xfId="8" applyBorder="1"/>
    <xf numFmtId="0" fontId="45" fillId="0" borderId="0" xfId="8" applyFont="1"/>
    <xf numFmtId="0" fontId="35" fillId="4" borderId="0" xfId="8" applyFont="1" applyFill="1" applyAlignment="1">
      <alignment horizontal="left"/>
    </xf>
    <xf numFmtId="0" fontId="6" fillId="4" borderId="0" xfId="8" applyFill="1"/>
    <xf numFmtId="0" fontId="6" fillId="8" borderId="0" xfId="8" applyFill="1"/>
    <xf numFmtId="0" fontId="35" fillId="0" borderId="5" xfId="8" applyFont="1" applyBorder="1" applyAlignment="1">
      <alignment horizontal="center" wrapText="1"/>
    </xf>
    <xf numFmtId="0" fontId="37" fillId="0" borderId="8" xfId="8" applyFont="1" applyBorder="1" applyAlignment="1">
      <alignment horizontal="center"/>
    </xf>
    <xf numFmtId="3" fontId="37" fillId="0" borderId="0" xfId="8" applyNumberFormat="1" applyFont="1" applyAlignment="1">
      <alignment horizontal="center"/>
    </xf>
    <xf numFmtId="0" fontId="37" fillId="0" borderId="0" xfId="8" applyFont="1" applyAlignment="1">
      <alignment horizontal="center"/>
    </xf>
    <xf numFmtId="0" fontId="6" fillId="0" borderId="9" xfId="8" applyBorder="1"/>
    <xf numFmtId="164" fontId="46" fillId="0" borderId="0" xfId="0" applyFont="1"/>
    <xf numFmtId="165" fontId="6" fillId="2" borderId="8" xfId="9" applyNumberFormat="1" applyFont="1" applyFill="1" applyBorder="1" applyAlignment="1">
      <alignment horizontal="right"/>
    </xf>
    <xf numFmtId="165" fontId="6" fillId="2" borderId="0" xfId="9" applyNumberFormat="1" applyFont="1" applyFill="1" applyBorder="1" applyAlignment="1">
      <alignment horizontal="right"/>
    </xf>
    <xf numFmtId="0" fontId="6" fillId="0" borderId="11" xfId="8" applyBorder="1"/>
    <xf numFmtId="171" fontId="37" fillId="0" borderId="0" xfId="8" applyNumberFormat="1" applyFont="1" applyAlignment="1">
      <alignment horizontal="left"/>
    </xf>
    <xf numFmtId="3" fontId="6" fillId="0" borderId="9" xfId="8" applyNumberFormat="1" applyBorder="1"/>
    <xf numFmtId="0" fontId="6" fillId="0" borderId="0" xfId="8" applyAlignment="1">
      <alignment horizontal="left" indent="1"/>
    </xf>
    <xf numFmtId="0" fontId="6" fillId="2" borderId="0" xfId="8" applyFill="1" applyAlignment="1">
      <alignment horizontal="center"/>
    </xf>
    <xf numFmtId="0" fontId="6" fillId="3" borderId="0" xfId="8" applyFill="1" applyAlignment="1">
      <alignment horizontal="center"/>
    </xf>
    <xf numFmtId="0" fontId="37" fillId="0" borderId="9" xfId="8" applyFont="1" applyBorder="1" applyAlignment="1">
      <alignment horizontal="center"/>
    </xf>
    <xf numFmtId="10" fontId="6" fillId="2" borderId="0" xfId="4" applyNumberFormat="1" applyFont="1" applyFill="1" applyBorder="1" applyAlignment="1"/>
    <xf numFmtId="171" fontId="6" fillId="3" borderId="0" xfId="11" applyNumberFormat="1" applyFont="1" applyFill="1" applyBorder="1" applyAlignment="1">
      <alignment horizontal="center"/>
    </xf>
    <xf numFmtId="9" fontId="6" fillId="3" borderId="0" xfId="11" applyFont="1" applyFill="1" applyBorder="1" applyAlignment="1">
      <alignment horizontal="center"/>
    </xf>
    <xf numFmtId="166" fontId="6" fillId="0" borderId="0" xfId="1" applyNumberFormat="1" applyFont="1" applyFill="1" applyBorder="1" applyAlignment="1"/>
    <xf numFmtId="171" fontId="6" fillId="0" borderId="0" xfId="11" applyNumberFormat="1" applyFont="1" applyFill="1" applyBorder="1" applyAlignment="1">
      <alignment horizontal="center"/>
    </xf>
    <xf numFmtId="9" fontId="6" fillId="0" borderId="0" xfId="11" applyFont="1" applyFill="1" applyBorder="1" applyAlignment="1">
      <alignment horizontal="center"/>
    </xf>
    <xf numFmtId="43" fontId="6" fillId="0" borderId="9" xfId="1" applyFont="1" applyFill="1" applyBorder="1" applyAlignment="1">
      <alignment horizontal="center"/>
    </xf>
    <xf numFmtId="164" fontId="6" fillId="0" borderId="1" xfId="8" applyNumberFormat="1" applyBorder="1"/>
    <xf numFmtId="0" fontId="38" fillId="0" borderId="1" xfId="8" applyFont="1" applyBorder="1" applyAlignment="1">
      <alignment horizontal="center"/>
    </xf>
    <xf numFmtId="0" fontId="6" fillId="0" borderId="12" xfId="8" applyBorder="1" applyAlignment="1">
      <alignment horizontal="left"/>
    </xf>
    <xf numFmtId="178" fontId="6" fillId="0" borderId="12" xfId="4" applyNumberFormat="1" applyFont="1" applyFill="1" applyBorder="1" applyAlignment="1">
      <alignment horizontal="center"/>
    </xf>
    <xf numFmtId="42" fontId="6" fillId="0" borderId="0" xfId="8" applyNumberFormat="1"/>
    <xf numFmtId="0" fontId="44" fillId="0" borderId="0" xfId="8" applyFont="1" applyAlignment="1">
      <alignment horizontal="left"/>
    </xf>
    <xf numFmtId="0" fontId="44" fillId="4" borderId="5" xfId="8" applyFont="1" applyFill="1" applyBorder="1" applyAlignment="1">
      <alignment horizontal="center" wrapText="1"/>
    </xf>
    <xf numFmtId="0" fontId="44" fillId="4" borderId="6" xfId="8" applyFont="1" applyFill="1" applyBorder="1" applyAlignment="1">
      <alignment horizontal="center" wrapText="1"/>
    </xf>
    <xf numFmtId="165" fontId="6" fillId="0" borderId="0" xfId="8" applyNumberFormat="1" applyAlignment="1">
      <alignment horizontal="center"/>
    </xf>
    <xf numFmtId="0" fontId="35" fillId="7" borderId="5" xfId="8" applyFont="1" applyFill="1" applyBorder="1" applyAlignment="1">
      <alignment horizontal="center" wrapText="1"/>
    </xf>
    <xf numFmtId="0" fontId="44" fillId="4" borderId="6" xfId="8" applyFont="1" applyFill="1" applyBorder="1" applyAlignment="1">
      <alignment wrapText="1"/>
    </xf>
    <xf numFmtId="3" fontId="37" fillId="0" borderId="0" xfId="8" applyNumberFormat="1" applyFont="1"/>
    <xf numFmtId="43" fontId="37" fillId="2" borderId="8" xfId="1" applyFont="1" applyFill="1" applyBorder="1"/>
    <xf numFmtId="43" fontId="6" fillId="2" borderId="0" xfId="1" applyFont="1" applyFill="1" applyBorder="1"/>
    <xf numFmtId="3" fontId="6" fillId="0" borderId="0" xfId="8" applyNumberFormat="1"/>
    <xf numFmtId="0" fontId="35" fillId="0" borderId="1" xfId="8" applyFont="1" applyBorder="1"/>
    <xf numFmtId="0" fontId="35" fillId="7" borderId="5" xfId="8" applyFont="1" applyFill="1" applyBorder="1" applyAlignment="1">
      <alignment horizontal="left"/>
    </xf>
    <xf numFmtId="0" fontId="35" fillId="7" borderId="6" xfId="8" applyFont="1" applyFill="1" applyBorder="1" applyAlignment="1">
      <alignment horizontal="center"/>
    </xf>
    <xf numFmtId="0" fontId="6" fillId="7" borderId="6" xfId="8" applyFill="1" applyBorder="1"/>
    <xf numFmtId="0" fontId="29" fillId="7" borderId="7" xfId="8" applyFont="1" applyFill="1" applyBorder="1" applyAlignment="1">
      <alignment horizontal="center" wrapText="1"/>
    </xf>
    <xf numFmtId="0" fontId="47" fillId="0" borderId="0" xfId="8" applyFont="1" applyAlignment="1">
      <alignment horizontal="center" wrapText="1"/>
    </xf>
    <xf numFmtId="0" fontId="48" fillId="0" borderId="0" xfId="8" applyFont="1"/>
    <xf numFmtId="0" fontId="49" fillId="0" borderId="0" xfId="8" applyFont="1"/>
    <xf numFmtId="0" fontId="14" fillId="0" borderId="0" xfId="8" applyFont="1" applyAlignment="1">
      <alignment horizontal="center" wrapText="1"/>
    </xf>
    <xf numFmtId="0" fontId="6" fillId="0" borderId="9" xfId="8" applyBorder="1" applyAlignment="1">
      <alignment horizontal="center" wrapText="1"/>
    </xf>
    <xf numFmtId="171" fontId="6" fillId="0" borderId="0" xfId="11" applyNumberFormat="1" applyFont="1" applyFill="1" applyBorder="1" applyAlignment="1"/>
    <xf numFmtId="165" fontId="6" fillId="0" borderId="0" xfId="9" applyNumberFormat="1" applyFont="1" applyFill="1" applyBorder="1" applyAlignment="1">
      <alignment horizontal="left"/>
    </xf>
    <xf numFmtId="0" fontId="6" fillId="0" borderId="9" xfId="8" applyBorder="1" applyAlignment="1">
      <alignment horizontal="center"/>
    </xf>
    <xf numFmtId="165" fontId="38" fillId="2" borderId="0" xfId="1" applyNumberFormat="1" applyFont="1" applyFill="1" applyBorder="1" applyAlignment="1">
      <alignment horizontal="center"/>
    </xf>
    <xf numFmtId="165" fontId="3" fillId="2" borderId="0" xfId="9" applyNumberFormat="1" applyFont="1" applyFill="1" applyBorder="1" applyAlignment="1"/>
    <xf numFmtId="165" fontId="38" fillId="0" borderId="0" xfId="1" applyNumberFormat="1" applyFont="1" applyFill="1" applyBorder="1" applyAlignment="1">
      <alignment horizontal="center"/>
    </xf>
    <xf numFmtId="165" fontId="3" fillId="0" borderId="0" xfId="9" applyNumberFormat="1" applyFont="1" applyFill="1" applyBorder="1" applyAlignment="1"/>
    <xf numFmtId="164" fontId="50" fillId="0" borderId="0" xfId="0" applyFont="1"/>
    <xf numFmtId="165" fontId="14" fillId="0" borderId="1" xfId="8" applyNumberFormat="1" applyFont="1" applyBorder="1"/>
    <xf numFmtId="165" fontId="6" fillId="0" borderId="1" xfId="9" applyNumberFormat="1" applyFont="1" applyBorder="1"/>
    <xf numFmtId="165" fontId="37" fillId="0" borderId="1" xfId="9" applyNumberFormat="1" applyFont="1" applyBorder="1" applyAlignment="1"/>
    <xf numFmtId="165" fontId="27" fillId="0" borderId="0" xfId="9" applyNumberFormat="1" applyFont="1" applyBorder="1" applyAlignment="1"/>
    <xf numFmtId="165" fontId="37" fillId="0" borderId="0" xfId="9" applyNumberFormat="1" applyFont="1" applyBorder="1" applyAlignment="1"/>
    <xf numFmtId="165" fontId="6" fillId="0" borderId="0" xfId="9" applyNumberFormat="1" applyFont="1" applyBorder="1"/>
    <xf numFmtId="0" fontId="28" fillId="7" borderId="0" xfId="8" applyFont="1" applyFill="1" applyAlignment="1">
      <alignment horizontal="center" wrapText="1"/>
    </xf>
    <xf numFmtId="0" fontId="6" fillId="0" borderId="5" xfId="8" applyBorder="1" applyAlignment="1">
      <alignment horizontal="center"/>
    </xf>
    <xf numFmtId="0" fontId="51" fillId="0" borderId="6" xfId="8" applyFont="1" applyBorder="1" applyAlignment="1">
      <alignment horizontal="left"/>
    </xf>
    <xf numFmtId="164" fontId="0" fillId="0" borderId="6" xfId="0" applyBorder="1"/>
    <xf numFmtId="0" fontId="28" fillId="0" borderId="6" xfId="8" applyFont="1" applyBorder="1" applyAlignment="1">
      <alignment horizontal="center"/>
    </xf>
    <xf numFmtId="0" fontId="28" fillId="0" borderId="6" xfId="8" applyFont="1" applyBorder="1" applyAlignment="1">
      <alignment horizontal="center" wrapText="1"/>
    </xf>
    <xf numFmtId="0" fontId="14" fillId="0" borderId="6" xfId="8" applyFont="1" applyBorder="1" applyAlignment="1">
      <alignment horizontal="center" wrapText="1"/>
    </xf>
    <xf numFmtId="0" fontId="14" fillId="0" borderId="7" xfId="8" applyFont="1" applyBorder="1" applyAlignment="1">
      <alignment horizontal="center" wrapText="1"/>
    </xf>
    <xf numFmtId="49" fontId="6" fillId="0" borderId="0" xfId="8" applyNumberFormat="1" applyAlignment="1">
      <alignment horizontal="center"/>
    </xf>
    <xf numFmtId="0" fontId="28" fillId="0" borderId="0" xfId="8" applyFont="1" applyAlignment="1">
      <alignment horizontal="center"/>
    </xf>
    <xf numFmtId="0" fontId="28" fillId="0" borderId="0" xfId="8" applyFont="1" applyAlignment="1">
      <alignment horizontal="center" wrapText="1"/>
    </xf>
    <xf numFmtId="0" fontId="14" fillId="0" borderId="9" xfId="8" applyFont="1" applyBorder="1" applyAlignment="1">
      <alignment horizontal="center" wrapText="1"/>
    </xf>
    <xf numFmtId="0" fontId="37" fillId="0" borderId="0" xfId="12" applyFont="1" applyAlignment="1">
      <alignment horizontal="center"/>
    </xf>
    <xf numFmtId="164" fontId="40" fillId="0" borderId="0" xfId="0" applyFont="1"/>
    <xf numFmtId="3" fontId="40" fillId="0" borderId="0" xfId="8" applyNumberFormat="1" applyFont="1"/>
    <xf numFmtId="164" fontId="53" fillId="0" borderId="0" xfId="13" applyFont="1" applyAlignment="1">
      <alignment horizontal="center" wrapText="1"/>
    </xf>
    <xf numFmtId="0" fontId="40" fillId="0" borderId="0" xfId="14" applyFont="1"/>
    <xf numFmtId="164" fontId="40" fillId="0" borderId="0" xfId="1" applyNumberFormat="1" applyFont="1" applyFill="1" applyBorder="1" applyAlignment="1"/>
    <xf numFmtId="166" fontId="40" fillId="0" borderId="0" xfId="1" applyNumberFormat="1" applyFont="1" applyFill="1" applyBorder="1" applyAlignment="1"/>
    <xf numFmtId="43" fontId="40" fillId="3" borderId="0" xfId="1" applyFont="1" applyFill="1" applyBorder="1" applyAlignment="1">
      <alignment horizontal="right"/>
    </xf>
    <xf numFmtId="43" fontId="40" fillId="0" borderId="0" xfId="1" applyFont="1" applyBorder="1" applyAlignment="1"/>
    <xf numFmtId="164" fontId="40" fillId="3" borderId="0" xfId="0" applyFont="1" applyFill="1"/>
    <xf numFmtId="43" fontId="14" fillId="0" borderId="0" xfId="1" applyFont="1" applyBorder="1"/>
    <xf numFmtId="164" fontId="6" fillId="0" borderId="8" xfId="13" applyFont="1" applyBorder="1"/>
    <xf numFmtId="164" fontId="6" fillId="0" borderId="0" xfId="13" applyFont="1"/>
    <xf numFmtId="164" fontId="40" fillId="0" borderId="0" xfId="13" applyFont="1"/>
    <xf numFmtId="164" fontId="6" fillId="0" borderId="0" xfId="13" applyFont="1" applyAlignment="1">
      <alignment horizontal="center" vertical="top"/>
    </xf>
    <xf numFmtId="164" fontId="6" fillId="0" borderId="0" xfId="13" applyFont="1" applyAlignment="1">
      <alignment horizontal="left"/>
    </xf>
    <xf numFmtId="164" fontId="6" fillId="0" borderId="0" xfId="13" applyFont="1" applyAlignment="1">
      <alignment vertical="top"/>
    </xf>
    <xf numFmtId="0" fontId="6" fillId="0" borderId="8" xfId="0" applyNumberFormat="1" applyFont="1" applyBorder="1" applyAlignment="1">
      <alignment horizontal="center" vertical="center"/>
    </xf>
    <xf numFmtId="164" fontId="6" fillId="0" borderId="11" xfId="0" applyFont="1" applyBorder="1"/>
    <xf numFmtId="164" fontId="6" fillId="0" borderId="1" xfId="0" applyFont="1" applyBorder="1"/>
    <xf numFmtId="0" fontId="14" fillId="0" borderId="12" xfId="8" applyFont="1" applyBorder="1"/>
    <xf numFmtId="3" fontId="27" fillId="0" borderId="6" xfId="8" applyNumberFormat="1" applyFont="1" applyBorder="1" applyAlignment="1">
      <alignment horizontal="left"/>
    </xf>
    <xf numFmtId="164" fontId="54" fillId="0" borderId="0" xfId="0" applyFont="1"/>
    <xf numFmtId="165" fontId="32" fillId="7" borderId="0" xfId="1" applyNumberFormat="1" applyFont="1" applyFill="1" applyBorder="1" applyAlignment="1">
      <alignment horizontal="center" wrapText="1"/>
    </xf>
    <xf numFmtId="0" fontId="14" fillId="0" borderId="5" xfId="1" applyNumberFormat="1" applyFont="1" applyFill="1" applyBorder="1" applyAlignment="1">
      <alignment horizontal="center"/>
    </xf>
    <xf numFmtId="0" fontId="14" fillId="0" borderId="6" xfId="8" applyFont="1" applyBorder="1"/>
    <xf numFmtId="165" fontId="14" fillId="0" borderId="6" xfId="1" applyNumberFormat="1" applyFont="1" applyFill="1" applyBorder="1"/>
    <xf numFmtId="165" fontId="14" fillId="0" borderId="6" xfId="1" applyNumberFormat="1" applyFont="1" applyFill="1" applyBorder="1" applyAlignment="1">
      <alignment horizontal="center"/>
    </xf>
    <xf numFmtId="165" fontId="14" fillId="0" borderId="6" xfId="1" applyNumberFormat="1" applyFont="1" applyBorder="1"/>
    <xf numFmtId="165" fontId="14" fillId="0" borderId="7" xfId="1" applyNumberFormat="1" applyFont="1" applyBorder="1"/>
    <xf numFmtId="0" fontId="27" fillId="0" borderId="8" xfId="1" applyNumberFormat="1" applyFont="1" applyBorder="1" applyAlignment="1">
      <alignment horizontal="center"/>
    </xf>
    <xf numFmtId="164" fontId="14" fillId="0" borderId="0" xfId="0" applyFont="1" applyAlignment="1">
      <alignment horizontal="center"/>
    </xf>
    <xf numFmtId="165" fontId="14" fillId="0" borderId="0" xfId="1" applyNumberFormat="1" applyFont="1" applyBorder="1" applyAlignment="1">
      <alignment horizontal="center"/>
    </xf>
    <xf numFmtId="165" fontId="14" fillId="0" borderId="9" xfId="1" applyNumberFormat="1" applyFont="1" applyBorder="1" applyAlignment="1">
      <alignment horizontal="center"/>
    </xf>
    <xf numFmtId="0" fontId="14" fillId="0" borderId="8" xfId="1" applyNumberFormat="1" applyFont="1" applyBorder="1" applyAlignment="1">
      <alignment horizontal="center"/>
    </xf>
    <xf numFmtId="164" fontId="27" fillId="0" borderId="0" xfId="0" applyFont="1" applyAlignment="1">
      <alignment horizontal="center"/>
    </xf>
    <xf numFmtId="0" fontId="27" fillId="0" borderId="17" xfId="1" applyNumberFormat="1" applyFont="1" applyBorder="1" applyAlignment="1">
      <alignment horizontal="center"/>
    </xf>
    <xf numFmtId="164" fontId="27" fillId="0" borderId="3" xfId="0" applyFont="1" applyBorder="1" applyAlignment="1">
      <alignment horizontal="center"/>
    </xf>
    <xf numFmtId="165" fontId="27" fillId="0" borderId="3" xfId="1" applyNumberFormat="1" applyFont="1" applyFill="1" applyBorder="1" applyAlignment="1">
      <alignment horizontal="center"/>
    </xf>
    <xf numFmtId="165" fontId="27" fillId="0" borderId="10" xfId="1" applyNumberFormat="1" applyFont="1" applyFill="1" applyBorder="1" applyAlignment="1">
      <alignment horizontal="center"/>
    </xf>
    <xf numFmtId="165" fontId="14" fillId="0" borderId="0" xfId="1" applyNumberFormat="1" applyFont="1" applyFill="1" applyBorder="1" applyAlignment="1">
      <alignment horizontal="center"/>
    </xf>
    <xf numFmtId="165" fontId="14" fillId="0" borderId="9" xfId="1" applyNumberFormat="1" applyFont="1" applyFill="1" applyBorder="1" applyAlignment="1">
      <alignment horizontal="center"/>
    </xf>
    <xf numFmtId="165" fontId="14" fillId="0" borderId="0" xfId="1" applyNumberFormat="1" applyFont="1" applyBorder="1"/>
    <xf numFmtId="165" fontId="14" fillId="0" borderId="9" xfId="1" applyNumberFormat="1" applyFont="1" applyBorder="1"/>
    <xf numFmtId="164" fontId="14" fillId="0" borderId="0" xfId="0" applyFont="1" applyAlignment="1">
      <alignment horizontal="left" indent="1"/>
    </xf>
    <xf numFmtId="165" fontId="14" fillId="3" borderId="18" xfId="1" applyNumberFormat="1" applyFont="1" applyFill="1" applyBorder="1"/>
    <xf numFmtId="165" fontId="14" fillId="3" borderId="19" xfId="1" applyNumberFormat="1" applyFont="1" applyFill="1" applyBorder="1"/>
    <xf numFmtId="165" fontId="14" fillId="0" borderId="20" xfId="1" applyNumberFormat="1" applyFont="1" applyBorder="1"/>
    <xf numFmtId="164" fontId="14" fillId="0" borderId="0" xfId="0" applyFont="1" applyAlignment="1">
      <alignment horizontal="left"/>
    </xf>
    <xf numFmtId="165" fontId="14" fillId="3" borderId="21" xfId="1" applyNumberFormat="1" applyFont="1" applyFill="1" applyBorder="1"/>
    <xf numFmtId="165" fontId="14" fillId="0" borderId="22" xfId="1" applyNumberFormat="1" applyFont="1" applyBorder="1"/>
    <xf numFmtId="165" fontId="27" fillId="0" borderId="9" xfId="1" applyNumberFormat="1" applyFont="1" applyBorder="1"/>
    <xf numFmtId="164" fontId="14" fillId="0" borderId="0" xfId="0" applyFont="1" applyAlignment="1">
      <alignment horizontal="left" wrapText="1" indent="1"/>
    </xf>
    <xf numFmtId="10" fontId="14" fillId="0" borderId="0" xfId="4" applyNumberFormat="1" applyFont="1" applyBorder="1" applyAlignment="1">
      <alignment horizontal="center"/>
    </xf>
    <xf numFmtId="164" fontId="14" fillId="0" borderId="0" xfId="0" applyFont="1" applyAlignment="1">
      <alignment horizontal="left" wrapText="1" indent="2"/>
    </xf>
    <xf numFmtId="165" fontId="14" fillId="3" borderId="23" xfId="1" applyNumberFormat="1" applyFont="1" applyFill="1" applyBorder="1"/>
    <xf numFmtId="165" fontId="14" fillId="3" borderId="24" xfId="1" applyNumberFormat="1" applyFont="1" applyFill="1" applyBorder="1"/>
    <xf numFmtId="10" fontId="14" fillId="3" borderId="22" xfId="4" applyNumberFormat="1" applyFont="1" applyFill="1" applyBorder="1"/>
    <xf numFmtId="0" fontId="14" fillId="0" borderId="11" xfId="1" applyNumberFormat="1" applyFont="1" applyBorder="1" applyAlignment="1">
      <alignment horizontal="center"/>
    </xf>
    <xf numFmtId="164" fontId="14" fillId="0" borderId="1" xfId="0" applyFont="1" applyBorder="1"/>
    <xf numFmtId="165" fontId="14" fillId="0" borderId="1" xfId="1" applyNumberFormat="1" applyFont="1" applyBorder="1"/>
    <xf numFmtId="165" fontId="14" fillId="0" borderId="12" xfId="1" applyNumberFormat="1" applyFont="1" applyBorder="1"/>
    <xf numFmtId="3" fontId="18" fillId="0" borderId="0" xfId="13" applyNumberFormat="1" applyFont="1"/>
    <xf numFmtId="164" fontId="18" fillId="0" borderId="0" xfId="0" applyFont="1" applyAlignment="1">
      <alignment horizontal="right"/>
    </xf>
    <xf numFmtId="0" fontId="18" fillId="0" borderId="0" xfId="13" applyNumberFormat="1" applyFont="1" applyProtection="1">
      <protection locked="0"/>
    </xf>
    <xf numFmtId="0" fontId="18" fillId="0" borderId="0" xfId="13" applyNumberFormat="1" applyFont="1" applyAlignment="1" applyProtection="1">
      <alignment horizontal="center"/>
      <protection locked="0"/>
    </xf>
    <xf numFmtId="165" fontId="18" fillId="0" borderId="0" xfId="1" applyNumberFormat="1" applyFont="1" applyAlignment="1">
      <alignment horizontal="center"/>
    </xf>
    <xf numFmtId="165" fontId="18" fillId="0" borderId="0" xfId="1" applyNumberFormat="1" applyFont="1" applyAlignment="1">
      <alignment horizontal="right"/>
    </xf>
    <xf numFmtId="0" fontId="18" fillId="3" borderId="0" xfId="13" applyNumberFormat="1" applyFont="1" applyFill="1" applyAlignment="1">
      <alignment horizontal="right"/>
    </xf>
    <xf numFmtId="3" fontId="18" fillId="0" borderId="0" xfId="13" applyNumberFormat="1" applyFont="1" applyAlignment="1">
      <alignment horizontal="center"/>
    </xf>
    <xf numFmtId="0" fontId="18" fillId="0" borderId="0" xfId="13" applyNumberFormat="1" applyFont="1"/>
    <xf numFmtId="0" fontId="18" fillId="0" borderId="0" xfId="6" applyNumberFormat="1" applyFont="1" applyAlignment="1">
      <alignment horizontal="center"/>
    </xf>
    <xf numFmtId="165" fontId="56" fillId="0" borderId="0" xfId="1" applyNumberFormat="1" applyFont="1" applyAlignment="1">
      <alignment horizontal="left"/>
    </xf>
    <xf numFmtId="164" fontId="18" fillId="0" borderId="0" xfId="0" applyFont="1" applyAlignment="1">
      <alignment horizontal="center"/>
    </xf>
    <xf numFmtId="176" fontId="18" fillId="0" borderId="0" xfId="0" applyNumberFormat="1" applyFont="1" applyAlignment="1">
      <alignment horizontal="center"/>
    </xf>
    <xf numFmtId="165" fontId="18" fillId="0" borderId="0" xfId="1" applyNumberFormat="1" applyFont="1" applyAlignment="1"/>
    <xf numFmtId="165" fontId="18" fillId="0" borderId="0" xfId="1" applyNumberFormat="1" applyFont="1" applyAlignment="1" applyProtection="1">
      <alignment horizontal="right"/>
      <protection locked="0"/>
    </xf>
    <xf numFmtId="0" fontId="18" fillId="0" borderId="0" xfId="6" applyNumberFormat="1" applyFont="1" applyProtection="1">
      <protection locked="0"/>
    </xf>
    <xf numFmtId="3" fontId="18" fillId="0" borderId="0" xfId="6" applyNumberFormat="1" applyFont="1"/>
    <xf numFmtId="3" fontId="18" fillId="0" borderId="0" xfId="6" applyNumberFormat="1" applyFont="1" applyAlignment="1">
      <alignment horizontal="center"/>
    </xf>
    <xf numFmtId="0" fontId="18" fillId="0" borderId="0" xfId="6" applyNumberFormat="1" applyFont="1"/>
    <xf numFmtId="0" fontId="18" fillId="0" borderId="1" xfId="6" applyNumberFormat="1" applyFont="1" applyBorder="1" applyAlignment="1" applyProtection="1">
      <alignment horizontal="center"/>
      <protection locked="0"/>
    </xf>
    <xf numFmtId="164" fontId="18" fillId="0" borderId="0" xfId="6" applyFont="1"/>
    <xf numFmtId="165" fontId="18" fillId="0" borderId="0" xfId="1" applyNumberFormat="1" applyFont="1" applyFill="1" applyAlignment="1">
      <alignment horizontal="center"/>
    </xf>
    <xf numFmtId="43" fontId="18" fillId="0" borderId="0" xfId="1" applyFont="1" applyAlignment="1"/>
    <xf numFmtId="10" fontId="18" fillId="0" borderId="0" xfId="1" applyNumberFormat="1" applyFont="1" applyFill="1" applyAlignment="1"/>
    <xf numFmtId="43" fontId="18" fillId="0" borderId="0" xfId="1" applyFont="1" applyFill="1" applyAlignment="1"/>
    <xf numFmtId="43" fontId="18" fillId="0" borderId="1" xfId="1" applyFont="1" applyBorder="1" applyAlignment="1"/>
    <xf numFmtId="43" fontId="18" fillId="0" borderId="0" xfId="1" applyFont="1" applyFill="1" applyAlignment="1">
      <alignment horizontal="center"/>
    </xf>
    <xf numFmtId="167" fontId="18" fillId="0" borderId="0" xfId="6" applyNumberFormat="1" applyFont="1" applyAlignment="1">
      <alignment horizontal="center"/>
    </xf>
    <xf numFmtId="171" fontId="18" fillId="0" borderId="0" xfId="5" applyNumberFormat="1" applyFont="1" applyAlignment="1">
      <alignment horizontal="left"/>
    </xf>
    <xf numFmtId="3" fontId="18" fillId="0" borderId="0" xfId="5" applyNumberFormat="1" applyFont="1"/>
    <xf numFmtId="166" fontId="18" fillId="0" borderId="0" xfId="1" applyNumberFormat="1" applyFont="1" applyFill="1" applyAlignment="1">
      <alignment horizontal="right"/>
    </xf>
    <xf numFmtId="0" fontId="18" fillId="0" borderId="0" xfId="5" applyFont="1"/>
    <xf numFmtId="165" fontId="18" fillId="2" borderId="0" xfId="1" applyNumberFormat="1" applyFont="1" applyFill="1" applyAlignment="1"/>
    <xf numFmtId="0" fontId="18" fillId="0" borderId="0" xfId="15" applyFont="1"/>
    <xf numFmtId="165" fontId="18" fillId="0" borderId="0" xfId="1" applyNumberFormat="1" applyFont="1" applyBorder="1" applyAlignment="1"/>
    <xf numFmtId="10" fontId="18" fillId="0" borderId="0" xfId="5" applyNumberFormat="1" applyFont="1" applyAlignment="1">
      <alignment horizontal="left"/>
    </xf>
    <xf numFmtId="3" fontId="18" fillId="0" borderId="0" xfId="15" applyNumberFormat="1" applyFont="1"/>
    <xf numFmtId="167" fontId="18" fillId="0" borderId="0" xfId="15" applyNumberFormat="1" applyFont="1"/>
    <xf numFmtId="165" fontId="18" fillId="0" borderId="3" xfId="1" applyNumberFormat="1" applyFont="1" applyFill="1" applyBorder="1" applyAlignment="1"/>
    <xf numFmtId="43" fontId="18" fillId="0" borderId="0" xfId="1" applyFont="1" applyBorder="1" applyAlignment="1"/>
    <xf numFmtId="171" fontId="18" fillId="0" borderId="25" xfId="5" applyNumberFormat="1" applyFont="1" applyBorder="1" applyAlignment="1" applyProtection="1">
      <alignment horizontal="left"/>
      <protection locked="0"/>
    </xf>
    <xf numFmtId="0" fontId="18" fillId="0" borderId="25" xfId="5" applyFont="1" applyBorder="1"/>
    <xf numFmtId="165" fontId="18" fillId="0" borderId="0" xfId="1" applyNumberFormat="1" applyFont="1" applyFill="1" applyAlignment="1">
      <alignment horizontal="right"/>
    </xf>
    <xf numFmtId="10" fontId="18" fillId="0" borderId="0" xfId="6" applyNumberFormat="1" applyFont="1" applyAlignment="1">
      <alignment horizontal="left"/>
    </xf>
    <xf numFmtId="176" fontId="18" fillId="0" borderId="0" xfId="0" applyNumberFormat="1" applyFont="1"/>
    <xf numFmtId="165" fontId="18" fillId="0" borderId="0" xfId="1" applyNumberFormat="1" applyFont="1" applyFill="1" applyAlignment="1" applyProtection="1">
      <alignment horizontal="right"/>
      <protection locked="0"/>
    </xf>
    <xf numFmtId="166" fontId="18" fillId="0" borderId="0" xfId="1" applyNumberFormat="1" applyFont="1" applyAlignment="1"/>
    <xf numFmtId="164" fontId="56" fillId="0" borderId="0" xfId="0" applyFont="1" applyAlignment="1">
      <alignment horizontal="left"/>
    </xf>
    <xf numFmtId="164" fontId="56" fillId="0" borderId="0" xfId="0" applyFont="1" applyAlignment="1">
      <alignment horizontal="right"/>
    </xf>
    <xf numFmtId="175" fontId="18" fillId="0" borderId="0" xfId="1" applyNumberFormat="1" applyFont="1" applyAlignment="1"/>
    <xf numFmtId="165" fontId="18" fillId="0" borderId="3" xfId="1" applyNumberFormat="1" applyFont="1" applyFill="1" applyBorder="1" applyAlignment="1">
      <alignment horizontal="center"/>
    </xf>
    <xf numFmtId="175" fontId="18" fillId="0" borderId="1" xfId="1" applyNumberFormat="1" applyFont="1" applyBorder="1" applyAlignment="1"/>
    <xf numFmtId="10" fontId="55" fillId="0" borderId="0" xfId="1" applyNumberFormat="1" applyFont="1" applyFill="1" applyAlignment="1"/>
    <xf numFmtId="170" fontId="18" fillId="0" borderId="0" xfId="6" applyNumberFormat="1" applyFont="1"/>
    <xf numFmtId="165" fontId="18" fillId="0" borderId="0" xfId="1" applyNumberFormat="1" applyFont="1" applyFill="1" applyAlignment="1"/>
    <xf numFmtId="0" fontId="18" fillId="0" borderId="3" xfId="5" applyFont="1" applyBorder="1"/>
    <xf numFmtId="10" fontId="18" fillId="0" borderId="3" xfId="5" applyNumberFormat="1" applyFont="1" applyBorder="1" applyAlignment="1">
      <alignment horizontal="left"/>
    </xf>
    <xf numFmtId="165" fontId="18" fillId="0" borderId="3" xfId="1" applyNumberFormat="1" applyFont="1" applyBorder="1" applyAlignment="1"/>
    <xf numFmtId="171" fontId="18" fillId="0" borderId="0" xfId="5" applyNumberFormat="1" applyFont="1" applyAlignment="1" applyProtection="1">
      <alignment horizontal="left"/>
      <protection locked="0"/>
    </xf>
    <xf numFmtId="171" fontId="18" fillId="0" borderId="0" xfId="6" applyNumberFormat="1" applyFont="1" applyAlignment="1" applyProtection="1">
      <alignment horizontal="left"/>
      <protection locked="0"/>
    </xf>
    <xf numFmtId="43" fontId="18" fillId="0" borderId="0" xfId="1" applyFont="1" applyFill="1" applyBorder="1" applyAlignment="1">
      <alignment horizontal="right"/>
    </xf>
    <xf numFmtId="165" fontId="18" fillId="0" borderId="0" xfId="13" applyNumberFormat="1" applyFont="1" applyProtection="1">
      <protection locked="0"/>
    </xf>
    <xf numFmtId="165" fontId="18" fillId="0" borderId="0" xfId="13" applyNumberFormat="1" applyFont="1" applyAlignment="1" applyProtection="1">
      <alignment horizontal="center"/>
      <protection locked="0"/>
    </xf>
    <xf numFmtId="0" fontId="18" fillId="0" borderId="0" xfId="6" applyNumberFormat="1" applyFont="1" applyAlignment="1" applyProtection="1">
      <alignment horizontal="center"/>
      <protection locked="0"/>
    </xf>
    <xf numFmtId="43" fontId="18" fillId="0" borderId="0" xfId="1" applyFont="1" applyFill="1" applyBorder="1" applyAlignment="1">
      <alignment horizontal="center"/>
    </xf>
    <xf numFmtId="43" fontId="18" fillId="0" borderId="0" xfId="4" applyNumberFormat="1" applyFont="1" applyAlignment="1"/>
    <xf numFmtId="10" fontId="18" fillId="0" borderId="0" xfId="4" applyNumberFormat="1" applyFont="1" applyFill="1" applyAlignment="1"/>
    <xf numFmtId="10" fontId="18" fillId="0" borderId="0" xfId="4" applyNumberFormat="1" applyFont="1" applyAlignment="1"/>
    <xf numFmtId="43" fontId="18" fillId="0" borderId="0" xfId="1" applyFont="1" applyBorder="1" applyAlignment="1">
      <alignment horizontal="center"/>
    </xf>
    <xf numFmtId="43" fontId="18" fillId="0" borderId="1" xfId="4" applyNumberFormat="1" applyFont="1" applyBorder="1" applyAlignment="1"/>
    <xf numFmtId="10" fontId="18" fillId="0" borderId="1" xfId="4" applyNumberFormat="1" applyFont="1" applyBorder="1" applyAlignment="1"/>
    <xf numFmtId="165" fontId="56" fillId="0" borderId="0" xfId="1" applyNumberFormat="1" applyFont="1" applyFill="1" applyBorder="1" applyAlignment="1" applyProtection="1">
      <alignment horizontal="right"/>
      <protection locked="0"/>
    </xf>
    <xf numFmtId="165" fontId="18" fillId="0" borderId="0" xfId="1" applyNumberFormat="1" applyFont="1" applyFill="1" applyBorder="1" applyAlignment="1" applyProtection="1">
      <alignment horizontal="left"/>
      <protection locked="0"/>
    </xf>
    <xf numFmtId="43" fontId="18" fillId="0" borderId="0" xfId="1" applyFont="1" applyFill="1" applyBorder="1" applyAlignment="1"/>
    <xf numFmtId="166" fontId="18" fillId="0" borderId="0" xfId="1" applyNumberFormat="1" applyFont="1" applyFill="1" applyBorder="1" applyAlignment="1"/>
    <xf numFmtId="165" fontId="18" fillId="0" borderId="0" xfId="1" applyNumberFormat="1" applyFont="1" applyFill="1" applyBorder="1" applyAlignment="1" applyProtection="1">
      <alignment horizontal="right"/>
      <protection locked="0"/>
    </xf>
    <xf numFmtId="164" fontId="18" fillId="0" borderId="0" xfId="0" applyFont="1" applyAlignment="1">
      <alignment horizontal="left"/>
    </xf>
    <xf numFmtId="165" fontId="18" fillId="0" borderId="26" xfId="1" applyNumberFormat="1" applyFont="1" applyFill="1" applyBorder="1" applyAlignment="1" applyProtection="1">
      <alignment horizontal="right" vertical="center"/>
      <protection locked="0"/>
    </xf>
    <xf numFmtId="164" fontId="18" fillId="0" borderId="27" xfId="0" applyFont="1" applyBorder="1" applyAlignment="1">
      <alignment vertical="center"/>
    </xf>
    <xf numFmtId="3" fontId="18" fillId="0" borderId="28" xfId="6" applyNumberFormat="1" applyFont="1" applyBorder="1" applyAlignment="1">
      <alignment horizontal="center" vertical="center" wrapText="1"/>
    </xf>
    <xf numFmtId="164" fontId="18" fillId="0" borderId="28" xfId="0" applyFont="1" applyBorder="1" applyAlignment="1">
      <alignment horizontal="center" vertical="center"/>
    </xf>
    <xf numFmtId="164" fontId="18" fillId="0" borderId="28" xfId="0" applyFont="1" applyBorder="1" applyAlignment="1">
      <alignment horizontal="center" vertical="center" wrapText="1"/>
    </xf>
    <xf numFmtId="176" fontId="18" fillId="0" borderId="28" xfId="0" applyNumberFormat="1" applyFont="1" applyBorder="1" applyAlignment="1">
      <alignment horizontal="center" vertical="center" wrapText="1"/>
    </xf>
    <xf numFmtId="164" fontId="18" fillId="0" borderId="29" xfId="0" applyFont="1" applyBorder="1" applyAlignment="1">
      <alignment horizontal="center" vertical="center" wrapText="1"/>
    </xf>
    <xf numFmtId="164" fontId="18" fillId="0" borderId="30" xfId="0" applyFont="1" applyBorder="1" applyAlignment="1">
      <alignment horizontal="center" vertical="center" wrapText="1"/>
    </xf>
    <xf numFmtId="164" fontId="18" fillId="0" borderId="0" xfId="0" applyFont="1" applyAlignment="1">
      <alignment vertical="center"/>
    </xf>
    <xf numFmtId="164" fontId="0" fillId="0" borderId="0" xfId="0" applyAlignment="1">
      <alignment vertical="center"/>
    </xf>
    <xf numFmtId="165" fontId="18" fillId="2" borderId="5" xfId="1" applyNumberFormat="1" applyFont="1" applyFill="1" applyBorder="1" applyAlignment="1" applyProtection="1">
      <alignment horizontal="right"/>
      <protection locked="0"/>
    </xf>
    <xf numFmtId="165" fontId="18" fillId="2" borderId="0" xfId="1" applyNumberFormat="1" applyFont="1" applyFill="1" applyBorder="1" applyAlignment="1">
      <alignment horizontal="left"/>
    </xf>
    <xf numFmtId="165" fontId="18" fillId="2" borderId="6" xfId="1" applyNumberFormat="1" applyFont="1" applyFill="1" applyBorder="1" applyAlignment="1"/>
    <xf numFmtId="10" fontId="18" fillId="2" borderId="6" xfId="4" applyNumberFormat="1" applyFont="1" applyFill="1" applyBorder="1" applyAlignment="1" applyProtection="1">
      <alignment horizontal="center"/>
      <protection locked="0"/>
    </xf>
    <xf numFmtId="10" fontId="18" fillId="0" borderId="6" xfId="6" applyNumberFormat="1" applyFont="1" applyBorder="1" applyAlignment="1" applyProtection="1">
      <alignment horizontal="right"/>
      <protection locked="0"/>
    </xf>
    <xf numFmtId="166" fontId="18" fillId="0" borderId="6" xfId="1" applyNumberFormat="1" applyFont="1" applyFill="1" applyBorder="1" applyAlignment="1" applyProtection="1">
      <alignment horizontal="center"/>
      <protection locked="0"/>
    </xf>
    <xf numFmtId="179" fontId="18" fillId="0" borderId="6" xfId="1" applyNumberFormat="1" applyFont="1" applyFill="1" applyBorder="1" applyAlignment="1"/>
    <xf numFmtId="165" fontId="18" fillId="0" borderId="6" xfId="1" applyNumberFormat="1" applyFont="1" applyFill="1" applyBorder="1" applyAlignment="1" applyProtection="1">
      <alignment horizontal="center"/>
      <protection locked="0"/>
    </xf>
    <xf numFmtId="165" fontId="18" fillId="0" borderId="6" xfId="1" applyNumberFormat="1" applyFont="1" applyBorder="1" applyAlignment="1"/>
    <xf numFmtId="165" fontId="18" fillId="0" borderId="6" xfId="1" applyNumberFormat="1" applyFont="1" applyFill="1" applyBorder="1" applyAlignment="1"/>
    <xf numFmtId="166" fontId="18" fillId="0" borderId="6" xfId="1" applyNumberFormat="1" applyFont="1" applyBorder="1" applyAlignment="1"/>
    <xf numFmtId="165" fontId="18" fillId="2" borderId="8" xfId="1" applyNumberFormat="1" applyFont="1" applyFill="1" applyBorder="1" applyAlignment="1" applyProtection="1">
      <alignment horizontal="right"/>
      <protection locked="0"/>
    </xf>
    <xf numFmtId="165" fontId="18" fillId="2" borderId="0" xfId="1" applyNumberFormat="1" applyFont="1" applyFill="1" applyBorder="1" applyAlignment="1"/>
    <xf numFmtId="10" fontId="18" fillId="2" borderId="0" xfId="4" applyNumberFormat="1" applyFont="1" applyFill="1" applyBorder="1" applyAlignment="1">
      <alignment horizontal="center"/>
    </xf>
    <xf numFmtId="10" fontId="18" fillId="0" borderId="0" xfId="4" applyNumberFormat="1" applyFont="1" applyFill="1" applyBorder="1" applyAlignment="1">
      <alignment horizontal="right"/>
    </xf>
    <xf numFmtId="179" fontId="18" fillId="0" borderId="0" xfId="1" applyNumberFormat="1" applyFont="1" applyFill="1" applyBorder="1" applyAlignment="1"/>
    <xf numFmtId="165" fontId="18" fillId="0" borderId="0" xfId="1" applyNumberFormat="1" applyFont="1" applyFill="1" applyBorder="1" applyAlignment="1" applyProtection="1">
      <alignment horizontal="center"/>
      <protection locked="0"/>
    </xf>
    <xf numFmtId="165" fontId="18" fillId="0" borderId="0" xfId="1" applyNumberFormat="1" applyFont="1" applyFill="1" applyBorder="1" applyAlignment="1"/>
    <xf numFmtId="166" fontId="18" fillId="0" borderId="0" xfId="1" applyNumberFormat="1" applyFont="1" applyBorder="1" applyAlignment="1"/>
    <xf numFmtId="43" fontId="18" fillId="2" borderId="0" xfId="1" applyFont="1" applyFill="1" applyBorder="1" applyAlignment="1">
      <alignment horizontal="center"/>
    </xf>
    <xf numFmtId="164" fontId="18" fillId="2" borderId="0" xfId="0" applyFont="1" applyFill="1"/>
    <xf numFmtId="3" fontId="18" fillId="2" borderId="0" xfId="6" applyNumberFormat="1" applyFont="1" applyFill="1"/>
    <xf numFmtId="166" fontId="18" fillId="2" borderId="0" xfId="1" applyNumberFormat="1" applyFont="1" applyFill="1" applyBorder="1" applyAlignment="1">
      <alignment horizontal="right"/>
    </xf>
    <xf numFmtId="3" fontId="18" fillId="2" borderId="0" xfId="5" applyNumberFormat="1" applyFont="1" applyFill="1"/>
    <xf numFmtId="165" fontId="18" fillId="2" borderId="11" xfId="1" applyNumberFormat="1" applyFont="1" applyFill="1" applyBorder="1" applyAlignment="1" applyProtection="1">
      <alignment horizontal="right"/>
      <protection locked="0"/>
    </xf>
    <xf numFmtId="171" fontId="18" fillId="2" borderId="1" xfId="5" applyNumberFormat="1" applyFont="1" applyFill="1" applyBorder="1" applyAlignment="1" applyProtection="1">
      <alignment horizontal="left"/>
      <protection locked="0"/>
    </xf>
    <xf numFmtId="0" fontId="18" fillId="2" borderId="1" xfId="5" applyFont="1" applyFill="1" applyBorder="1"/>
    <xf numFmtId="165" fontId="18" fillId="2" borderId="1" xfId="1" applyNumberFormat="1" applyFont="1" applyFill="1" applyBorder="1" applyAlignment="1">
      <alignment horizontal="right"/>
    </xf>
    <xf numFmtId="10" fontId="18" fillId="0" borderId="1" xfId="4" applyNumberFormat="1" applyFont="1" applyFill="1" applyBorder="1" applyAlignment="1"/>
    <xf numFmtId="165" fontId="18" fillId="2" borderId="1" xfId="1" applyNumberFormat="1" applyFont="1" applyFill="1" applyBorder="1" applyAlignment="1"/>
    <xf numFmtId="166" fontId="18" fillId="0" borderId="1" xfId="1" applyNumberFormat="1" applyFont="1" applyFill="1" applyBorder="1" applyAlignment="1"/>
    <xf numFmtId="179" fontId="18" fillId="0" borderId="1" xfId="1" applyNumberFormat="1" applyFont="1" applyFill="1" applyBorder="1" applyAlignment="1"/>
    <xf numFmtId="165" fontId="18" fillId="0" borderId="1" xfId="1" applyNumberFormat="1" applyFont="1" applyFill="1" applyBorder="1" applyAlignment="1" applyProtection="1">
      <alignment horizontal="center"/>
      <protection locked="0"/>
    </xf>
    <xf numFmtId="165" fontId="18" fillId="0" borderId="1" xfId="1" applyNumberFormat="1" applyFont="1" applyBorder="1" applyAlignment="1"/>
    <xf numFmtId="165" fontId="18" fillId="0" borderId="1" xfId="1" applyNumberFormat="1" applyFont="1" applyFill="1" applyBorder="1" applyAlignment="1"/>
    <xf numFmtId="165" fontId="18" fillId="2" borderId="11" xfId="1" applyNumberFormat="1" applyFont="1" applyFill="1" applyBorder="1" applyAlignment="1">
      <alignment horizontal="right"/>
    </xf>
    <xf numFmtId="164" fontId="18" fillId="0" borderId="1" xfId="0" applyFont="1" applyBorder="1"/>
    <xf numFmtId="176" fontId="18" fillId="0" borderId="1" xfId="0" applyNumberFormat="1" applyFont="1" applyBorder="1"/>
    <xf numFmtId="165" fontId="18" fillId="0" borderId="15" xfId="1" applyNumberFormat="1" applyFont="1" applyBorder="1" applyAlignment="1"/>
    <xf numFmtId="165" fontId="18" fillId="0" borderId="12" xfId="1" applyNumberFormat="1" applyFont="1" applyFill="1" applyBorder="1" applyAlignment="1"/>
    <xf numFmtId="165" fontId="18" fillId="0" borderId="22" xfId="1" applyNumberFormat="1" applyFont="1" applyBorder="1" applyAlignment="1"/>
    <xf numFmtId="164" fontId="18" fillId="0" borderId="0" xfId="0" applyFont="1" applyAlignment="1">
      <alignment wrapText="1"/>
    </xf>
    <xf numFmtId="164" fontId="18" fillId="0" borderId="0" xfId="16" applyFont="1" applyAlignment="1">
      <alignment vertical="top"/>
    </xf>
    <xf numFmtId="164" fontId="14" fillId="0" borderId="0" xfId="0" applyFont="1" applyProtection="1">
      <protection locked="0"/>
    </xf>
    <xf numFmtId="164" fontId="3" fillId="0" borderId="0" xfId="0" applyFont="1"/>
    <xf numFmtId="164" fontId="27" fillId="0" borderId="0" xfId="0" applyFont="1" applyProtection="1">
      <protection locked="0"/>
    </xf>
    <xf numFmtId="164" fontId="18" fillId="0" borderId="0" xfId="13" applyFont="1"/>
    <xf numFmtId="0" fontId="56" fillId="0" borderId="0" xfId="13" applyNumberFormat="1" applyFont="1"/>
    <xf numFmtId="164" fontId="14" fillId="0" borderId="0" xfId="13" applyFont="1"/>
    <xf numFmtId="164" fontId="42" fillId="0" borderId="0" xfId="0" applyFont="1"/>
    <xf numFmtId="164" fontId="14" fillId="0" borderId="0" xfId="13" applyFont="1" applyAlignment="1">
      <alignment horizontal="center"/>
    </xf>
    <xf numFmtId="164" fontId="42" fillId="0" borderId="34" xfId="0" applyFont="1" applyBorder="1"/>
    <xf numFmtId="164" fontId="42" fillId="0" borderId="25" xfId="0" applyFont="1" applyBorder="1"/>
    <xf numFmtId="164" fontId="42" fillId="0" borderId="35" xfId="0" applyFont="1" applyBorder="1"/>
    <xf numFmtId="164" fontId="18" fillId="0" borderId="0" xfId="13" applyFont="1" applyAlignment="1">
      <alignment horizontal="center"/>
    </xf>
    <xf numFmtId="0" fontId="18" fillId="0" borderId="0" xfId="1" applyNumberFormat="1" applyFont="1" applyFill="1" applyBorder="1" applyAlignment="1">
      <alignment horizontal="center"/>
    </xf>
    <xf numFmtId="1" fontId="42" fillId="2" borderId="0" xfId="0" quotePrefix="1" applyNumberFormat="1" applyFont="1" applyFill="1"/>
    <xf numFmtId="164" fontId="42" fillId="0" borderId="40" xfId="0" applyFont="1" applyBorder="1"/>
    <xf numFmtId="164" fontId="42" fillId="0" borderId="31" xfId="0" applyFont="1" applyBorder="1" applyAlignment="1">
      <alignment horizontal="center"/>
    </xf>
    <xf numFmtId="164" fontId="42" fillId="0" borderId="32" xfId="0" applyFont="1" applyBorder="1" applyAlignment="1">
      <alignment horizontal="center"/>
    </xf>
    <xf numFmtId="164" fontId="42" fillId="0" borderId="41" xfId="0" applyFont="1" applyBorder="1" applyAlignment="1">
      <alignment horizontal="center"/>
    </xf>
    <xf numFmtId="164" fontId="42" fillId="0" borderId="40" xfId="0" applyFont="1" applyBorder="1" applyAlignment="1">
      <alignment horizontal="center"/>
    </xf>
    <xf numFmtId="164" fontId="42" fillId="0" borderId="42" xfId="0" applyFont="1" applyBorder="1" applyAlignment="1">
      <alignment horizontal="center"/>
    </xf>
    <xf numFmtId="164" fontId="42" fillId="0" borderId="42" xfId="0" applyFont="1" applyBorder="1"/>
    <xf numFmtId="164" fontId="18" fillId="0" borderId="42" xfId="0" applyFont="1" applyBorder="1" applyAlignment="1">
      <alignment horizontal="center"/>
    </xf>
    <xf numFmtId="0" fontId="18" fillId="0" borderId="42" xfId="17" applyFont="1" applyBorder="1" applyAlignment="1">
      <alignment horizontal="center"/>
    </xf>
    <xf numFmtId="164" fontId="42" fillId="0" borderId="0" xfId="0" applyFont="1" applyAlignment="1">
      <alignment horizontal="center"/>
    </xf>
    <xf numFmtId="164" fontId="42" fillId="2" borderId="40" xfId="0" applyFont="1" applyFill="1" applyBorder="1"/>
    <xf numFmtId="43" fontId="42" fillId="2" borderId="34" xfId="1" applyFont="1" applyFill="1" applyBorder="1"/>
    <xf numFmtId="43" fontId="42" fillId="0" borderId="40" xfId="1" applyFont="1" applyFill="1" applyBorder="1"/>
    <xf numFmtId="43" fontId="42" fillId="2" borderId="40" xfId="1" applyFont="1" applyFill="1" applyBorder="1"/>
    <xf numFmtId="43" fontId="42" fillId="0" borderId="40" xfId="1" applyFont="1" applyBorder="1" applyAlignment="1">
      <alignment horizontal="center"/>
    </xf>
    <xf numFmtId="164" fontId="42" fillId="2" borderId="42" xfId="0" applyFont="1" applyFill="1" applyBorder="1"/>
    <xf numFmtId="43" fontId="42" fillId="2" borderId="36" xfId="1" applyFont="1" applyFill="1" applyBorder="1"/>
    <xf numFmtId="43" fontId="42" fillId="2" borderId="36" xfId="1" applyFont="1" applyFill="1" applyBorder="1" applyAlignment="1">
      <alignment horizontal="center"/>
    </xf>
    <xf numFmtId="43" fontId="42" fillId="2" borderId="42" xfId="1" applyFont="1" applyFill="1" applyBorder="1"/>
    <xf numFmtId="43" fontId="42" fillId="0" borderId="42" xfId="1" applyFont="1" applyBorder="1"/>
    <xf numFmtId="164" fontId="42" fillId="2" borderId="41" xfId="0" applyFont="1" applyFill="1" applyBorder="1"/>
    <xf numFmtId="43" fontId="42" fillId="2" borderId="38" xfId="1" applyFont="1" applyFill="1" applyBorder="1"/>
    <xf numFmtId="43" fontId="42" fillId="2" borderId="38" xfId="1" applyFont="1" applyFill="1" applyBorder="1" applyAlignment="1">
      <alignment horizontal="center"/>
    </xf>
    <xf numFmtId="43" fontId="42" fillId="0" borderId="31" xfId="1" applyFont="1" applyFill="1" applyBorder="1"/>
    <xf numFmtId="43" fontId="42" fillId="2" borderId="41" xfId="1" applyFont="1" applyFill="1" applyBorder="1"/>
    <xf numFmtId="43" fontId="42" fillId="0" borderId="41" xfId="1" applyFont="1" applyBorder="1"/>
    <xf numFmtId="43" fontId="42" fillId="0" borderId="0" xfId="1" applyFont="1" applyFill="1" applyBorder="1"/>
    <xf numFmtId="43" fontId="42" fillId="0" borderId="0" xfId="1" applyFont="1" applyFill="1" applyBorder="1" applyAlignment="1">
      <alignment horizontal="center"/>
    </xf>
    <xf numFmtId="165" fontId="18" fillId="0" borderId="0" xfId="1" applyNumberFormat="1" applyFont="1" applyAlignment="1">
      <alignment horizontal="left" vertical="top"/>
    </xf>
    <xf numFmtId="165" fontId="18" fillId="0" borderId="0" xfId="1" applyNumberFormat="1" applyFont="1"/>
    <xf numFmtId="180" fontId="18" fillId="0" borderId="0" xfId="3" applyNumberFormat="1" applyFont="1"/>
    <xf numFmtId="43" fontId="18" fillId="0" borderId="0" xfId="1" applyFont="1"/>
    <xf numFmtId="164" fontId="18" fillId="0" borderId="0" xfId="0" applyFont="1" applyProtection="1">
      <protection locked="0"/>
    </xf>
    <xf numFmtId="164" fontId="18" fillId="0" borderId="0" xfId="0" applyFont="1" applyAlignment="1">
      <alignment vertical="top" wrapText="1"/>
    </xf>
    <xf numFmtId="164" fontId="18" fillId="0" borderId="0" xfId="0" applyFont="1" applyAlignment="1">
      <alignment vertical="top"/>
    </xf>
    <xf numFmtId="164" fontId="56" fillId="0" borderId="0" xfId="13" applyFont="1"/>
    <xf numFmtId="49" fontId="18" fillId="0" borderId="0" xfId="1" applyNumberFormat="1" applyFont="1" applyAlignment="1">
      <alignment horizontal="center"/>
    </xf>
    <xf numFmtId="164" fontId="18" fillId="0" borderId="0" xfId="13" quotePrefix="1" applyFont="1" applyAlignment="1">
      <alignment horizontal="left"/>
    </xf>
    <xf numFmtId="164" fontId="18" fillId="0" borderId="0" xfId="13" applyFont="1" applyAlignment="1">
      <alignment horizontal="center" wrapText="1"/>
    </xf>
    <xf numFmtId="1" fontId="18" fillId="2" borderId="0" xfId="1" applyNumberFormat="1" applyFont="1" applyFill="1" applyAlignment="1"/>
    <xf numFmtId="10" fontId="61" fillId="3" borderId="0" xfId="18" applyNumberFormat="1" applyFont="1" applyFill="1"/>
    <xf numFmtId="10" fontId="18" fillId="0" borderId="25" xfId="4" applyNumberFormat="1" applyFont="1" applyBorder="1" applyAlignment="1"/>
    <xf numFmtId="10" fontId="18" fillId="0" borderId="0" xfId="4" applyNumberFormat="1" applyFont="1" applyBorder="1" applyAlignment="1"/>
    <xf numFmtId="164" fontId="18" fillId="0" borderId="0" xfId="13" applyFont="1" applyAlignment="1">
      <alignment horizontal="left"/>
    </xf>
    <xf numFmtId="0" fontId="18" fillId="0" borderId="0" xfId="0" applyNumberFormat="1" applyFont="1" applyAlignment="1">
      <alignment horizontal="center"/>
    </xf>
    <xf numFmtId="0" fontId="14" fillId="0" borderId="0" xfId="17" applyFont="1" applyAlignment="1">
      <alignment horizontal="left"/>
    </xf>
    <xf numFmtId="0" fontId="14" fillId="0" borderId="0" xfId="17" applyFont="1" applyAlignment="1">
      <alignment horizontal="center"/>
    </xf>
    <xf numFmtId="0" fontId="14" fillId="0" borderId="0" xfId="17" applyFont="1"/>
    <xf numFmtId="0" fontId="3" fillId="0" borderId="0" xfId="17" applyFont="1"/>
    <xf numFmtId="0" fontId="27" fillId="0" borderId="0" xfId="17" applyFont="1"/>
    <xf numFmtId="0" fontId="3" fillId="0" borderId="0" xfId="17" applyFont="1" applyAlignment="1">
      <alignment horizontal="center"/>
    </xf>
    <xf numFmtId="0" fontId="20" fillId="0" borderId="0" xfId="17" applyFont="1"/>
    <xf numFmtId="0" fontId="14" fillId="0" borderId="3" xfId="17" applyFont="1" applyBorder="1" applyAlignment="1">
      <alignment horizontal="center"/>
    </xf>
    <xf numFmtId="0" fontId="14" fillId="0" borderId="3" xfId="17" applyFont="1" applyBorder="1"/>
    <xf numFmtId="0" fontId="3" fillId="0" borderId="3" xfId="17" applyFont="1" applyBorder="1"/>
    <xf numFmtId="0" fontId="14" fillId="0" borderId="3" xfId="17" applyFont="1" applyBorder="1" applyAlignment="1">
      <alignment horizontal="center" wrapText="1"/>
    </xf>
    <xf numFmtId="0" fontId="14" fillId="0" borderId="0" xfId="17" applyFont="1" applyAlignment="1">
      <alignment horizontal="right"/>
    </xf>
    <xf numFmtId="165" fontId="14" fillId="0" borderId="0" xfId="1" applyNumberFormat="1" applyFont="1" applyFill="1"/>
    <xf numFmtId="37" fontId="14" fillId="0" borderId="0" xfId="17" applyNumberFormat="1" applyFont="1"/>
    <xf numFmtId="43" fontId="14" fillId="0" borderId="0" xfId="1" applyFont="1" applyFill="1"/>
    <xf numFmtId="43" fontId="14" fillId="0" borderId="0" xfId="17" applyNumberFormat="1" applyFont="1"/>
    <xf numFmtId="9" fontId="14" fillId="0" borderId="0" xfId="17" applyNumberFormat="1" applyFont="1" applyAlignment="1">
      <alignment horizontal="left"/>
    </xf>
    <xf numFmtId="37" fontId="14" fillId="0" borderId="0" xfId="17" applyNumberFormat="1" applyFont="1" applyAlignment="1">
      <alignment horizontal="left"/>
    </xf>
    <xf numFmtId="0" fontId="14" fillId="0" borderId="3" xfId="17" applyFont="1" applyBorder="1" applyAlignment="1">
      <alignment horizontal="right" vertical="top"/>
    </xf>
    <xf numFmtId="0" fontId="14" fillId="0" borderId="3" xfId="17" applyFont="1" applyBorder="1" applyAlignment="1">
      <alignment horizontal="center" vertical="top" wrapText="1"/>
    </xf>
    <xf numFmtId="0" fontId="3" fillId="0" borderId="0" xfId="17" applyFont="1" applyAlignment="1">
      <alignment horizontal="left"/>
    </xf>
    <xf numFmtId="0" fontId="3" fillId="0" borderId="0" xfId="17" applyFont="1" applyAlignment="1">
      <alignment horizontal="right"/>
    </xf>
    <xf numFmtId="43" fontId="3" fillId="2" borderId="0" xfId="1" applyFont="1" applyFill="1" applyAlignment="1">
      <alignment horizontal="center"/>
    </xf>
    <xf numFmtId="43" fontId="3" fillId="0" borderId="0" xfId="17" applyNumberFormat="1" applyFont="1"/>
    <xf numFmtId="165" fontId="3" fillId="0" borderId="0" xfId="17" applyNumberFormat="1" applyFont="1"/>
    <xf numFmtId="165" fontId="14" fillId="0" borderId="0" xfId="1" applyNumberFormat="1" applyFont="1" applyFill="1" applyBorder="1"/>
    <xf numFmtId="10" fontId="3" fillId="0" borderId="0" xfId="17" applyNumberFormat="1" applyFont="1"/>
    <xf numFmtId="1" fontId="14" fillId="0" borderId="0" xfId="17" applyNumberFormat="1" applyFont="1"/>
    <xf numFmtId="1" fontId="3" fillId="0" borderId="0" xfId="17" applyNumberFormat="1" applyFont="1"/>
    <xf numFmtId="1" fontId="14" fillId="0" borderId="0" xfId="17" applyNumberFormat="1" applyFont="1" applyAlignment="1">
      <alignment horizontal="center"/>
    </xf>
    <xf numFmtId="1" fontId="14" fillId="0" borderId="3" xfId="17" applyNumberFormat="1" applyFont="1" applyBorder="1" applyAlignment="1">
      <alignment horizontal="center" vertical="top" wrapText="1"/>
    </xf>
    <xf numFmtId="0" fontId="62" fillId="0" borderId="0" xfId="19" applyFont="1"/>
    <xf numFmtId="1" fontId="14" fillId="2" borderId="0" xfId="1" applyNumberFormat="1" applyFont="1" applyFill="1" applyAlignment="1">
      <alignment horizontal="center"/>
    </xf>
    <xf numFmtId="10" fontId="14" fillId="0" borderId="0" xfId="4" applyNumberFormat="1" applyFont="1" applyFill="1"/>
    <xf numFmtId="165" fontId="3" fillId="2" borderId="0" xfId="1" applyNumberFormat="1" applyFont="1" applyFill="1"/>
    <xf numFmtId="165" fontId="62" fillId="0" borderId="0" xfId="1" applyNumberFormat="1" applyFont="1"/>
    <xf numFmtId="165" fontId="0" fillId="0" borderId="0" xfId="1" applyNumberFormat="1" applyFont="1" applyFill="1" applyAlignment="1">
      <alignment horizontal="center"/>
    </xf>
    <xf numFmtId="181" fontId="3" fillId="0" borderId="0" xfId="17" applyNumberFormat="1" applyFont="1"/>
    <xf numFmtId="165" fontId="62" fillId="0" borderId="0" xfId="19" applyNumberFormat="1" applyFont="1"/>
    <xf numFmtId="165" fontId="14" fillId="0" borderId="0" xfId="17" applyNumberFormat="1" applyFont="1"/>
    <xf numFmtId="43" fontId="14" fillId="2" borderId="0" xfId="1" applyFont="1" applyFill="1"/>
    <xf numFmtId="165" fontId="14" fillId="0" borderId="0" xfId="1" applyNumberFormat="1" applyFont="1" applyFill="1" applyAlignment="1">
      <alignment horizontal="center"/>
    </xf>
    <xf numFmtId="0" fontId="54" fillId="0" borderId="0" xfId="17" applyFont="1"/>
    <xf numFmtId="41" fontId="14" fillId="0" borderId="0" xfId="17" applyNumberFormat="1" applyFont="1" applyAlignment="1">
      <alignment horizontal="center"/>
    </xf>
    <xf numFmtId="41" fontId="11" fillId="0" borderId="0" xfId="17" applyNumberFormat="1" applyFont="1" applyAlignment="1">
      <alignment horizontal="center"/>
    </xf>
    <xf numFmtId="0" fontId="54" fillId="0" borderId="0" xfId="17" applyFont="1" applyAlignment="1">
      <alignment horizontal="right"/>
    </xf>
    <xf numFmtId="1" fontId="14" fillId="0" borderId="0" xfId="1" applyNumberFormat="1" applyFont="1" applyFill="1" applyBorder="1"/>
    <xf numFmtId="0" fontId="14" fillId="0" borderId="0" xfId="17" applyFont="1" applyAlignment="1">
      <alignment horizontal="center" wrapText="1"/>
    </xf>
    <xf numFmtId="0" fontId="14" fillId="3" borderId="43" xfId="17" applyFont="1" applyFill="1" applyBorder="1"/>
    <xf numFmtId="41" fontId="14" fillId="3" borderId="31" xfId="17" applyNumberFormat="1" applyFont="1" applyFill="1" applyBorder="1"/>
    <xf numFmtId="41" fontId="14" fillId="3" borderId="31" xfId="2" applyFont="1" applyFill="1" applyBorder="1"/>
    <xf numFmtId="0" fontId="14" fillId="3" borderId="44" xfId="17" applyFont="1" applyFill="1" applyBorder="1" applyAlignment="1">
      <alignment wrapText="1"/>
    </xf>
    <xf numFmtId="0" fontId="14" fillId="3" borderId="43" xfId="17" applyFont="1" applyFill="1" applyBorder="1" applyAlignment="1">
      <alignment wrapText="1"/>
    </xf>
    <xf numFmtId="0" fontId="14" fillId="3" borderId="31" xfId="17" applyFont="1" applyFill="1" applyBorder="1"/>
    <xf numFmtId="0" fontId="14" fillId="9" borderId="43" xfId="17" applyFont="1" applyFill="1" applyBorder="1" applyAlignment="1">
      <alignment wrapText="1"/>
    </xf>
    <xf numFmtId="41" fontId="14" fillId="9" borderId="31" xfId="17" applyNumberFormat="1" applyFont="1" applyFill="1" applyBorder="1"/>
    <xf numFmtId="0" fontId="14" fillId="9" borderId="44" xfId="17" applyFont="1" applyFill="1" applyBorder="1" applyAlignment="1">
      <alignment wrapText="1"/>
    </xf>
    <xf numFmtId="0" fontId="14" fillId="0" borderId="45" xfId="17" applyFont="1" applyBorder="1"/>
    <xf numFmtId="165" fontId="14" fillId="0" borderId="31" xfId="1" applyNumberFormat="1" applyFont="1" applyBorder="1"/>
    <xf numFmtId="165" fontId="14" fillId="0" borderId="31" xfId="1" applyNumberFormat="1" applyFont="1" applyFill="1" applyBorder="1"/>
    <xf numFmtId="37" fontId="14" fillId="0" borderId="44" xfId="17" applyNumberFormat="1" applyFont="1" applyBorder="1" applyAlignment="1">
      <alignment wrapText="1"/>
    </xf>
    <xf numFmtId="0" fontId="14" fillId="0" borderId="46" xfId="17" applyFont="1" applyBorder="1"/>
    <xf numFmtId="165" fontId="14" fillId="3" borderId="31" xfId="1" applyNumberFormat="1" applyFont="1" applyFill="1" applyBorder="1"/>
    <xf numFmtId="165" fontId="14" fillId="3" borderId="31" xfId="1" applyNumberFormat="1" applyFont="1" applyFill="1" applyBorder="1" applyAlignment="1">
      <alignment horizontal="right"/>
    </xf>
    <xf numFmtId="165" fontId="14" fillId="3" borderId="31" xfId="1" applyNumberFormat="1" applyFont="1" applyFill="1" applyBorder="1" applyAlignment="1">
      <alignment horizontal="center"/>
    </xf>
    <xf numFmtId="0" fontId="14" fillId="0" borderId="47" xfId="17" applyFont="1" applyBorder="1"/>
    <xf numFmtId="165" fontId="14" fillId="3" borderId="40" xfId="1" applyNumberFormat="1" applyFont="1" applyFill="1" applyBorder="1"/>
    <xf numFmtId="0" fontId="14" fillId="3" borderId="48" xfId="17" applyFont="1" applyFill="1" applyBorder="1" applyAlignment="1">
      <alignment wrapText="1"/>
    </xf>
    <xf numFmtId="0" fontId="14" fillId="0" borderId="49" xfId="17" applyFont="1" applyBorder="1"/>
    <xf numFmtId="165" fontId="14" fillId="0" borderId="50" xfId="1" applyNumberFormat="1" applyFont="1" applyFill="1" applyBorder="1"/>
    <xf numFmtId="0" fontId="14" fillId="0" borderId="51" xfId="17" applyFont="1" applyBorder="1" applyAlignment="1">
      <alignment wrapText="1"/>
    </xf>
    <xf numFmtId="37" fontId="14" fillId="0" borderId="0" xfId="17" applyNumberFormat="1" applyFont="1" applyAlignment="1">
      <alignment horizontal="center"/>
    </xf>
    <xf numFmtId="37" fontId="14" fillId="0" borderId="0" xfId="17" applyNumberFormat="1" applyFont="1" applyAlignment="1">
      <alignment wrapText="1"/>
    </xf>
    <xf numFmtId="0" fontId="14" fillId="0" borderId="0" xfId="17" applyFont="1" applyAlignment="1">
      <alignment wrapText="1"/>
    </xf>
    <xf numFmtId="0" fontId="63" fillId="3" borderId="43" xfId="17" applyFont="1" applyFill="1" applyBorder="1" applyAlignment="1">
      <alignment wrapText="1"/>
    </xf>
    <xf numFmtId="37" fontId="14" fillId="3" borderId="45" xfId="17" applyNumberFormat="1" applyFont="1" applyFill="1" applyBorder="1" applyAlignment="1">
      <alignment horizontal="center"/>
    </xf>
    <xf numFmtId="37" fontId="14" fillId="3" borderId="31" xfId="17" applyNumberFormat="1" applyFont="1" applyFill="1" applyBorder="1"/>
    <xf numFmtId="0" fontId="14" fillId="3" borderId="45" xfId="17" applyFont="1" applyFill="1" applyBorder="1" applyAlignment="1">
      <alignment horizontal="center"/>
    </xf>
    <xf numFmtId="41" fontId="14" fillId="9" borderId="31" xfId="2" applyFont="1" applyFill="1" applyBorder="1"/>
    <xf numFmtId="0" fontId="14" fillId="0" borderId="43" xfId="17" applyFont="1" applyBorder="1"/>
    <xf numFmtId="0" fontId="14" fillId="0" borderId="52" xfId="17" applyFont="1" applyBorder="1"/>
    <xf numFmtId="0" fontId="14" fillId="3" borderId="43" xfId="20" applyFont="1" applyFill="1" applyBorder="1"/>
    <xf numFmtId="0" fontId="14" fillId="0" borderId="53" xfId="17" applyFont="1" applyBorder="1"/>
    <xf numFmtId="165" fontId="14" fillId="3" borderId="40" xfId="1" applyNumberFormat="1" applyFont="1" applyFill="1" applyBorder="1" applyAlignment="1">
      <alignment horizontal="right"/>
    </xf>
    <xf numFmtId="165" fontId="14" fillId="0" borderId="50" xfId="1" applyNumberFormat="1" applyFont="1" applyFill="1" applyBorder="1" applyAlignment="1">
      <alignment horizontal="right"/>
    </xf>
    <xf numFmtId="165" fontId="14" fillId="0" borderId="0" xfId="17" applyNumberFormat="1" applyFont="1" applyAlignment="1">
      <alignment wrapText="1"/>
    </xf>
    <xf numFmtId="0" fontId="14" fillId="0" borderId="0" xfId="17" applyFont="1" applyAlignment="1">
      <alignment horizontal="centerContinuous"/>
    </xf>
    <xf numFmtId="0" fontId="14" fillId="0" borderId="54" xfId="17" applyFont="1" applyBorder="1" applyAlignment="1">
      <alignment horizontal="center"/>
    </xf>
    <xf numFmtId="0" fontId="14" fillId="0" borderId="54" xfId="17" applyFont="1" applyBorder="1"/>
    <xf numFmtId="0" fontId="3" fillId="0" borderId="54" xfId="17" applyFont="1" applyBorder="1"/>
    <xf numFmtId="0" fontId="3" fillId="0" borderId="54" xfId="17" applyFont="1" applyBorder="1" applyAlignment="1">
      <alignment horizontal="center" wrapText="1"/>
    </xf>
    <xf numFmtId="0" fontId="14" fillId="0" borderId="54" xfId="17" applyFont="1" applyBorder="1" applyAlignment="1">
      <alignment horizontal="center" wrapText="1"/>
    </xf>
    <xf numFmtId="0" fontId="14" fillId="0" borderId="54" xfId="17" applyFont="1" applyBorder="1" applyAlignment="1">
      <alignment horizontal="right" vertical="top"/>
    </xf>
    <xf numFmtId="0" fontId="14" fillId="0" borderId="54" xfId="17" applyFont="1" applyBorder="1" applyAlignment="1">
      <alignment horizontal="center" vertical="top" wrapText="1"/>
    </xf>
    <xf numFmtId="164" fontId="2" fillId="0" borderId="0" xfId="21"/>
    <xf numFmtId="164" fontId="64" fillId="0" borderId="0" xfId="21" applyFont="1"/>
    <xf numFmtId="0" fontId="11" fillId="0" borderId="0" xfId="21" applyNumberFormat="1" applyFont="1" applyAlignment="1">
      <alignment horizontal="left"/>
    </xf>
    <xf numFmtId="3" fontId="3" fillId="0" borderId="0" xfId="22" applyNumberFormat="1" applyFont="1"/>
    <xf numFmtId="2" fontId="2" fillId="0" borderId="0" xfId="21" applyNumberFormat="1" applyAlignment="1">
      <alignment horizontal="center" wrapText="1"/>
    </xf>
    <xf numFmtId="0" fontId="3" fillId="0" borderId="0" xfId="21" applyNumberFormat="1" applyFont="1"/>
    <xf numFmtId="2" fontId="2" fillId="0" borderId="0" xfId="21" applyNumberFormat="1"/>
    <xf numFmtId="0" fontId="3" fillId="0" borderId="0" xfId="21" applyNumberFormat="1" applyFont="1" applyAlignment="1">
      <alignment horizontal="left"/>
    </xf>
    <xf numFmtId="164" fontId="65" fillId="0" borderId="0" xfId="21" applyFont="1" applyProtection="1">
      <protection locked="0"/>
    </xf>
    <xf numFmtId="164" fontId="11" fillId="0" borderId="0" xfId="21" applyFont="1" applyProtection="1">
      <protection locked="0"/>
    </xf>
    <xf numFmtId="0" fontId="6" fillId="0" borderId="0" xfId="21" applyNumberFormat="1" applyFont="1"/>
    <xf numFmtId="0" fontId="6" fillId="0" borderId="0" xfId="21" applyNumberFormat="1" applyFont="1" applyAlignment="1">
      <alignment horizontal="center"/>
    </xf>
    <xf numFmtId="165" fontId="14" fillId="0" borderId="0" xfId="9" applyNumberFormat="1" applyFont="1" applyAlignment="1">
      <alignment horizontal="center"/>
    </xf>
    <xf numFmtId="164" fontId="14" fillId="0" borderId="0" xfId="21" applyFont="1"/>
    <xf numFmtId="43" fontId="27" fillId="0" borderId="0" xfId="9" applyFont="1" applyFill="1"/>
    <xf numFmtId="49" fontId="14" fillId="0" borderId="0" xfId="9" applyNumberFormat="1" applyFont="1" applyFill="1"/>
    <xf numFmtId="39" fontId="14" fillId="0" borderId="0" xfId="9" applyNumberFormat="1" applyFont="1" applyFill="1" applyAlignment="1">
      <alignment horizontal="right"/>
    </xf>
    <xf numFmtId="165" fontId="0" fillId="0" borderId="0" xfId="9" applyNumberFormat="1" applyFont="1"/>
    <xf numFmtId="43" fontId="0" fillId="0" borderId="0" xfId="9" applyFont="1"/>
    <xf numFmtId="43" fontId="68" fillId="0" borderId="0" xfId="9" applyFont="1" applyFill="1"/>
    <xf numFmtId="0" fontId="2" fillId="0" borderId="0" xfId="21" applyNumberFormat="1"/>
    <xf numFmtId="164" fontId="69" fillId="0" borderId="0" xfId="21" applyFont="1"/>
    <xf numFmtId="178" fontId="70" fillId="0" borderId="0" xfId="9" applyNumberFormat="1" applyFont="1" applyFill="1"/>
    <xf numFmtId="43" fontId="70" fillId="0" borderId="0" xfId="9" applyFont="1" applyFill="1"/>
    <xf numFmtId="10" fontId="70" fillId="0" borderId="0" xfId="23" applyNumberFormat="1" applyFont="1" applyFill="1"/>
    <xf numFmtId="176" fontId="69" fillId="0" borderId="0" xfId="21" applyNumberFormat="1" applyFont="1"/>
    <xf numFmtId="176" fontId="69" fillId="0" borderId="0" xfId="21" applyNumberFormat="1" applyFont="1" applyAlignment="1">
      <alignment horizontal="center" vertical="center"/>
    </xf>
    <xf numFmtId="43" fontId="68" fillId="0" borderId="0" xfId="9" applyFont="1" applyFill="1" applyBorder="1" applyAlignment="1">
      <alignment horizontal="center" vertical="center" wrapText="1"/>
    </xf>
    <xf numFmtId="43" fontId="69" fillId="0" borderId="0" xfId="24" quotePrefix="1" applyFont="1" applyBorder="1" applyAlignment="1">
      <alignment horizontal="center"/>
    </xf>
    <xf numFmtId="178" fontId="69" fillId="0" borderId="0" xfId="9" applyNumberFormat="1" applyFont="1" applyFill="1" applyBorder="1" applyAlignment="1">
      <alignment horizontal="center"/>
    </xf>
    <xf numFmtId="165" fontId="69" fillId="0" borderId="0" xfId="9" quotePrefix="1" applyNumberFormat="1" applyFont="1" applyFill="1" applyBorder="1" applyAlignment="1">
      <alignment horizontal="center"/>
    </xf>
    <xf numFmtId="10" fontId="69" fillId="0" borderId="0" xfId="23" applyNumberFormat="1" applyFont="1" applyFill="1" applyBorder="1" applyAlignment="1">
      <alignment horizontal="center"/>
    </xf>
    <xf numFmtId="164" fontId="66" fillId="0" borderId="0" xfId="21" applyFont="1"/>
    <xf numFmtId="176" fontId="2" fillId="0" borderId="0" xfId="21" applyNumberFormat="1"/>
    <xf numFmtId="178" fontId="0" fillId="0" borderId="0" xfId="9" applyNumberFormat="1" applyFont="1" applyFill="1"/>
    <xf numFmtId="43" fontId="0" fillId="0" borderId="0" xfId="9" applyFont="1" applyFill="1"/>
    <xf numFmtId="10" fontId="0" fillId="0" borderId="0" xfId="23" applyNumberFormat="1" applyFont="1" applyFill="1"/>
    <xf numFmtId="164" fontId="14" fillId="0" borderId="0" xfId="21" applyFont="1" applyAlignment="1">
      <alignment horizontal="right"/>
    </xf>
    <xf numFmtId="0" fontId="45" fillId="0" borderId="0" xfId="21" applyNumberFormat="1" applyFont="1" applyProtection="1"/>
    <xf numFmtId="178" fontId="72" fillId="0" borderId="0" xfId="9" applyNumberFormat="1" applyFont="1" applyFill="1"/>
    <xf numFmtId="43" fontId="72" fillId="0" borderId="0" xfId="9" applyFont="1" applyFill="1"/>
    <xf numFmtId="10" fontId="72" fillId="0" borderId="0" xfId="23" applyNumberFormat="1" applyFont="1" applyFill="1"/>
    <xf numFmtId="49" fontId="14" fillId="0" borderId="0" xfId="9" applyNumberFormat="1" applyFont="1" applyAlignment="1"/>
    <xf numFmtId="164" fontId="14" fillId="0" borderId="0" xfId="21" applyFont="1" applyAlignment="1">
      <alignment horizontal="left"/>
    </xf>
    <xf numFmtId="43" fontId="2" fillId="0" borderId="0" xfId="21" applyNumberFormat="1"/>
    <xf numFmtId="165" fontId="0" fillId="0" borderId="0" xfId="24" applyNumberFormat="1" applyFont="1" applyFill="1"/>
    <xf numFmtId="10" fontId="2" fillId="0" borderId="0" xfId="23" applyNumberFormat="1" applyFont="1"/>
    <xf numFmtId="166" fontId="0" fillId="0" borderId="0" xfId="24" applyNumberFormat="1" applyFont="1" applyFill="1"/>
    <xf numFmtId="175" fontId="0" fillId="0" borderId="0" xfId="24" applyNumberFormat="1" applyFont="1" applyFill="1"/>
    <xf numFmtId="49" fontId="14" fillId="0" borderId="0" xfId="21" applyNumberFormat="1" applyFont="1"/>
    <xf numFmtId="43" fontId="14" fillId="0" borderId="0" xfId="9" applyFont="1" applyAlignment="1"/>
    <xf numFmtId="182" fontId="2" fillId="0" borderId="0" xfId="21" applyNumberFormat="1"/>
    <xf numFmtId="49" fontId="73" fillId="0" borderId="0" xfId="9" applyNumberFormat="1" applyFont="1" applyFill="1"/>
    <xf numFmtId="165" fontId="14" fillId="0" borderId="0" xfId="9" applyNumberFormat="1" applyFont="1" applyFill="1" applyAlignment="1">
      <alignment horizontal="center"/>
    </xf>
    <xf numFmtId="2" fontId="14" fillId="0" borderId="0" xfId="21" applyNumberFormat="1" applyFont="1"/>
    <xf numFmtId="0" fontId="40" fillId="0" borderId="0" xfId="21" applyNumberFormat="1" applyFont="1"/>
    <xf numFmtId="164" fontId="40" fillId="0" borderId="0" xfId="21" applyFont="1"/>
    <xf numFmtId="164" fontId="14" fillId="0" borderId="0" xfId="21" applyFont="1" applyAlignment="1">
      <alignment vertical="center" wrapText="1"/>
    </xf>
    <xf numFmtId="164" fontId="14" fillId="10" borderId="0" xfId="21" applyFont="1" applyFill="1"/>
    <xf numFmtId="164" fontId="6" fillId="10" borderId="0" xfId="21" applyFont="1" applyFill="1"/>
    <xf numFmtId="2" fontId="14" fillId="0" borderId="0" xfId="21" applyNumberFormat="1" applyFont="1" applyAlignment="1">
      <alignment horizontal="center"/>
    </xf>
    <xf numFmtId="10" fontId="14" fillId="0" borderId="0" xfId="11" applyNumberFormat="1" applyFont="1" applyAlignment="1">
      <alignment horizontal="center"/>
    </xf>
    <xf numFmtId="0" fontId="74" fillId="0" borderId="0" xfId="21" applyNumberFormat="1" applyFont="1"/>
    <xf numFmtId="0" fontId="49" fillId="0" borderId="0" xfId="25" applyFont="1"/>
    <xf numFmtId="164" fontId="49" fillId="0" borderId="0" xfId="0" applyFont="1"/>
    <xf numFmtId="0" fontId="48" fillId="0" borderId="0" xfId="25" applyFont="1"/>
    <xf numFmtId="0" fontId="49" fillId="0" borderId="0" xfId="25" applyFont="1" applyAlignment="1">
      <alignment horizontal="center"/>
    </xf>
    <xf numFmtId="0" fontId="49" fillId="0" borderId="0" xfId="25" quotePrefix="1" applyFont="1" applyAlignment="1">
      <alignment horizontal="center"/>
    </xf>
    <xf numFmtId="49" fontId="49" fillId="0" borderId="0" xfId="10" applyNumberFormat="1" applyFont="1" applyAlignment="1">
      <alignment horizontal="center" wrapText="1"/>
    </xf>
    <xf numFmtId="49" fontId="49" fillId="0" borderId="0" xfId="26" applyNumberFormat="1" applyFont="1" applyBorder="1" applyAlignment="1">
      <alignment horizontal="center" wrapText="1"/>
    </xf>
    <xf numFmtId="0" fontId="49" fillId="0" borderId="31" xfId="25" applyFont="1" applyBorder="1" applyAlignment="1">
      <alignment horizontal="center" wrapText="1"/>
    </xf>
    <xf numFmtId="0" fontId="49" fillId="0" borderId="34" xfId="25" applyFont="1" applyBorder="1" applyAlignment="1">
      <alignment horizontal="center" wrapText="1"/>
    </xf>
    <xf numFmtId="0" fontId="49" fillId="0" borderId="25" xfId="25" applyFont="1" applyBorder="1" applyAlignment="1">
      <alignment horizontal="center" wrapText="1"/>
    </xf>
    <xf numFmtId="17" fontId="49" fillId="0" borderId="25" xfId="25" applyNumberFormat="1" applyFont="1" applyBorder="1" applyAlignment="1">
      <alignment horizontal="center" wrapText="1"/>
    </xf>
    <xf numFmtId="49" fontId="49" fillId="2" borderId="25" xfId="10" applyNumberFormat="1" applyFont="1" applyFill="1" applyBorder="1" applyAlignment="1">
      <alignment horizontal="center" wrapText="1"/>
    </xf>
    <xf numFmtId="49" fontId="49" fillId="2" borderId="25" xfId="26" applyNumberFormat="1" applyFont="1" applyFill="1" applyBorder="1" applyAlignment="1">
      <alignment horizontal="center" wrapText="1"/>
    </xf>
    <xf numFmtId="17" fontId="49" fillId="0" borderId="35" xfId="25" applyNumberFormat="1" applyFont="1" applyBorder="1" applyAlignment="1">
      <alignment horizontal="center" wrapText="1"/>
    </xf>
    <xf numFmtId="0" fontId="49" fillId="0" borderId="42" xfId="25" applyFont="1" applyBorder="1"/>
    <xf numFmtId="0" fontId="49" fillId="2" borderId="34" xfId="25" applyFont="1" applyFill="1" applyBorder="1"/>
    <xf numFmtId="3" fontId="49" fillId="2" borderId="25" xfId="25" applyNumberFormat="1" applyFont="1" applyFill="1" applyBorder="1"/>
    <xf numFmtId="0" fontId="49" fillId="2" borderId="25" xfId="25" applyFont="1" applyFill="1" applyBorder="1"/>
    <xf numFmtId="165" fontId="49" fillId="0" borderId="25" xfId="1" applyNumberFormat="1" applyFont="1" applyBorder="1"/>
    <xf numFmtId="9" fontId="49" fillId="2" borderId="25" xfId="4" applyFont="1" applyFill="1" applyBorder="1"/>
    <xf numFmtId="165" fontId="49" fillId="0" borderId="25" xfId="1" applyNumberFormat="1" applyFont="1" applyBorder="1" applyAlignment="1">
      <alignment horizontal="center"/>
    </xf>
    <xf numFmtId="9" fontId="49" fillId="2" borderId="25" xfId="4" applyFont="1" applyFill="1" applyBorder="1" applyAlignment="1">
      <alignment horizontal="center"/>
    </xf>
    <xf numFmtId="9" fontId="49" fillId="0" borderId="25" xfId="4" applyFont="1" applyBorder="1" applyAlignment="1">
      <alignment horizontal="center"/>
    </xf>
    <xf numFmtId="165" fontId="49" fillId="0" borderId="25" xfId="25" applyNumberFormat="1" applyFont="1" applyBorder="1"/>
    <xf numFmtId="0" fontId="49" fillId="2" borderId="35" xfId="25" applyFont="1" applyFill="1" applyBorder="1"/>
    <xf numFmtId="0" fontId="49" fillId="2" borderId="36" xfId="25" applyFont="1" applyFill="1" applyBorder="1"/>
    <xf numFmtId="0" fontId="49" fillId="2" borderId="0" xfId="25" applyFont="1" applyFill="1"/>
    <xf numFmtId="165" fontId="49" fillId="0" borderId="0" xfId="1" applyNumberFormat="1" applyFont="1" applyBorder="1"/>
    <xf numFmtId="165" fontId="49" fillId="0" borderId="0" xfId="1" applyNumberFormat="1" applyFont="1" applyBorder="1" applyAlignment="1">
      <alignment horizontal="center"/>
    </xf>
    <xf numFmtId="0" fontId="49" fillId="2" borderId="0" xfId="25" applyFont="1" applyFill="1" applyAlignment="1">
      <alignment horizontal="center"/>
    </xf>
    <xf numFmtId="165" fontId="49" fillId="0" borderId="0" xfId="25" applyNumberFormat="1" applyFont="1"/>
    <xf numFmtId="0" fontId="49" fillId="2" borderId="37" xfId="25" applyFont="1" applyFill="1" applyBorder="1"/>
    <xf numFmtId="0" fontId="49" fillId="2" borderId="38" xfId="25" applyFont="1" applyFill="1" applyBorder="1"/>
    <xf numFmtId="0" fontId="49" fillId="2" borderId="54" xfId="25" applyFont="1" applyFill="1" applyBorder="1"/>
    <xf numFmtId="165" fontId="49" fillId="0" borderId="54" xfId="1" applyNumberFormat="1" applyFont="1" applyBorder="1"/>
    <xf numFmtId="165" fontId="49" fillId="0" borderId="54" xfId="1" applyNumberFormat="1" applyFont="1" applyBorder="1" applyAlignment="1">
      <alignment horizontal="center"/>
    </xf>
    <xf numFmtId="0" fontId="49" fillId="2" borderId="54" xfId="25" applyFont="1" applyFill="1" applyBorder="1" applyAlignment="1">
      <alignment horizontal="center"/>
    </xf>
    <xf numFmtId="165" fontId="49" fillId="0" borderId="54" xfId="25" applyNumberFormat="1" applyFont="1" applyBorder="1"/>
    <xf numFmtId="0" fontId="49" fillId="2" borderId="39" xfId="25" applyFont="1" applyFill="1" applyBorder="1" applyAlignment="1">
      <alignment horizontal="center"/>
    </xf>
    <xf numFmtId="0" fontId="49" fillId="0" borderId="25" xfId="25" applyFont="1" applyBorder="1" applyAlignment="1">
      <alignment horizontal="left"/>
    </xf>
    <xf numFmtId="165" fontId="49" fillId="0" borderId="31" xfId="1" applyNumberFormat="1" applyFont="1" applyBorder="1"/>
    <xf numFmtId="165" fontId="49" fillId="0" borderId="31" xfId="1" applyNumberFormat="1" applyFont="1" applyBorder="1" applyAlignment="1">
      <alignment horizontal="center"/>
    </xf>
    <xf numFmtId="165" fontId="6" fillId="0" borderId="9" xfId="8" applyNumberFormat="1" applyBorder="1"/>
    <xf numFmtId="0" fontId="49" fillId="2" borderId="25" xfId="25" applyFont="1" applyFill="1" applyBorder="1" applyAlignment="1">
      <alignment horizontal="center"/>
    </xf>
    <xf numFmtId="165" fontId="49" fillId="0" borderId="31" xfId="25" applyNumberFormat="1" applyFont="1" applyBorder="1"/>
    <xf numFmtId="183" fontId="49" fillId="0" borderId="31" xfId="1" applyNumberFormat="1" applyFont="1" applyBorder="1" applyAlignment="1">
      <alignment horizontal="center"/>
    </xf>
    <xf numFmtId="164" fontId="48" fillId="0" borderId="0" xfId="0" applyFont="1"/>
    <xf numFmtId="0" fontId="49" fillId="0" borderId="0" xfId="10" applyFont="1"/>
    <xf numFmtId="49" fontId="49" fillId="0" borderId="0" xfId="10" applyNumberFormat="1" applyFont="1"/>
    <xf numFmtId="165" fontId="49" fillId="0" borderId="0" xfId="26" applyNumberFormat="1" applyFont="1"/>
    <xf numFmtId="0" fontId="49" fillId="0" borderId="0" xfId="10" applyFont="1" applyAlignment="1">
      <alignment horizontal="center"/>
    </xf>
    <xf numFmtId="49" fontId="49" fillId="0" borderId="0" xfId="10" applyNumberFormat="1" applyFont="1" applyAlignment="1">
      <alignment horizontal="center"/>
    </xf>
    <xf numFmtId="165" fontId="49" fillId="0" borderId="0" xfId="26" applyNumberFormat="1" applyFont="1" applyAlignment="1">
      <alignment horizontal="center"/>
    </xf>
    <xf numFmtId="10" fontId="49" fillId="0" borderId="0" xfId="27" applyNumberFormat="1" applyFont="1" applyAlignment="1">
      <alignment horizontal="center"/>
    </xf>
    <xf numFmtId="49" fontId="49" fillId="0" borderId="25" xfId="10" applyNumberFormat="1" applyFont="1" applyBorder="1" applyAlignment="1">
      <alignment horizontal="center" wrapText="1"/>
    </xf>
    <xf numFmtId="49" fontId="49" fillId="0" borderId="25" xfId="26" applyNumberFormat="1" applyFont="1" applyBorder="1" applyAlignment="1">
      <alignment horizontal="center" wrapText="1"/>
    </xf>
    <xf numFmtId="49" fontId="49" fillId="2" borderId="54" xfId="10" applyNumberFormat="1" applyFont="1" applyFill="1" applyBorder="1" applyAlignment="1">
      <alignment horizontal="center" wrapText="1"/>
    </xf>
    <xf numFmtId="49" fontId="49" fillId="2" borderId="54" xfId="26" applyNumberFormat="1" applyFont="1" applyFill="1" applyBorder="1" applyAlignment="1">
      <alignment horizontal="center" wrapText="1"/>
    </xf>
    <xf numFmtId="0" fontId="49" fillId="0" borderId="34" xfId="10" applyFont="1" applyBorder="1"/>
    <xf numFmtId="49" fontId="49" fillId="2" borderId="36" xfId="26" applyNumberFormat="1" applyFont="1" applyFill="1" applyBorder="1" applyAlignment="1">
      <alignment horizontal="left"/>
    </xf>
    <xf numFmtId="165" fontId="49" fillId="2" borderId="0" xfId="26" applyNumberFormat="1" applyFont="1" applyFill="1" applyBorder="1"/>
    <xf numFmtId="165" fontId="49" fillId="0" borderId="37" xfId="26" applyNumberFormat="1" applyFont="1" applyBorder="1"/>
    <xf numFmtId="0" fontId="49" fillId="0" borderId="36" xfId="10" applyFont="1" applyBorder="1"/>
    <xf numFmtId="49" fontId="49" fillId="2" borderId="36" xfId="26" applyNumberFormat="1" applyFont="1" applyFill="1" applyBorder="1"/>
    <xf numFmtId="0" fontId="49" fillId="0" borderId="38" xfId="10" applyFont="1" applyBorder="1"/>
    <xf numFmtId="49" fontId="49" fillId="2" borderId="38" xfId="26" applyNumberFormat="1" applyFont="1" applyFill="1" applyBorder="1"/>
    <xf numFmtId="165" fontId="49" fillId="2" borderId="54" xfId="26" applyNumberFormat="1" applyFont="1" applyFill="1" applyBorder="1"/>
    <xf numFmtId="165" fontId="49" fillId="0" borderId="39" xfId="26" applyNumberFormat="1" applyFont="1" applyBorder="1"/>
    <xf numFmtId="0" fontId="49" fillId="0" borderId="0" xfId="10" applyFont="1" applyAlignment="1">
      <alignment horizontal="left"/>
    </xf>
    <xf numFmtId="49" fontId="49" fillId="0" borderId="0" xfId="10" applyNumberFormat="1" applyFont="1" applyAlignment="1">
      <alignment horizontal="left"/>
    </xf>
    <xf numFmtId="165" fontId="49" fillId="0" borderId="0" xfId="26" applyNumberFormat="1" applyFont="1" applyBorder="1" applyAlignment="1">
      <alignment horizontal="right"/>
    </xf>
    <xf numFmtId="165" fontId="49" fillId="0" borderId="0" xfId="26" applyNumberFormat="1" applyFont="1" applyBorder="1" applyAlignment="1"/>
    <xf numFmtId="43" fontId="49" fillId="0" borderId="31" xfId="1" applyFont="1" applyBorder="1" applyAlignment="1"/>
    <xf numFmtId="0" fontId="49" fillId="0" borderId="40" xfId="25" applyFont="1" applyBorder="1"/>
    <xf numFmtId="0" fontId="49" fillId="0" borderId="41" xfId="25" applyFont="1" applyBorder="1" applyAlignment="1">
      <alignment horizontal="center" wrapText="1"/>
    </xf>
    <xf numFmtId="165" fontId="49" fillId="0" borderId="25" xfId="25" applyNumberFormat="1" applyFont="1" applyBorder="1" applyAlignment="1">
      <alignment horizontal="center"/>
    </xf>
    <xf numFmtId="178" fontId="49" fillId="2" borderId="25" xfId="25" applyNumberFormat="1" applyFont="1" applyFill="1" applyBorder="1" applyAlignment="1">
      <alignment horizontal="center"/>
    </xf>
    <xf numFmtId="184" fontId="49" fillId="0" borderId="35" xfId="25" applyNumberFormat="1" applyFont="1" applyBorder="1" applyAlignment="1">
      <alignment horizontal="center"/>
    </xf>
    <xf numFmtId="165" fontId="49" fillId="0" borderId="0" xfId="25" applyNumberFormat="1" applyFont="1" applyAlignment="1">
      <alignment horizontal="center"/>
    </xf>
    <xf numFmtId="178" fontId="49" fillId="2" borderId="0" xfId="25" applyNumberFormat="1" applyFont="1" applyFill="1" applyAlignment="1">
      <alignment horizontal="center"/>
    </xf>
    <xf numFmtId="165" fontId="49" fillId="0" borderId="37" xfId="25" applyNumberFormat="1" applyFont="1" applyBorder="1" applyAlignment="1">
      <alignment horizontal="center"/>
    </xf>
    <xf numFmtId="0" fontId="49" fillId="0" borderId="41" xfId="25" applyFont="1" applyBorder="1" applyAlignment="1">
      <alignment horizontal="left"/>
    </xf>
    <xf numFmtId="165" fontId="49" fillId="0" borderId="54" xfId="25" applyNumberFormat="1" applyFont="1" applyBorder="1" applyAlignment="1">
      <alignment horizontal="center"/>
    </xf>
    <xf numFmtId="178" fontId="49" fillId="2" borderId="54" xfId="4" applyNumberFormat="1" applyFont="1" applyFill="1" applyBorder="1" applyAlignment="1">
      <alignment horizontal="center"/>
    </xf>
    <xf numFmtId="165" fontId="49" fillId="0" borderId="39" xfId="25" applyNumberFormat="1" applyFont="1" applyBorder="1" applyAlignment="1">
      <alignment horizontal="center"/>
    </xf>
    <xf numFmtId="0" fontId="49" fillId="0" borderId="0" xfId="28" applyFont="1"/>
    <xf numFmtId="0" fontId="49" fillId="0" borderId="25" xfId="25" applyFont="1" applyBorder="1"/>
    <xf numFmtId="43" fontId="49" fillId="0" borderId="31" xfId="1" applyFont="1" applyBorder="1" applyAlignment="1">
      <alignment horizontal="center"/>
    </xf>
    <xf numFmtId="0" fontId="49" fillId="0" borderId="0" xfId="1" applyNumberFormat="1" applyFont="1" applyAlignment="1">
      <alignment horizontal="center"/>
    </xf>
    <xf numFmtId="164" fontId="49" fillId="0" borderId="0" xfId="29" applyFont="1"/>
    <xf numFmtId="1" fontId="49" fillId="0" borderId="0" xfId="29" applyNumberFormat="1" applyFont="1" applyAlignment="1">
      <alignment horizontal="center"/>
    </xf>
    <xf numFmtId="164" fontId="48" fillId="0" borderId="0" xfId="29" applyFont="1"/>
    <xf numFmtId="0" fontId="49" fillId="0" borderId="40" xfId="1" applyNumberFormat="1" applyFont="1" applyBorder="1" applyAlignment="1">
      <alignment horizontal="center"/>
    </xf>
    <xf numFmtId="164" fontId="49" fillId="0" borderId="25" xfId="29" applyFont="1" applyBorder="1"/>
    <xf numFmtId="1" fontId="49" fillId="0" borderId="25" xfId="29" applyNumberFormat="1" applyFont="1" applyBorder="1" applyAlignment="1">
      <alignment horizontal="center"/>
    </xf>
    <xf numFmtId="164" fontId="49" fillId="0" borderId="35" xfId="29" applyFont="1" applyBorder="1" applyAlignment="1">
      <alignment horizontal="center"/>
    </xf>
    <xf numFmtId="0" fontId="49" fillId="0" borderId="41" xfId="1" applyNumberFormat="1" applyFont="1" applyBorder="1" applyAlignment="1">
      <alignment horizontal="center"/>
    </xf>
    <xf numFmtId="164" fontId="49" fillId="0" borderId="54" xfId="29" applyFont="1" applyBorder="1"/>
    <xf numFmtId="164" fontId="49" fillId="0" borderId="54" xfId="29" applyFont="1" applyBorder="1" applyAlignment="1">
      <alignment horizontal="center" wrapText="1"/>
    </xf>
    <xf numFmtId="164" fontId="49" fillId="0" borderId="39" xfId="29" applyFont="1" applyBorder="1" applyAlignment="1">
      <alignment horizontal="center" wrapText="1"/>
    </xf>
    <xf numFmtId="0" fontId="49" fillId="0" borderId="40" xfId="1" applyNumberFormat="1" applyFont="1" applyBorder="1" applyAlignment="1">
      <alignment horizontal="left"/>
    </xf>
    <xf numFmtId="164" fontId="49" fillId="2" borderId="25" xfId="29" applyFont="1" applyFill="1" applyBorder="1"/>
    <xf numFmtId="165" fontId="49" fillId="2" borderId="25" xfId="1" applyNumberFormat="1" applyFont="1" applyFill="1" applyBorder="1" applyAlignment="1">
      <alignment wrapText="1"/>
    </xf>
    <xf numFmtId="165" fontId="49" fillId="0" borderId="35" xfId="1" applyNumberFormat="1" applyFont="1" applyBorder="1" applyAlignment="1">
      <alignment wrapText="1"/>
    </xf>
    <xf numFmtId="0" fontId="49" fillId="0" borderId="42" xfId="1" applyNumberFormat="1" applyFont="1" applyBorder="1" applyAlignment="1">
      <alignment horizontal="left"/>
    </xf>
    <xf numFmtId="164" fontId="49" fillId="2" borderId="0" xfId="29" applyFont="1" applyFill="1"/>
    <xf numFmtId="165" fontId="49" fillId="2" borderId="0" xfId="1" applyNumberFormat="1" applyFont="1" applyFill="1" applyBorder="1"/>
    <xf numFmtId="165" fontId="49" fillId="0" borderId="37" xfId="1" applyNumberFormat="1" applyFont="1" applyBorder="1" applyAlignment="1">
      <alignment wrapText="1"/>
    </xf>
    <xf numFmtId="0" fontId="49" fillId="0" borderId="41" xfId="1" applyNumberFormat="1" applyFont="1" applyBorder="1" applyAlignment="1">
      <alignment horizontal="left"/>
    </xf>
    <xf numFmtId="164" fontId="49" fillId="2" borderId="54" xfId="29" applyFont="1" applyFill="1" applyBorder="1"/>
    <xf numFmtId="165" fontId="49" fillId="2" borderId="54" xfId="1" applyNumberFormat="1" applyFont="1" applyFill="1" applyBorder="1"/>
    <xf numFmtId="165" fontId="49" fillId="0" borderId="39" xfId="1" applyNumberFormat="1" applyFont="1" applyBorder="1" applyAlignment="1">
      <alignment wrapText="1"/>
    </xf>
    <xf numFmtId="0" fontId="49" fillId="0" borderId="0" xfId="1" applyNumberFormat="1" applyFont="1" applyAlignment="1">
      <alignment horizontal="left"/>
    </xf>
    <xf numFmtId="165" fontId="49" fillId="0" borderId="0" xfId="1" applyNumberFormat="1" applyFont="1"/>
    <xf numFmtId="0" fontId="49" fillId="0" borderId="0" xfId="1" applyNumberFormat="1" applyFont="1" applyBorder="1" applyAlignment="1">
      <alignment horizontal="center"/>
    </xf>
    <xf numFmtId="164" fontId="49" fillId="0" borderId="0" xfId="29" applyFont="1" applyAlignment="1">
      <alignment horizontal="center"/>
    </xf>
    <xf numFmtId="0" fontId="49" fillId="0" borderId="31" xfId="1" applyNumberFormat="1" applyFont="1" applyBorder="1" applyAlignment="1">
      <alignment horizontal="center"/>
    </xf>
    <xf numFmtId="164" fontId="0" fillId="0" borderId="25" xfId="0" applyBorder="1"/>
    <xf numFmtId="164" fontId="49" fillId="0" borderId="25" xfId="29" applyFont="1" applyBorder="1" applyAlignment="1">
      <alignment horizontal="center" wrapText="1"/>
    </xf>
    <xf numFmtId="164" fontId="49" fillId="0" borderId="35" xfId="29" applyFont="1" applyBorder="1" applyAlignment="1">
      <alignment horizontal="center" wrapText="1"/>
    </xf>
    <xf numFmtId="164" fontId="49" fillId="0" borderId="0" xfId="29" applyFont="1" applyAlignment="1">
      <alignment horizontal="center" wrapText="1"/>
    </xf>
    <xf numFmtId="164" fontId="49" fillId="2" borderId="34" xfId="29" applyFont="1" applyFill="1" applyBorder="1"/>
    <xf numFmtId="165" fontId="49" fillId="2" borderId="35" xfId="1" applyNumberFormat="1" applyFont="1" applyFill="1" applyBorder="1" applyAlignment="1">
      <alignment wrapText="1"/>
    </xf>
    <xf numFmtId="165" fontId="49" fillId="0" borderId="0" xfId="1" applyNumberFormat="1" applyFont="1" applyFill="1" applyBorder="1" applyAlignment="1">
      <alignment wrapText="1"/>
    </xf>
    <xf numFmtId="164" fontId="49" fillId="2" borderId="36" xfId="29" applyFont="1" applyFill="1" applyBorder="1"/>
    <xf numFmtId="165" fontId="49" fillId="2" borderId="37" xfId="1" applyNumberFormat="1" applyFont="1" applyFill="1" applyBorder="1"/>
    <xf numFmtId="165" fontId="49" fillId="0" borderId="0" xfId="1" applyNumberFormat="1" applyFont="1" applyFill="1" applyBorder="1"/>
    <xf numFmtId="164" fontId="49" fillId="2" borderId="38" xfId="29" applyFont="1" applyFill="1" applyBorder="1"/>
    <xf numFmtId="165" fontId="49" fillId="2" borderId="39" xfId="1" applyNumberFormat="1" applyFont="1" applyFill="1" applyBorder="1"/>
    <xf numFmtId="165" fontId="49" fillId="0" borderId="31" xfId="1" applyNumberFormat="1" applyFont="1" applyFill="1" applyBorder="1"/>
    <xf numFmtId="164" fontId="0" fillId="0" borderId="0" xfId="0" applyAlignment="1">
      <alignment horizontal="left"/>
    </xf>
    <xf numFmtId="0" fontId="76" fillId="0" borderId="0" xfId="30" applyFont="1"/>
    <xf numFmtId="0" fontId="75" fillId="0" borderId="0" xfId="8" applyFont="1" applyAlignment="1">
      <alignment horizontal="center"/>
    </xf>
    <xf numFmtId="0" fontId="76" fillId="0" borderId="0" xfId="30" applyFont="1" applyAlignment="1">
      <alignment horizontal="center"/>
    </xf>
    <xf numFmtId="0" fontId="77" fillId="0" borderId="0" xfId="30" applyFont="1" applyAlignment="1">
      <alignment wrapText="1"/>
    </xf>
    <xf numFmtId="0" fontId="77" fillId="0" borderId="0" xfId="30" applyFont="1" applyAlignment="1">
      <alignment horizontal="center" wrapText="1"/>
    </xf>
    <xf numFmtId="0" fontId="77" fillId="0" borderId="0" xfId="30" applyFont="1" applyAlignment="1">
      <alignment horizontal="center" vertical="center" wrapText="1"/>
    </xf>
    <xf numFmtId="164" fontId="75" fillId="0" borderId="0" xfId="31" applyFont="1" applyAlignment="1">
      <alignment horizontal="center" vertical="center" wrapText="1"/>
    </xf>
    <xf numFmtId="0" fontId="76" fillId="0" borderId="0" xfId="30" applyFont="1" applyAlignment="1">
      <alignment horizontal="center" vertical="center" wrapText="1"/>
    </xf>
    <xf numFmtId="164" fontId="78" fillId="0" borderId="0" xfId="31" applyFont="1" applyAlignment="1">
      <alignment vertical="top" wrapText="1"/>
    </xf>
    <xf numFmtId="165" fontId="76" fillId="2" borderId="0" xfId="1" applyNumberFormat="1" applyFont="1" applyFill="1" applyBorder="1"/>
    <xf numFmtId="165" fontId="76" fillId="0" borderId="0" xfId="1" applyNumberFormat="1" applyFont="1" applyBorder="1"/>
    <xf numFmtId="165" fontId="77" fillId="0" borderId="0" xfId="1" applyNumberFormat="1" applyFont="1" applyBorder="1"/>
    <xf numFmtId="17" fontId="76" fillId="0" borderId="0" xfId="30" applyNumberFormat="1" applyFont="1"/>
    <xf numFmtId="165" fontId="76" fillId="0" borderId="0" xfId="1" applyNumberFormat="1" applyFont="1" applyFill="1" applyBorder="1"/>
    <xf numFmtId="165" fontId="76" fillId="0" borderId="0" xfId="32" applyNumberFormat="1" applyFont="1" applyBorder="1"/>
    <xf numFmtId="165" fontId="77" fillId="0" borderId="0" xfId="1" applyNumberFormat="1" applyFont="1" applyFill="1" applyBorder="1"/>
    <xf numFmtId="43" fontId="76" fillId="0" borderId="0" xfId="30" applyNumberFormat="1" applyFont="1"/>
    <xf numFmtId="177" fontId="76" fillId="0" borderId="0" xfId="4" applyNumberFormat="1" applyFont="1" applyBorder="1"/>
    <xf numFmtId="177" fontId="76" fillId="0" borderId="0" xfId="4" applyNumberFormat="1" applyFont="1" applyFill="1" applyBorder="1"/>
    <xf numFmtId="17" fontId="77" fillId="0" borderId="0" xfId="30" applyNumberFormat="1" applyFont="1"/>
    <xf numFmtId="165" fontId="77" fillId="0" borderId="0" xfId="30" applyNumberFormat="1" applyFont="1"/>
    <xf numFmtId="165" fontId="76" fillId="0" borderId="0" xfId="30" applyNumberFormat="1" applyFont="1"/>
    <xf numFmtId="43" fontId="76" fillId="0" borderId="0" xfId="1" applyFont="1" applyBorder="1"/>
    <xf numFmtId="0" fontId="3" fillId="0" borderId="0" xfId="8" applyFont="1"/>
    <xf numFmtId="0" fontId="11" fillId="0" borderId="0" xfId="8" applyFont="1"/>
    <xf numFmtId="164" fontId="11" fillId="0" borderId="0" xfId="0" applyFont="1"/>
    <xf numFmtId="164" fontId="3" fillId="0" borderId="0" xfId="0" applyFont="1" applyAlignment="1">
      <alignment horizontal="center"/>
    </xf>
    <xf numFmtId="164" fontId="11" fillId="0" borderId="0" xfId="0" applyFont="1" applyAlignment="1">
      <alignment horizontal="left" vertical="center"/>
    </xf>
    <xf numFmtId="185" fontId="3" fillId="0" borderId="0" xfId="0" applyNumberFormat="1" applyFont="1" applyAlignment="1">
      <alignment horizontal="center"/>
    </xf>
    <xf numFmtId="1" fontId="3" fillId="5" borderId="0" xfId="0" applyNumberFormat="1" applyFont="1" applyFill="1" applyAlignment="1">
      <alignment horizontal="center" vertical="center"/>
    </xf>
    <xf numFmtId="1" fontId="3" fillId="0" borderId="0" xfId="0" applyNumberFormat="1" applyFont="1" applyAlignment="1">
      <alignment horizontal="center" vertical="center"/>
    </xf>
    <xf numFmtId="0" fontId="3" fillId="0" borderId="0" xfId="0" applyNumberFormat="1" applyFont="1" applyAlignment="1">
      <alignment horizontal="center" vertical="center"/>
    </xf>
    <xf numFmtId="164" fontId="3" fillId="0" borderId="0" xfId="0" applyFont="1" applyAlignment="1">
      <alignment horizontal="center" vertical="center"/>
    </xf>
    <xf numFmtId="165" fontId="3" fillId="0" borderId="0" xfId="1" applyNumberFormat="1" applyFont="1" applyFill="1" applyAlignment="1">
      <alignment horizontal="center" vertical="center"/>
    </xf>
    <xf numFmtId="165" fontId="3" fillId="5" borderId="0" xfId="1" applyNumberFormat="1" applyFont="1" applyFill="1" applyAlignment="1"/>
    <xf numFmtId="10" fontId="3" fillId="0" borderId="0" xfId="4" applyNumberFormat="1" applyFont="1"/>
    <xf numFmtId="164" fontId="3" fillId="5" borderId="0" xfId="0" applyFont="1" applyFill="1"/>
    <xf numFmtId="164" fontId="3" fillId="0" borderId="0" xfId="0" applyFont="1" applyAlignment="1">
      <alignment vertical="top" wrapText="1"/>
    </xf>
    <xf numFmtId="0" fontId="19" fillId="0" borderId="0" xfId="5" applyFont="1" applyFill="1"/>
    <xf numFmtId="0" fontId="22" fillId="0" borderId="0" xfId="5" applyFont="1" applyFill="1" applyProtection="1">
      <protection locked="0"/>
    </xf>
    <xf numFmtId="0" fontId="22" fillId="0" borderId="0" xfId="5" applyFont="1" applyFill="1"/>
    <xf numFmtId="10" fontId="6" fillId="0" borderId="9" xfId="4" applyNumberFormat="1" applyFont="1" applyBorder="1" applyAlignment="1">
      <alignment horizontal="center"/>
    </xf>
    <xf numFmtId="1" fontId="6" fillId="2" borderId="0" xfId="4" applyNumberFormat="1" applyFont="1" applyFill="1" applyBorder="1" applyAlignment="1">
      <alignment horizontal="center"/>
    </xf>
    <xf numFmtId="164" fontId="22" fillId="0" borderId="0" xfId="0" applyFont="1" applyAlignment="1">
      <alignment horizontal="left" wrapText="1"/>
    </xf>
    <xf numFmtId="0" fontId="3" fillId="0" borderId="0" xfId="5" applyFont="1" applyAlignment="1">
      <alignment horizontal="right"/>
    </xf>
    <xf numFmtId="3" fontId="14" fillId="0" borderId="0" xfId="5" applyNumberFormat="1" applyFont="1" applyAlignment="1">
      <alignment horizontal="left" wrapText="1"/>
    </xf>
    <xf numFmtId="164" fontId="22" fillId="0" borderId="0" xfId="0" applyFont="1" applyAlignment="1">
      <alignment horizontal="left" vertical="top" wrapText="1"/>
    </xf>
    <xf numFmtId="0" fontId="27" fillId="0" borderId="0" xfId="8" applyFont="1" applyAlignment="1">
      <alignment horizontal="center"/>
    </xf>
    <xf numFmtId="0" fontId="14" fillId="0" borderId="0" xfId="8" applyFont="1" applyAlignment="1">
      <alignment horizontal="left" wrapText="1"/>
    </xf>
    <xf numFmtId="164" fontId="14" fillId="0" borderId="0" xfId="0" applyFont="1" applyAlignment="1">
      <alignment horizontal="left" wrapText="1"/>
    </xf>
    <xf numFmtId="0" fontId="28" fillId="7" borderId="5" xfId="8" applyFont="1" applyFill="1" applyBorder="1" applyAlignment="1">
      <alignment horizontal="center"/>
    </xf>
    <xf numFmtId="0" fontId="28" fillId="7" borderId="6" xfId="8" applyFont="1" applyFill="1" applyBorder="1" applyAlignment="1">
      <alignment horizontal="center"/>
    </xf>
    <xf numFmtId="0" fontId="28" fillId="7" borderId="7" xfId="8" applyFont="1" applyFill="1" applyBorder="1" applyAlignment="1">
      <alignment horizontal="center"/>
    </xf>
    <xf numFmtId="0" fontId="31" fillId="0" borderId="0" xfId="8" applyFont="1" applyAlignment="1">
      <alignment horizontal="center"/>
    </xf>
    <xf numFmtId="0" fontId="35" fillId="7" borderId="14" xfId="8" applyFont="1" applyFill="1" applyBorder="1" applyAlignment="1">
      <alignment horizontal="center"/>
    </xf>
    <xf numFmtId="0" fontId="35" fillId="7" borderId="15" xfId="8" applyFont="1" applyFill="1" applyBorder="1" applyAlignment="1">
      <alignment horizontal="center"/>
    </xf>
    <xf numFmtId="0" fontId="35" fillId="7" borderId="16" xfId="8" applyFont="1" applyFill="1" applyBorder="1" applyAlignment="1">
      <alignment horizontal="center"/>
    </xf>
    <xf numFmtId="0" fontId="35" fillId="7" borderId="15" xfId="8" applyFont="1" applyFill="1" applyBorder="1" applyAlignment="1">
      <alignment horizontal="center" wrapText="1"/>
    </xf>
    <xf numFmtId="0" fontId="6" fillId="0" borderId="15" xfId="8" applyBorder="1" applyAlignment="1">
      <alignment horizontal="center" wrapText="1"/>
    </xf>
    <xf numFmtId="0" fontId="6" fillId="0" borderId="16" xfId="8" applyBorder="1" applyAlignment="1">
      <alignment horizontal="center" wrapText="1"/>
    </xf>
    <xf numFmtId="0" fontId="35" fillId="7" borderId="5" xfId="8" applyFont="1" applyFill="1" applyBorder="1" applyAlignment="1">
      <alignment horizontal="center"/>
    </xf>
    <xf numFmtId="0" fontId="35" fillId="7" borderId="6" xfId="8" applyFont="1" applyFill="1" applyBorder="1" applyAlignment="1">
      <alignment horizontal="center"/>
    </xf>
    <xf numFmtId="0" fontId="35" fillId="7" borderId="6" xfId="8" applyFont="1" applyFill="1" applyBorder="1" applyAlignment="1">
      <alignment horizontal="center" wrapText="1"/>
    </xf>
    <xf numFmtId="0" fontId="6" fillId="7" borderId="6" xfId="8" applyFill="1" applyBorder="1" applyAlignment="1">
      <alignment horizontal="center" wrapText="1"/>
    </xf>
    <xf numFmtId="0" fontId="6" fillId="7" borderId="7" xfId="8" applyFill="1" applyBorder="1" applyAlignment="1">
      <alignment horizontal="center" wrapText="1"/>
    </xf>
    <xf numFmtId="165" fontId="6" fillId="0" borderId="1" xfId="8" applyNumberFormat="1" applyBorder="1" applyAlignment="1">
      <alignment horizontal="center" wrapText="1"/>
    </xf>
    <xf numFmtId="165" fontId="6" fillId="0" borderId="12" xfId="8" applyNumberFormat="1" applyBorder="1" applyAlignment="1">
      <alignment horizontal="center" wrapText="1"/>
    </xf>
    <xf numFmtId="0" fontId="37" fillId="0" borderId="0" xfId="8" applyFont="1" applyAlignment="1">
      <alignment horizontal="center" wrapText="1"/>
    </xf>
    <xf numFmtId="0" fontId="6" fillId="0" borderId="0" xfId="8" applyAlignment="1">
      <alignment horizontal="center" wrapText="1"/>
    </xf>
    <xf numFmtId="0" fontId="6" fillId="0" borderId="9" xfId="8" applyBorder="1" applyAlignment="1">
      <alignment horizontal="center" wrapText="1"/>
    </xf>
    <xf numFmtId="49" fontId="42" fillId="0" borderId="0" xfId="10" applyNumberFormat="1" applyFont="1" applyAlignment="1">
      <alignment horizontal="left" vertical="top" wrapText="1"/>
    </xf>
    <xf numFmtId="49" fontId="43" fillId="0" borderId="0" xfId="10" applyNumberFormat="1" applyFont="1" applyAlignment="1">
      <alignment horizontal="left" vertical="top" wrapText="1"/>
    </xf>
    <xf numFmtId="0" fontId="35" fillId="4" borderId="8" xfId="8" applyFont="1" applyFill="1" applyBorder="1" applyAlignment="1">
      <alignment horizontal="center"/>
    </xf>
    <xf numFmtId="0" fontId="35" fillId="4" borderId="0" xfId="8" applyFont="1" applyFill="1" applyAlignment="1">
      <alignment horizontal="center"/>
    </xf>
    <xf numFmtId="0" fontId="35" fillId="7" borderId="0" xfId="8" applyFont="1" applyFill="1" applyAlignment="1">
      <alignment horizontal="center" wrapText="1"/>
    </xf>
    <xf numFmtId="0" fontId="35" fillId="0" borderId="5" xfId="8" applyFont="1" applyBorder="1" applyAlignment="1">
      <alignment horizontal="center"/>
    </xf>
    <xf numFmtId="0" fontId="35" fillId="0" borderId="6" xfId="8" applyFont="1" applyBorder="1" applyAlignment="1">
      <alignment horizontal="center"/>
    </xf>
    <xf numFmtId="0" fontId="35" fillId="0" borderId="6" xfId="8" applyFont="1" applyBorder="1" applyAlignment="1">
      <alignment horizontal="center" wrapText="1"/>
    </xf>
    <xf numFmtId="0" fontId="6" fillId="0" borderId="6" xfId="8" applyBorder="1" applyAlignment="1">
      <alignment horizontal="center" wrapText="1"/>
    </xf>
    <xf numFmtId="0" fontId="6" fillId="0" borderId="7" xfId="8" applyBorder="1" applyAlignment="1">
      <alignment horizontal="center" wrapText="1"/>
    </xf>
    <xf numFmtId="0" fontId="6" fillId="0" borderId="1" xfId="8" applyBorder="1" applyAlignment="1">
      <alignment horizontal="center" wrapText="1"/>
    </xf>
    <xf numFmtId="0" fontId="6" fillId="0" borderId="12" xfId="8" applyBorder="1" applyAlignment="1">
      <alignment horizontal="center" wrapText="1"/>
    </xf>
    <xf numFmtId="0" fontId="35" fillId="7" borderId="7" xfId="8" applyFont="1" applyFill="1" applyBorder="1" applyAlignment="1">
      <alignment horizontal="center"/>
    </xf>
    <xf numFmtId="0" fontId="35" fillId="7" borderId="6" xfId="8" applyFont="1" applyFill="1" applyBorder="1" applyAlignment="1">
      <alignment horizontal="right" wrapText="1"/>
    </xf>
    <xf numFmtId="0" fontId="35" fillId="7" borderId="7" xfId="8" applyFont="1" applyFill="1" applyBorder="1" applyAlignment="1">
      <alignment horizontal="right" wrapText="1"/>
    </xf>
    <xf numFmtId="0" fontId="44" fillId="4" borderId="5" xfId="8" applyFont="1" applyFill="1" applyBorder="1" applyAlignment="1">
      <alignment horizontal="center"/>
    </xf>
    <xf numFmtId="0" fontId="44" fillId="4" borderId="6" xfId="8" applyFont="1" applyFill="1" applyBorder="1" applyAlignment="1">
      <alignment horizontal="center"/>
    </xf>
    <xf numFmtId="0" fontId="44" fillId="4" borderId="7" xfId="8" applyFont="1" applyFill="1" applyBorder="1" applyAlignment="1">
      <alignment horizontal="center"/>
    </xf>
    <xf numFmtId="0" fontId="44" fillId="4" borderId="6" xfId="8" applyFont="1" applyFill="1" applyBorder="1" applyAlignment="1">
      <alignment horizontal="center" wrapText="1"/>
    </xf>
    <xf numFmtId="0" fontId="44" fillId="4" borderId="7" xfId="8" applyFont="1" applyFill="1" applyBorder="1" applyAlignment="1">
      <alignment horizontal="center" wrapText="1"/>
    </xf>
    <xf numFmtId="0" fontId="35" fillId="7" borderId="7" xfId="8" applyFont="1" applyFill="1" applyBorder="1" applyAlignment="1">
      <alignment horizontal="center" wrapText="1"/>
    </xf>
    <xf numFmtId="0" fontId="37" fillId="0" borderId="9" xfId="8" applyFont="1" applyBorder="1" applyAlignment="1">
      <alignment horizontal="center" wrapText="1"/>
    </xf>
    <xf numFmtId="0" fontId="28" fillId="7" borderId="0" xfId="8" applyFont="1" applyFill="1" applyAlignment="1">
      <alignment horizontal="center"/>
    </xf>
    <xf numFmtId="0" fontId="28" fillId="7" borderId="0" xfId="8" applyFont="1" applyFill="1" applyAlignment="1">
      <alignment horizontal="center" wrapText="1"/>
    </xf>
    <xf numFmtId="0" fontId="14" fillId="0" borderId="0" xfId="8" applyFont="1" applyAlignment="1">
      <alignment horizontal="center" wrapText="1"/>
    </xf>
    <xf numFmtId="0" fontId="32" fillId="7" borderId="0" xfId="8" applyFont="1" applyFill="1" applyAlignment="1">
      <alignment horizontal="left"/>
    </xf>
    <xf numFmtId="165" fontId="32" fillId="7" borderId="0" xfId="1" applyNumberFormat="1" applyFont="1" applyFill="1" applyBorder="1" applyAlignment="1">
      <alignment horizontal="center" wrapText="1"/>
    </xf>
    <xf numFmtId="165" fontId="28" fillId="7" borderId="0" xfId="1" applyNumberFormat="1" applyFont="1" applyFill="1" applyBorder="1" applyAlignment="1">
      <alignment horizontal="center" wrapText="1"/>
    </xf>
    <xf numFmtId="164" fontId="18" fillId="0" borderId="0" xfId="0" applyFont="1" applyAlignment="1">
      <alignment horizontal="center"/>
    </xf>
    <xf numFmtId="164" fontId="18" fillId="2" borderId="31" xfId="0" applyFont="1" applyFill="1" applyBorder="1" applyAlignment="1">
      <alignment horizontal="left" vertical="top"/>
    </xf>
    <xf numFmtId="164" fontId="18" fillId="2" borderId="32" xfId="0" applyFont="1" applyFill="1" applyBorder="1" applyAlignment="1">
      <alignment horizontal="center" vertical="top"/>
    </xf>
    <xf numFmtId="164" fontId="18" fillId="2" borderId="4" xfId="0" applyFont="1" applyFill="1" applyBorder="1" applyAlignment="1">
      <alignment horizontal="center" vertical="top"/>
    </xf>
    <xf numFmtId="164" fontId="18" fillId="2" borderId="33" xfId="0" applyFont="1" applyFill="1" applyBorder="1" applyAlignment="1">
      <alignment horizontal="center" vertical="top"/>
    </xf>
    <xf numFmtId="164" fontId="18" fillId="2" borderId="32" xfId="0" applyFont="1" applyFill="1" applyBorder="1" applyAlignment="1">
      <alignment horizontal="left" vertical="top" wrapText="1"/>
    </xf>
    <xf numFmtId="164" fontId="18" fillId="2" borderId="4" xfId="0" applyFont="1" applyFill="1" applyBorder="1" applyAlignment="1">
      <alignment horizontal="left" vertical="top" wrapText="1"/>
    </xf>
    <xf numFmtId="164" fontId="0" fillId="0" borderId="33" xfId="0" applyBorder="1" applyAlignment="1">
      <alignment vertical="top"/>
    </xf>
    <xf numFmtId="164" fontId="18" fillId="2" borderId="34" xfId="0" applyFont="1" applyFill="1" applyBorder="1" applyAlignment="1">
      <alignment horizontal="left" vertical="top" wrapText="1"/>
    </xf>
    <xf numFmtId="164" fontId="0" fillId="0" borderId="25" xfId="0" applyBorder="1" applyAlignment="1">
      <alignment horizontal="left" vertical="top" wrapText="1"/>
    </xf>
    <xf numFmtId="164" fontId="0" fillId="0" borderId="35" xfId="0" applyBorder="1" applyAlignment="1">
      <alignment horizontal="left" vertical="top" wrapText="1"/>
    </xf>
    <xf numFmtId="164" fontId="0" fillId="0" borderId="4" xfId="0" applyBorder="1" applyAlignment="1">
      <alignment horizontal="left" vertical="top" wrapText="1"/>
    </xf>
    <xf numFmtId="164" fontId="0" fillId="0" borderId="33" xfId="0" applyBorder="1" applyAlignment="1">
      <alignment horizontal="left" vertical="top" wrapText="1"/>
    </xf>
    <xf numFmtId="164" fontId="18" fillId="0" borderId="34" xfId="0" applyFont="1" applyBorder="1" applyAlignment="1">
      <alignment horizontal="left" vertical="top"/>
    </xf>
    <xf numFmtId="164" fontId="0" fillId="0" borderId="35" xfId="0" applyBorder="1" applyAlignment="1">
      <alignment horizontal="left" vertical="top"/>
    </xf>
    <xf numFmtId="164" fontId="0" fillId="0" borderId="36" xfId="0" applyBorder="1" applyAlignment="1">
      <alignment horizontal="left" vertical="top"/>
    </xf>
    <xf numFmtId="164" fontId="0" fillId="0" borderId="37" xfId="0" applyBorder="1" applyAlignment="1">
      <alignment horizontal="left" vertical="top"/>
    </xf>
    <xf numFmtId="164" fontId="0" fillId="0" borderId="38" xfId="0" applyBorder="1" applyAlignment="1">
      <alignment horizontal="left" vertical="top"/>
    </xf>
    <xf numFmtId="164" fontId="0" fillId="0" borderId="39" xfId="0" applyBorder="1" applyAlignment="1">
      <alignment horizontal="left" vertical="top"/>
    </xf>
    <xf numFmtId="164" fontId="18" fillId="0" borderId="34" xfId="0" applyFont="1" applyBorder="1" applyAlignment="1">
      <alignment horizontal="center" vertical="top" wrapText="1"/>
    </xf>
    <xf numFmtId="164" fontId="0" fillId="0" borderId="25" xfId="0" applyBorder="1" applyAlignment="1">
      <alignment horizontal="center" vertical="top" wrapText="1"/>
    </xf>
    <xf numFmtId="164" fontId="0" fillId="0" borderId="35" xfId="0" applyBorder="1" applyAlignment="1">
      <alignment horizontal="center" vertical="top" wrapText="1"/>
    </xf>
    <xf numFmtId="164" fontId="0" fillId="0" borderId="36" xfId="0" applyBorder="1" applyAlignment="1">
      <alignment horizontal="center" vertical="top" wrapText="1"/>
    </xf>
    <xf numFmtId="164" fontId="0" fillId="0" borderId="0" xfId="0" applyAlignment="1">
      <alignment horizontal="center" vertical="top" wrapText="1"/>
    </xf>
    <xf numFmtId="164" fontId="0" fillId="0" borderId="37" xfId="0" applyBorder="1" applyAlignment="1">
      <alignment horizontal="center" vertical="top" wrapText="1"/>
    </xf>
    <xf numFmtId="164" fontId="0" fillId="0" borderId="38" xfId="0" applyBorder="1" applyAlignment="1">
      <alignment horizontal="center" vertical="top" wrapText="1"/>
    </xf>
    <xf numFmtId="164" fontId="0" fillId="0" borderId="3" xfId="0" applyBorder="1" applyAlignment="1">
      <alignment horizontal="center" vertical="top" wrapText="1"/>
    </xf>
    <xf numFmtId="164" fontId="0" fillId="0" borderId="39" xfId="0" applyBorder="1" applyAlignment="1">
      <alignment horizontal="center" vertical="top" wrapText="1"/>
    </xf>
    <xf numFmtId="164" fontId="56" fillId="0" borderId="32" xfId="0" applyFont="1" applyBorder="1" applyAlignment="1">
      <alignment horizontal="center" vertical="top" wrapText="1"/>
    </xf>
    <xf numFmtId="164" fontId="58" fillId="0" borderId="4" xfId="0" applyFont="1" applyBorder="1" applyAlignment="1">
      <alignment horizontal="center" vertical="top" wrapText="1"/>
    </xf>
    <xf numFmtId="164" fontId="58" fillId="0" borderId="4" xfId="0" applyFont="1" applyBorder="1" applyAlignment="1">
      <alignment vertical="top" wrapText="1"/>
    </xf>
    <xf numFmtId="164" fontId="58" fillId="0" borderId="33" xfId="0" applyFont="1" applyBorder="1" applyAlignment="1">
      <alignment vertical="top" wrapText="1"/>
    </xf>
    <xf numFmtId="164" fontId="0" fillId="0" borderId="34" xfId="0" applyBorder="1" applyAlignment="1">
      <alignment horizontal="left" vertical="top" wrapText="1"/>
    </xf>
    <xf numFmtId="164" fontId="0" fillId="0" borderId="36" xfId="0" applyBorder="1" applyAlignment="1">
      <alignment horizontal="left" vertical="top" wrapText="1"/>
    </xf>
    <xf numFmtId="164" fontId="0" fillId="0" borderId="37" xfId="0" applyBorder="1" applyAlignment="1">
      <alignment horizontal="left" vertical="top" wrapText="1"/>
    </xf>
    <xf numFmtId="164" fontId="0" fillId="0" borderId="38" xfId="0" applyBorder="1" applyAlignment="1">
      <alignment horizontal="left" vertical="top" wrapText="1"/>
    </xf>
    <xf numFmtId="164" fontId="0" fillId="0" borderId="39" xfId="0" applyBorder="1" applyAlignment="1">
      <alignment horizontal="left" vertical="top" wrapText="1"/>
    </xf>
    <xf numFmtId="164" fontId="18" fillId="0" borderId="32" xfId="0" applyFont="1" applyBorder="1" applyAlignment="1">
      <alignment horizontal="center" vertical="top" wrapText="1"/>
    </xf>
    <xf numFmtId="164" fontId="0" fillId="0" borderId="4" xfId="0" applyBorder="1" applyAlignment="1">
      <alignment horizontal="center" vertical="top" wrapText="1"/>
    </xf>
    <xf numFmtId="164" fontId="18" fillId="0" borderId="33" xfId="0" applyFont="1" applyBorder="1" applyAlignment="1">
      <alignment horizontal="center" vertical="top" wrapText="1"/>
    </xf>
    <xf numFmtId="49" fontId="18" fillId="0" borderId="32" xfId="0" applyNumberFormat="1" applyFont="1" applyBorder="1" applyAlignment="1">
      <alignment horizontal="center" vertical="top" wrapText="1"/>
    </xf>
    <xf numFmtId="49" fontId="0" fillId="0" borderId="33" xfId="0" applyNumberFormat="1" applyBorder="1" applyAlignment="1">
      <alignment horizontal="center" vertical="top" wrapText="1"/>
    </xf>
    <xf numFmtId="164" fontId="27" fillId="0" borderId="0" xfId="0" applyFont="1" applyAlignment="1">
      <alignment horizontal="center"/>
    </xf>
    <xf numFmtId="164" fontId="14" fillId="0" borderId="0" xfId="0" applyFont="1" applyAlignment="1" applyProtection="1">
      <alignment horizontal="center"/>
      <protection locked="0"/>
    </xf>
    <xf numFmtId="164" fontId="27" fillId="0" borderId="0" xfId="0" applyFont="1" applyAlignment="1" applyProtection="1">
      <alignment horizontal="center"/>
      <protection locked="0"/>
    </xf>
    <xf numFmtId="164" fontId="42" fillId="0" borderId="38" xfId="0" applyFont="1" applyBorder="1" applyAlignment="1">
      <alignment horizontal="center"/>
    </xf>
    <xf numFmtId="164" fontId="42" fillId="0" borderId="3" xfId="0" applyFont="1" applyBorder="1" applyAlignment="1">
      <alignment horizontal="center"/>
    </xf>
    <xf numFmtId="164" fontId="42" fillId="0" borderId="39" xfId="0" applyFont="1" applyBorder="1" applyAlignment="1">
      <alignment horizontal="center"/>
    </xf>
    <xf numFmtId="0" fontId="27" fillId="0" borderId="0" xfId="17" applyFont="1" applyAlignment="1">
      <alignment horizontal="center"/>
    </xf>
    <xf numFmtId="0" fontId="14" fillId="0" borderId="0" xfId="17" applyFont="1" applyAlignment="1">
      <alignment horizontal="center"/>
    </xf>
    <xf numFmtId="0" fontId="14" fillId="0" borderId="0" xfId="17" applyFont="1" applyAlignment="1">
      <alignment wrapText="1"/>
    </xf>
    <xf numFmtId="0" fontId="14" fillId="0" borderId="0" xfId="17" applyFont="1" applyAlignment="1">
      <alignment horizontal="left" wrapText="1"/>
    </xf>
    <xf numFmtId="0" fontId="14" fillId="0" borderId="0" xfId="17" applyFont="1"/>
    <xf numFmtId="0" fontId="31" fillId="0" borderId="0" xfId="21" applyNumberFormat="1" applyFont="1" applyAlignment="1">
      <alignment horizontal="center"/>
    </xf>
    <xf numFmtId="164" fontId="11" fillId="0" borderId="0" xfId="21" applyFont="1" applyAlignment="1" applyProtection="1">
      <alignment horizontal="center"/>
      <protection locked="0"/>
    </xf>
    <xf numFmtId="164" fontId="49" fillId="0" borderId="0" xfId="0" applyFont="1" applyAlignment="1">
      <alignment horizontal="center"/>
    </xf>
    <xf numFmtId="0" fontId="49" fillId="0" borderId="0" xfId="25" applyFont="1" applyAlignment="1">
      <alignment horizontal="center"/>
    </xf>
    <xf numFmtId="164" fontId="48" fillId="0" borderId="0" xfId="0" applyFont="1" applyAlignment="1">
      <alignment horizontal="center"/>
    </xf>
    <xf numFmtId="0" fontId="49" fillId="0" borderId="32" xfId="10" applyFont="1" applyBorder="1" applyAlignment="1">
      <alignment horizontal="center" wrapText="1"/>
    </xf>
    <xf numFmtId="0" fontId="49" fillId="0" borderId="38" xfId="10" applyFont="1" applyBorder="1" applyAlignment="1">
      <alignment horizontal="center" wrapText="1"/>
    </xf>
    <xf numFmtId="0" fontId="49" fillId="0" borderId="34" xfId="10" applyFont="1" applyBorder="1" applyAlignment="1">
      <alignment horizontal="center" wrapText="1"/>
    </xf>
    <xf numFmtId="0" fontId="49" fillId="0" borderId="25" xfId="10" applyFont="1" applyBorder="1" applyAlignment="1">
      <alignment horizontal="left" wrapText="1"/>
    </xf>
    <xf numFmtId="0" fontId="49" fillId="0" borderId="54" xfId="10" applyFont="1" applyBorder="1" applyAlignment="1">
      <alignment horizontal="left" wrapText="1"/>
    </xf>
    <xf numFmtId="0" fontId="49" fillId="0" borderId="35" xfId="10" applyFont="1" applyBorder="1" applyAlignment="1">
      <alignment horizontal="center" wrapText="1"/>
    </xf>
    <xf numFmtId="0" fontId="49" fillId="0" borderId="39" xfId="10" applyFont="1" applyBorder="1" applyAlignment="1">
      <alignment horizontal="center" wrapText="1"/>
    </xf>
    <xf numFmtId="17" fontId="49" fillId="0" borderId="25" xfId="25" applyNumberFormat="1" applyFont="1" applyBorder="1" applyAlignment="1">
      <alignment horizontal="center" wrapText="1"/>
    </xf>
    <xf numFmtId="17" fontId="49" fillId="0" borderId="54" xfId="25" applyNumberFormat="1" applyFont="1" applyBorder="1" applyAlignment="1">
      <alignment horizontal="center" wrapText="1"/>
    </xf>
    <xf numFmtId="17" fontId="49" fillId="0" borderId="35" xfId="25" applyNumberFormat="1" applyFont="1" applyBorder="1" applyAlignment="1">
      <alignment horizontal="center" wrapText="1"/>
    </xf>
    <xf numFmtId="17" fontId="49" fillId="0" borderId="39" xfId="25" applyNumberFormat="1" applyFont="1" applyBorder="1" applyAlignment="1">
      <alignment horizontal="center" wrapText="1"/>
    </xf>
    <xf numFmtId="164" fontId="48" fillId="0" borderId="0" xfId="29" applyFont="1" applyAlignment="1">
      <alignment horizontal="left"/>
    </xf>
    <xf numFmtId="165" fontId="49" fillId="0" borderId="0" xfId="1" applyNumberFormat="1" applyFont="1" applyFill="1" applyBorder="1" applyAlignment="1">
      <alignment horizontal="center" wrapText="1"/>
    </xf>
    <xf numFmtId="0" fontId="49" fillId="0" borderId="34" xfId="25" applyFont="1" applyBorder="1" applyAlignment="1">
      <alignment horizontal="center" wrapText="1"/>
    </xf>
    <xf numFmtId="0" fontId="49" fillId="0" borderId="38" xfId="25" applyFont="1" applyBorder="1" applyAlignment="1">
      <alignment horizontal="center" wrapText="1"/>
    </xf>
    <xf numFmtId="0" fontId="49" fillId="0" borderId="25" xfId="25" applyFont="1" applyBorder="1" applyAlignment="1">
      <alignment horizontal="center" wrapText="1"/>
    </xf>
    <xf numFmtId="0" fontId="49" fillId="0" borderId="54" xfId="25" applyFont="1" applyBorder="1" applyAlignment="1">
      <alignment horizontal="center" wrapText="1"/>
    </xf>
    <xf numFmtId="165" fontId="49" fillId="0" borderId="25" xfId="1" applyNumberFormat="1" applyFont="1" applyFill="1" applyBorder="1" applyAlignment="1">
      <alignment horizontal="center" wrapText="1"/>
    </xf>
    <xf numFmtId="165" fontId="49" fillId="0" borderId="54" xfId="1" applyNumberFormat="1" applyFont="1" applyFill="1" applyBorder="1" applyAlignment="1">
      <alignment horizontal="center" wrapText="1"/>
    </xf>
    <xf numFmtId="0" fontId="75" fillId="0" borderId="0" xfId="8" applyFont="1" applyAlignment="1">
      <alignment horizontal="center"/>
    </xf>
    <xf numFmtId="0" fontId="11" fillId="0" borderId="0" xfId="8" applyFont="1" applyAlignment="1">
      <alignment horizontal="center"/>
    </xf>
    <xf numFmtId="164" fontId="3" fillId="0" borderId="0" xfId="0" applyFont="1" applyAlignment="1">
      <alignment horizontal="left" wrapText="1"/>
    </xf>
  </cellXfs>
  <cellStyles count="47">
    <cellStyle name="Comma" xfId="1" builtinId="3"/>
    <cellStyle name="Comma [0]" xfId="2" builtinId="6"/>
    <cellStyle name="Comma [0] 2 3" xfId="45" xr:uid="{B53E7404-AFD7-4BDA-A742-3429A429EA66}"/>
    <cellStyle name="Comma 2 2" xfId="9" xr:uid="{78813BD3-8BC9-4522-B40F-07A941414307}"/>
    <cellStyle name="Comma 5 2 4" xfId="38" xr:uid="{53855059-A53E-46DA-B29E-F023B600C2C1}"/>
    <cellStyle name="Comma 6" xfId="26" xr:uid="{98041680-CCB5-40DB-829C-C042AB4BE5B7}"/>
    <cellStyle name="Comma 7 6" xfId="46" xr:uid="{9AC40D17-E81D-46BF-92AB-A6604BDC4BD9}"/>
    <cellStyle name="Comma 88" xfId="24" xr:uid="{BD2566AB-9D70-40DD-8EFA-E0351A4B6538}"/>
    <cellStyle name="Comma 93" xfId="32" xr:uid="{D7C15B7D-9185-4F52-9313-02307D815B58}"/>
    <cellStyle name="Currency" xfId="3" builtinId="4"/>
    <cellStyle name="DetailIndented" xfId="40" xr:uid="{3DC561A9-2DA9-407C-9BA9-C46B52599572}"/>
    <cellStyle name="DetailTotalNumber" xfId="41" xr:uid="{3D49ABC4-5CCC-4EC7-AB1B-BEC344B96EC2}"/>
    <cellStyle name="Header" xfId="35" xr:uid="{2517164E-BA83-41D3-9F31-A311F84D4F7B}"/>
    <cellStyle name="Normal" xfId="0" builtinId="0"/>
    <cellStyle name="Normal 10 4 13" xfId="34" xr:uid="{B7CA2859-2D62-45D3-B617-226729AC9910}"/>
    <cellStyle name="Normal 12" xfId="19" xr:uid="{4506C6F2-68F8-48BE-99EA-A8B4C1317704}"/>
    <cellStyle name="Normal 13 11" xfId="33" xr:uid="{BE4BFDA1-4874-4AF6-BC54-D65A056E2007}"/>
    <cellStyle name="Normal 2" xfId="17" xr:uid="{231A2849-5DF1-4F50-B02E-5DC957AC41F3}"/>
    <cellStyle name="Normal 2 2" xfId="12" xr:uid="{90A88F07-67B8-47F3-881A-573ED6A984A9}"/>
    <cellStyle name="Normal 3 2" xfId="8" xr:uid="{C14122A7-E795-41F0-8734-5E7873208BC2}"/>
    <cellStyle name="Normal 3 8" xfId="21" xr:uid="{B0C183C2-7D53-4E53-9EE4-E065429D8247}"/>
    <cellStyle name="Normal 3_Attach O, GG, Support -New Method 2-14-11" xfId="15" xr:uid="{7CC88B73-8062-4A62-9271-BDD6035C9504}"/>
    <cellStyle name="Normal 42 2" xfId="37" xr:uid="{6CCABDD2-B77E-4934-AB4A-481FC8D67760}"/>
    <cellStyle name="Normal 47" xfId="7" xr:uid="{DABDD180-0E4B-4164-8761-AF4ACF05DF04}"/>
    <cellStyle name="Normal 48 2" xfId="31" xr:uid="{B9FE20B9-73E5-4686-9850-3297DE005996}"/>
    <cellStyle name="Normal 5" xfId="25" xr:uid="{79BD826A-4213-40FE-A1BD-F170FDC30323}"/>
    <cellStyle name="Normal 5 2" xfId="29" xr:uid="{9AF54CD2-965F-44DF-AA8B-4E08CE4F48F6}"/>
    <cellStyle name="Normal 53" xfId="30" xr:uid="{87B481E4-B304-4423-BAD1-289BA13A4154}"/>
    <cellStyle name="Normal 6 2" xfId="28" xr:uid="{3E94B83E-8AEC-41E2-AF84-0B21A40BF2DF}"/>
    <cellStyle name="Normal 7" xfId="13" xr:uid="{455F257B-8BD1-46DC-9887-F67A708E4DB7}"/>
    <cellStyle name="Normal 8" xfId="10" xr:uid="{739F7BBB-0A51-4BD7-BFE9-D917C23CC95D}"/>
    <cellStyle name="Normal 9" xfId="14" xr:uid="{9F10BF6D-5214-49E1-AFDE-39DF01A6E9DD}"/>
    <cellStyle name="Normal_21 Exh B" xfId="5" xr:uid="{A4DB9B36-EAAB-482E-A9E9-5A8A7A5D86DD}"/>
    <cellStyle name="Normal_21 Exh B 2" xfId="22" xr:uid="{8892D2F6-C54C-4C90-8707-AB8DCF6F0A82}"/>
    <cellStyle name="Normal_AR workpaper --2002 Def Tax Exp by Account 8-14-02" xfId="20" xr:uid="{2AFA346C-4FFC-472A-8D35-91F2C3417C41}"/>
    <cellStyle name="Normal_Attachment GG Template ER11-28 11-18-10" xfId="16" xr:uid="{AAAE4884-B718-4D1D-B2A4-62274F658411}"/>
    <cellStyle name="Normal_Attachment Os for 2002 True-up" xfId="6" xr:uid="{E380B959-564F-4F0A-A3CA-2FD6F8065152}"/>
    <cellStyle name="Normal_interest calc Book1" xfId="18" xr:uid="{4DDEE9C0-801F-465F-A839-35067955759C}"/>
    <cellStyle name="Percent" xfId="4" builtinId="5"/>
    <cellStyle name="Percent 12" xfId="23" xr:uid="{CCCDB954-0D87-4626-8EAD-14553B210DD7}"/>
    <cellStyle name="Percent 2 2" xfId="11" xr:uid="{8B395496-4801-45B2-A8D8-E5C5A041744C}"/>
    <cellStyle name="Percent 5" xfId="27" xr:uid="{8581A910-0059-4330-B1BC-33C9FA6EA9FD}"/>
    <cellStyle name="SAPHierarchyCell4" xfId="43" xr:uid="{3E9C6D27-BD9A-4556-A1A9-83DD065B20C1}"/>
    <cellStyle name="SubHeader" xfId="36" xr:uid="{0C79C9E0-6453-426C-A76B-537D1C06F78E}"/>
    <cellStyle name="SubTotalNumber" xfId="44" xr:uid="{9B9A3C1E-565D-48B4-BDD6-C82F3278EA19}"/>
    <cellStyle name="TextNumber" xfId="42" xr:uid="{0CB1B55E-EDA9-4898-8577-FC6278116C34}"/>
    <cellStyle name="UnitHeader" xfId="39" xr:uid="{6CB71DD3-5557-4B2D-A4E2-42533ED661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VENERGY3\Shared\Invenergy%20LLC\Projects%20-%20Gas\M&amp;A\NorthWestern%20Montana%20First\Models\MFM%201x1%20GTCC%200311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bxsf23\VOL1\26.0000%20Cost\Cash%20Flow\B&amp;V%20Revenue\B&amp;V%20Revenue%200401.xlw"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bxsf23\VOL1\COMBCYC\PMG\performance\UNIT4PR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ocuments%20and%20Settings\Ray.Hankinson\My%20Documents\My%20Data%20X\Cost\1-Equip%20Costs\Gascomp-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ocuments%20and%20Settings\atb0hw9\Desktop\Ab_temp\Desktop\WIP2\Hurdle_Rate_Study_2003\Hurdle_Rate_Study_2002\2002VLData\2002HR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Results"/>
      <sheetName val="Income Statement"/>
      <sheetName val="Cash Flow"/>
      <sheetName val="Expenses"/>
      <sheetName val="Depreciation"/>
      <sheetName val="Debt"/>
      <sheetName val="Taxes"/>
      <sheetName val="Balance Sheet"/>
      <sheetName val="Reserves"/>
      <sheetName val="Residual Value"/>
      <sheetName val="EPC"/>
      <sheetName val="IDC"/>
      <sheetName val="O &amp; M Budget 1 X 1"/>
      <sheetName val="Unidentified Inputs"/>
      <sheetName val="list"/>
      <sheetName val="Vendor Categories"/>
      <sheetName val="Cost Seg &amp; Tax Categories"/>
      <sheetName val="dropdown"/>
      <sheetName val="Assumptions"/>
      <sheetName val="PopCache"/>
      <sheetName val="MFM 1x1 GTCC 031105"/>
      <sheetName val="Shs"/>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Selections"/>
      <sheetName val="Project Information"/>
      <sheetName val="Inputs"/>
      <sheetName val="4. NTM Forecast"/>
      <sheetName val="Sheet1"/>
      <sheetName val="Sheet2"/>
      <sheetName val="Pivot 02.28.19"/>
      <sheetName val="Pivot 03.31.2019"/>
      <sheetName val="Pivot 04.30.2019"/>
      <sheetName val=" Lead 05.31.2019"/>
      <sheetName val="CashStatement 02.28.19"/>
      <sheetName val="CashStatement 03.31.2019"/>
      <sheetName val="CashStatement 04.30.19"/>
      <sheetName val="CashStatement 05.31.2019"/>
      <sheetName val="Sheet3"/>
      <sheetName val="CashStatement 06.30.2019"/>
      <sheetName val="2 -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 Plan Rev"/>
      <sheetName val="Contract Rev"/>
      <sheetName val="Cash Tables"/>
      <sheetName val="Rev. Cash Graph"/>
      <sheetName val="% Complete"/>
      <sheetName val="Progress Tables"/>
      <sheetName val="Progress Curve"/>
      <sheetName val="Field Staffing Plan"/>
      <sheetName val="Cash Out Table"/>
      <sheetName val="Net Cash Table"/>
      <sheetName val="LookUp"/>
      <sheetName val="Lookups"/>
    </sheetNames>
    <sheetDataSet>
      <sheetData sheetId="0"/>
      <sheetData sheetId="1"/>
      <sheetData sheetId="2"/>
      <sheetData sheetId="3"/>
      <sheetData sheetId="4"/>
      <sheetData sheetId="5" refreshError="1">
        <row r="9">
          <cell r="A9" t="str">
            <v>B&amp;V Cash Flow Milestone Progress by Month</v>
          </cell>
        </row>
        <row r="14">
          <cell r="U14">
            <v>36403</v>
          </cell>
        </row>
        <row r="15">
          <cell r="U15" t="str">
            <v>Prior to NTP</v>
          </cell>
        </row>
        <row r="16">
          <cell r="U16">
            <v>36433</v>
          </cell>
        </row>
        <row r="17">
          <cell r="U17">
            <v>36463</v>
          </cell>
        </row>
        <row r="18">
          <cell r="U18">
            <v>36494</v>
          </cell>
        </row>
        <row r="19">
          <cell r="U19">
            <v>36524</v>
          </cell>
        </row>
        <row r="20">
          <cell r="U20">
            <v>36555</v>
          </cell>
        </row>
        <row r="21">
          <cell r="U21">
            <v>36585</v>
          </cell>
        </row>
        <row r="22">
          <cell r="U22">
            <v>36615</v>
          </cell>
        </row>
        <row r="23">
          <cell r="U23">
            <v>36646</v>
          </cell>
        </row>
        <row r="24">
          <cell r="U24">
            <v>36676</v>
          </cell>
        </row>
        <row r="25">
          <cell r="U25">
            <v>36707</v>
          </cell>
        </row>
        <row r="26">
          <cell r="U26">
            <v>36738</v>
          </cell>
        </row>
        <row r="27">
          <cell r="U27">
            <v>36769</v>
          </cell>
        </row>
        <row r="28">
          <cell r="U28">
            <v>36799</v>
          </cell>
        </row>
        <row r="29">
          <cell r="U29">
            <v>36830</v>
          </cell>
        </row>
        <row r="30">
          <cell r="U30">
            <v>36860</v>
          </cell>
        </row>
        <row r="31">
          <cell r="U31">
            <v>36891</v>
          </cell>
        </row>
        <row r="32">
          <cell r="U32">
            <v>36922</v>
          </cell>
        </row>
        <row r="33">
          <cell r="U33">
            <v>36950</v>
          </cell>
        </row>
        <row r="34">
          <cell r="U34">
            <v>36980</v>
          </cell>
        </row>
        <row r="35">
          <cell r="U35">
            <v>37011</v>
          </cell>
        </row>
        <row r="36">
          <cell r="U36">
            <v>37041</v>
          </cell>
        </row>
        <row r="37">
          <cell r="U37">
            <v>37072</v>
          </cell>
        </row>
        <row r="38">
          <cell r="U38">
            <v>37102</v>
          </cell>
        </row>
        <row r="39">
          <cell r="U39">
            <v>37133</v>
          </cell>
        </row>
        <row r="40">
          <cell r="U40">
            <v>37164</v>
          </cell>
        </row>
        <row r="41">
          <cell r="U41">
            <v>37194</v>
          </cell>
        </row>
        <row r="42">
          <cell r="U42">
            <v>37225</v>
          </cell>
        </row>
        <row r="43">
          <cell r="U43">
            <v>37255</v>
          </cell>
        </row>
        <row r="44">
          <cell r="U44">
            <v>37286</v>
          </cell>
        </row>
        <row r="45">
          <cell r="U45">
            <v>37315</v>
          </cell>
        </row>
        <row r="46">
          <cell r="U46">
            <v>37345</v>
          </cell>
        </row>
      </sheetData>
      <sheetData sheetId="6"/>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 val="PickList"/>
      <sheetName val="Assump"/>
      <sheetName val="LookUp"/>
      <sheetName val="Lookups"/>
      <sheetName val="Cash Flow Progress"/>
      <sheetName val="Input"/>
      <sheetName val="Lists"/>
      <sheetName val="Reference"/>
      <sheetName val="Cover Page"/>
      <sheetName val="(H) Bonus Fed v State"/>
      <sheetName val="Sheet1"/>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
      <sheetName val="Table 1"/>
      <sheetName val="GASCOMPX"/>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taCalcs"/>
      <sheetName val="Fundamentals"/>
      <sheetName val="PriorList"/>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BEBA4-5EE1-4590-AB13-A6CD56EDEB3E}">
  <dimension ref="A1:K20"/>
  <sheetViews>
    <sheetView tabSelected="1" zoomScaleNormal="100" zoomScaleSheetLayoutView="80" workbookViewId="0"/>
  </sheetViews>
  <sheetFormatPr defaultRowHeight="15"/>
  <cols>
    <col min="1" max="1" width="16" customWidth="1"/>
  </cols>
  <sheetData>
    <row r="1" spans="1:11">
      <c r="A1" s="1" t="s">
        <v>0</v>
      </c>
      <c r="B1" s="2"/>
      <c r="C1" s="3"/>
      <c r="D1" s="2"/>
      <c r="E1" s="2"/>
      <c r="F1" s="2"/>
      <c r="G1" s="2"/>
      <c r="H1" s="4"/>
      <c r="I1" s="4"/>
      <c r="J1" s="4"/>
      <c r="K1" s="4"/>
    </row>
    <row r="2" spans="1:11">
      <c r="A2" s="5"/>
      <c r="B2" s="2"/>
      <c r="C2" s="3"/>
      <c r="D2" s="2"/>
      <c r="E2" s="2"/>
      <c r="F2" s="2"/>
      <c r="G2" s="2"/>
      <c r="H2" s="5"/>
      <c r="I2" s="4"/>
      <c r="J2" s="4"/>
      <c r="K2" s="4" t="s">
        <v>1</v>
      </c>
    </row>
    <row r="3" spans="1:11">
      <c r="A3" s="5"/>
      <c r="B3" s="2"/>
      <c r="C3" s="3"/>
      <c r="D3" s="2"/>
      <c r="E3" s="2"/>
      <c r="F3" s="2"/>
      <c r="G3" s="2"/>
      <c r="H3" s="4"/>
      <c r="I3" s="6"/>
      <c r="J3" s="7"/>
      <c r="K3" s="7"/>
    </row>
    <row r="4" spans="1:11">
      <c r="A4" s="5"/>
      <c r="B4" s="1"/>
      <c r="C4" s="8" t="str">
        <f>'Appendix A'!E6</f>
        <v xml:space="preserve">Rate Formula Template </v>
      </c>
      <c r="D4" s="2"/>
      <c r="E4" s="2"/>
      <c r="F4" s="2"/>
      <c r="G4" s="2"/>
      <c r="H4" s="5"/>
      <c r="I4" s="5"/>
      <c r="J4" s="5"/>
      <c r="K4" s="5"/>
    </row>
    <row r="5" spans="1:11">
      <c r="A5" s="5"/>
      <c r="B5" s="9"/>
      <c r="C5" s="10" t="str">
        <f>'Appendix A'!E7</f>
        <v xml:space="preserve"> Utilizing FERC Form 1 Data</v>
      </c>
      <c r="D5" s="9"/>
      <c r="E5" s="9"/>
      <c r="F5" s="9"/>
      <c r="G5" s="2"/>
      <c r="H5" s="11"/>
      <c r="I5" s="12"/>
      <c r="J5" s="13"/>
      <c r="K5" s="14" t="str">
        <f>'Appendix A'!M7</f>
        <v>Projected Annual Transmission Revenue Requirement</v>
      </c>
    </row>
    <row r="6" spans="1:11">
      <c r="A6" s="2"/>
      <c r="B6" s="15"/>
      <c r="C6" s="15"/>
      <c r="D6" s="15"/>
      <c r="E6" s="15"/>
      <c r="F6" s="15"/>
      <c r="G6" s="15"/>
      <c r="H6" s="15"/>
      <c r="I6" s="16"/>
      <c r="J6" s="17"/>
      <c r="K6" s="18" t="str">
        <f>'Appendix A'!M8</f>
        <v>For the 12 months ended 12/31/2023</v>
      </c>
    </row>
    <row r="7" spans="1:11">
      <c r="A7" s="5"/>
      <c r="C7" s="19" t="s">
        <v>2</v>
      </c>
    </row>
    <row r="8" spans="1:11">
      <c r="A8" s="5"/>
      <c r="B8" s="5"/>
      <c r="C8" s="15"/>
    </row>
    <row r="12" spans="1:11">
      <c r="A12" t="s">
        <v>3</v>
      </c>
      <c r="C12" t="s">
        <v>4</v>
      </c>
    </row>
    <row r="13" spans="1:11">
      <c r="A13" t="s">
        <v>5</v>
      </c>
      <c r="C13" t="s">
        <v>6</v>
      </c>
    </row>
    <row r="14" spans="1:11">
      <c r="A14" t="s">
        <v>7</v>
      </c>
      <c r="C14" t="s">
        <v>8</v>
      </c>
    </row>
    <row r="15" spans="1:11">
      <c r="A15" t="s">
        <v>9</v>
      </c>
      <c r="C15" t="s">
        <v>10</v>
      </c>
    </row>
    <row r="16" spans="1:11">
      <c r="A16" t="s">
        <v>11</v>
      </c>
      <c r="C16" t="s">
        <v>12</v>
      </c>
    </row>
    <row r="17" spans="1:3">
      <c r="A17" t="s">
        <v>13</v>
      </c>
      <c r="C17" t="s">
        <v>14</v>
      </c>
    </row>
    <row r="18" spans="1:3">
      <c r="A18" t="s">
        <v>984</v>
      </c>
      <c r="C18" t="s">
        <v>15</v>
      </c>
    </row>
    <row r="19" spans="1:3">
      <c r="A19" t="s">
        <v>16</v>
      </c>
      <c r="C19" t="s">
        <v>17</v>
      </c>
    </row>
    <row r="20" spans="1:3">
      <c r="A20" t="s">
        <v>985</v>
      </c>
      <c r="C20" t="s">
        <v>18</v>
      </c>
    </row>
  </sheetData>
  <pageMargins left="0.7" right="0.7" top="0.75" bottom="0.75" header="0.3" footer="0.3"/>
  <pageSetup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32B08-CD98-44F8-A657-6DBA97ACE387}">
  <sheetPr>
    <pageSetUpPr fitToPage="1"/>
  </sheetPr>
  <dimension ref="A1:T178"/>
  <sheetViews>
    <sheetView view="pageBreakPreview" zoomScale="85" zoomScaleNormal="50" zoomScaleSheetLayoutView="85" workbookViewId="0">
      <selection activeCell="G10" sqref="G10:G21"/>
    </sheetView>
  </sheetViews>
  <sheetFormatPr defaultColWidth="8.81640625" defaultRowHeight="15.6"/>
  <cols>
    <col min="1" max="1" width="5.81640625" style="723" customWidth="1"/>
    <col min="2" max="2" width="31.1796875" style="721" customWidth="1"/>
    <col min="3" max="3" width="10.81640625" style="723" bestFit="1" customWidth="1"/>
    <col min="4" max="4" width="9.81640625" style="748" bestFit="1" customWidth="1"/>
    <col min="5" max="5" width="10" style="723" bestFit="1" customWidth="1"/>
    <col min="6" max="6" width="14.81640625" style="723" customWidth="1"/>
    <col min="7" max="7" width="12.08984375" style="723" customWidth="1"/>
    <col min="8" max="8" width="11.81640625" style="723" customWidth="1"/>
    <col min="9" max="9" width="12" style="724" customWidth="1"/>
    <col min="10" max="10" width="15.81640625" style="724" customWidth="1"/>
    <col min="11" max="11" width="10.453125" style="724" customWidth="1"/>
    <col min="12" max="12" width="12.1796875" style="724" customWidth="1"/>
    <col min="13" max="13" width="18.54296875" style="724" bestFit="1" customWidth="1"/>
    <col min="14" max="17" width="8.81640625" style="724"/>
    <col min="18" max="18" width="10.453125" style="724" bestFit="1" customWidth="1"/>
    <col min="19" max="16384" width="8.81640625" style="724"/>
  </cols>
  <sheetData>
    <row r="1" spans="1:20" ht="18" customHeight="1">
      <c r="A1" s="721" t="s">
        <v>718</v>
      </c>
      <c r="B1" s="722"/>
      <c r="C1" s="722"/>
      <c r="D1" s="722"/>
      <c r="E1" s="722"/>
      <c r="F1" s="722"/>
      <c r="G1" s="722"/>
      <c r="H1" s="722"/>
      <c r="I1" s="722"/>
      <c r="J1" s="722"/>
      <c r="K1" s="722"/>
      <c r="L1" s="722"/>
    </row>
    <row r="2" spans="1:20" ht="18" customHeight="1">
      <c r="A2" s="1155" t="str">
        <f>+'6a-ADIT Projection'!A2:I2</f>
        <v>NextEra Energy Transmission New York, Inc.</v>
      </c>
      <c r="B2" s="1155"/>
      <c r="C2" s="1155"/>
      <c r="D2" s="1155"/>
      <c r="E2" s="1155"/>
      <c r="F2" s="1155"/>
      <c r="G2" s="1155"/>
      <c r="H2" s="1155"/>
      <c r="I2" s="1155"/>
      <c r="J2" s="1155"/>
      <c r="K2" s="1155"/>
      <c r="L2" s="1155"/>
    </row>
    <row r="3" spans="1:20" ht="18" customHeight="1">
      <c r="A3" s="1156" t="str">
        <f>'6a-ADIT Projection'!A3</f>
        <v>Projection For the 12 months ended 12/31/2023</v>
      </c>
      <c r="B3" s="1156"/>
      <c r="C3" s="1156"/>
      <c r="D3" s="1156"/>
      <c r="E3" s="1156"/>
      <c r="F3" s="1156"/>
      <c r="G3" s="1156"/>
      <c r="H3" s="1156"/>
      <c r="I3" s="1156"/>
      <c r="J3" s="1156"/>
      <c r="K3" s="1156"/>
      <c r="L3" s="1156"/>
    </row>
    <row r="4" spans="1:20" ht="17.399999999999999">
      <c r="I4" s="727"/>
      <c r="J4" s="727"/>
    </row>
    <row r="5" spans="1:20">
      <c r="D5" s="749"/>
      <c r="E5" s="724"/>
      <c r="F5" s="724"/>
      <c r="G5" s="724"/>
      <c r="H5" s="724"/>
      <c r="J5" s="723"/>
      <c r="T5" s="726"/>
    </row>
    <row r="6" spans="1:20">
      <c r="B6" s="722" t="s">
        <v>174</v>
      </c>
      <c r="C6" s="722" t="s">
        <v>175</v>
      </c>
      <c r="D6" s="750" t="s">
        <v>176</v>
      </c>
      <c r="E6" s="722" t="s">
        <v>378</v>
      </c>
      <c r="F6" s="722" t="s">
        <v>379</v>
      </c>
      <c r="G6" s="722" t="s">
        <v>380</v>
      </c>
      <c r="H6" s="722" t="s">
        <v>381</v>
      </c>
      <c r="I6" s="726" t="s">
        <v>382</v>
      </c>
      <c r="J6" s="726" t="s">
        <v>574</v>
      </c>
      <c r="K6" s="726" t="s">
        <v>575</v>
      </c>
      <c r="L6" s="726" t="s">
        <v>576</v>
      </c>
    </row>
    <row r="7" spans="1:20" ht="46.8">
      <c r="A7" s="739"/>
      <c r="B7" s="740" t="s">
        <v>697</v>
      </c>
      <c r="C7" s="740" t="s">
        <v>698</v>
      </c>
      <c r="D7" s="751" t="s">
        <v>298</v>
      </c>
      <c r="E7" s="740" t="s">
        <v>719</v>
      </c>
      <c r="F7" s="740" t="s">
        <v>720</v>
      </c>
      <c r="G7" s="740" t="s">
        <v>46</v>
      </c>
      <c r="H7" s="740" t="s">
        <v>721</v>
      </c>
      <c r="I7" s="740" t="s">
        <v>683</v>
      </c>
      <c r="J7" s="740" t="s">
        <v>722</v>
      </c>
      <c r="K7" s="740" t="s">
        <v>684</v>
      </c>
      <c r="L7" s="740" t="s">
        <v>723</v>
      </c>
      <c r="T7" s="726"/>
    </row>
    <row r="8" spans="1:20">
      <c r="A8" s="723" t="s">
        <v>724</v>
      </c>
      <c r="D8" s="750"/>
      <c r="E8" s="722"/>
      <c r="F8" s="722"/>
      <c r="G8" s="722"/>
      <c r="M8" s="752"/>
      <c r="N8" s="752"/>
      <c r="O8" s="752"/>
      <c r="P8" s="752"/>
      <c r="Q8" s="752"/>
      <c r="T8" s="726"/>
    </row>
    <row r="9" spans="1:20" ht="20.100000000000001" customHeight="1">
      <c r="A9" s="732">
        <v>1</v>
      </c>
      <c r="B9" s="721" t="s">
        <v>725</v>
      </c>
      <c r="C9" s="723" t="s">
        <v>300</v>
      </c>
      <c r="D9" s="753">
        <v>0</v>
      </c>
      <c r="E9" s="754">
        <f>365/365</f>
        <v>1</v>
      </c>
      <c r="F9" s="733">
        <f>'6c- ADIT BOY'!C54</f>
        <v>0</v>
      </c>
      <c r="G9" s="733">
        <f>'6c- ADIT BOY'!E54</f>
        <v>-2502695.0366009716</v>
      </c>
      <c r="H9" s="733">
        <f>E9*G9</f>
        <v>-2502695.0366009716</v>
      </c>
      <c r="I9" s="28">
        <f>'6c- ADIT BOY'!F50</f>
        <v>0</v>
      </c>
      <c r="J9" s="28">
        <f>I9*E9</f>
        <v>0</v>
      </c>
      <c r="K9" s="28">
        <f>'6c- ADIT BOY'!G50</f>
        <v>0</v>
      </c>
      <c r="L9" s="28">
        <f>E9*K9</f>
        <v>0</v>
      </c>
      <c r="M9" s="752"/>
      <c r="N9" s="752"/>
      <c r="O9" s="752"/>
      <c r="P9" s="752"/>
      <c r="Q9" s="752"/>
    </row>
    <row r="10" spans="1:20" ht="20.100000000000001" customHeight="1">
      <c r="A10" s="732">
        <f t="shared" ref="A10:A22" si="0">+A9+1</f>
        <v>2</v>
      </c>
      <c r="B10" s="721" t="s">
        <v>726</v>
      </c>
      <c r="C10" s="723" t="s">
        <v>302</v>
      </c>
      <c r="D10" s="753">
        <v>0</v>
      </c>
      <c r="E10" s="754">
        <f>335/365</f>
        <v>0.9178082191780822</v>
      </c>
      <c r="F10" s="244">
        <f>G10</f>
        <v>-394886.78497628472</v>
      </c>
      <c r="G10" s="244">
        <v>-394886.78497628472</v>
      </c>
      <c r="H10" s="733">
        <f t="shared" ref="H10:H21" si="1">E10*G10</f>
        <v>-362430.33689604216</v>
      </c>
      <c r="I10" s="755"/>
      <c r="J10" s="28">
        <f t="shared" ref="J10:J21" si="2">I10*E10</f>
        <v>0</v>
      </c>
      <c r="K10" s="755"/>
      <c r="L10" s="28">
        <f t="shared" ref="L10:L21" si="3">E10*K10</f>
        <v>0</v>
      </c>
      <c r="M10" s="756"/>
      <c r="N10" s="757"/>
      <c r="O10" s="752"/>
      <c r="P10" s="752"/>
      <c r="Q10" s="752"/>
      <c r="R10" s="758"/>
    </row>
    <row r="11" spans="1:20" ht="20.100000000000001" customHeight="1">
      <c r="A11" s="732">
        <f t="shared" si="0"/>
        <v>3</v>
      </c>
      <c r="B11" s="721" t="s">
        <v>726</v>
      </c>
      <c r="C11" s="723" t="s">
        <v>304</v>
      </c>
      <c r="D11" s="753">
        <f>+D10</f>
        <v>0</v>
      </c>
      <c r="E11" s="754">
        <f>307/365</f>
        <v>0.84109589041095889</v>
      </c>
      <c r="F11" s="244">
        <f t="shared" ref="F11:F21" si="4">G11</f>
        <v>-394886.78497628472</v>
      </c>
      <c r="G11" s="244">
        <v>-394886.78497628472</v>
      </c>
      <c r="H11" s="733">
        <f t="shared" si="1"/>
        <v>-332137.65202114906</v>
      </c>
      <c r="I11" s="755"/>
      <c r="J11" s="28">
        <f t="shared" si="2"/>
        <v>0</v>
      </c>
      <c r="K11" s="755"/>
      <c r="L11" s="28">
        <f t="shared" si="3"/>
        <v>0</v>
      </c>
      <c r="M11" s="756"/>
      <c r="N11" s="756"/>
      <c r="O11" s="752"/>
      <c r="P11" s="752"/>
      <c r="Q11" s="752"/>
      <c r="R11" s="758"/>
    </row>
    <row r="12" spans="1:20" ht="20.100000000000001" customHeight="1">
      <c r="A12" s="732">
        <f t="shared" si="0"/>
        <v>4</v>
      </c>
      <c r="B12" s="721" t="s">
        <v>726</v>
      </c>
      <c r="C12" s="723" t="s">
        <v>305</v>
      </c>
      <c r="D12" s="753">
        <f t="shared" ref="D12:D21" si="5">+D11</f>
        <v>0</v>
      </c>
      <c r="E12" s="754">
        <f>276/365</f>
        <v>0.75616438356164384</v>
      </c>
      <c r="F12" s="244">
        <f t="shared" si="4"/>
        <v>-394886.78497628472</v>
      </c>
      <c r="G12" s="244">
        <v>-394886.78497628472</v>
      </c>
      <c r="H12" s="733">
        <f t="shared" si="1"/>
        <v>-298599.32233823172</v>
      </c>
      <c r="I12" s="755"/>
      <c r="J12" s="28">
        <f t="shared" si="2"/>
        <v>0</v>
      </c>
      <c r="K12" s="755"/>
      <c r="L12" s="28">
        <f t="shared" si="3"/>
        <v>0</v>
      </c>
      <c r="M12" s="756"/>
      <c r="N12" s="756"/>
      <c r="O12" s="752"/>
      <c r="P12" s="752"/>
      <c r="Q12" s="752"/>
      <c r="R12" s="758"/>
    </row>
    <row r="13" spans="1:20" ht="20.100000000000001" customHeight="1">
      <c r="A13" s="732">
        <f t="shared" si="0"/>
        <v>5</v>
      </c>
      <c r="B13" s="721" t="s">
        <v>726</v>
      </c>
      <c r="C13" s="723" t="s">
        <v>306</v>
      </c>
      <c r="D13" s="753">
        <f t="shared" si="5"/>
        <v>0</v>
      </c>
      <c r="E13" s="754">
        <f>246/365</f>
        <v>0.67397260273972603</v>
      </c>
      <c r="F13" s="244">
        <f t="shared" si="4"/>
        <v>-394886.78497628437</v>
      </c>
      <c r="G13" s="244">
        <v>-394886.78497628437</v>
      </c>
      <c r="H13" s="733">
        <f t="shared" si="1"/>
        <v>-266142.87425798894</v>
      </c>
      <c r="I13" s="755"/>
      <c r="J13" s="28">
        <f t="shared" si="2"/>
        <v>0</v>
      </c>
      <c r="K13" s="755"/>
      <c r="L13" s="28">
        <f t="shared" si="3"/>
        <v>0</v>
      </c>
      <c r="M13" s="756"/>
      <c r="N13" s="756"/>
      <c r="O13" s="752"/>
      <c r="P13" s="752"/>
      <c r="Q13" s="752"/>
      <c r="R13" s="758"/>
    </row>
    <row r="14" spans="1:20" ht="20.100000000000001" customHeight="1">
      <c r="A14" s="732">
        <f t="shared" si="0"/>
        <v>6</v>
      </c>
      <c r="B14" s="721" t="s">
        <v>726</v>
      </c>
      <c r="C14" s="723" t="s">
        <v>307</v>
      </c>
      <c r="D14" s="753">
        <f t="shared" si="5"/>
        <v>0</v>
      </c>
      <c r="E14" s="754">
        <f>215/365</f>
        <v>0.58904109589041098</v>
      </c>
      <c r="F14" s="244">
        <f t="shared" si="4"/>
        <v>-394886.78497628472</v>
      </c>
      <c r="G14" s="244">
        <v>-394886.78497628472</v>
      </c>
      <c r="H14" s="733">
        <f t="shared" si="1"/>
        <v>-232604.54457507184</v>
      </c>
      <c r="I14" s="755"/>
      <c r="J14" s="28">
        <f t="shared" si="2"/>
        <v>0</v>
      </c>
      <c r="K14" s="755"/>
      <c r="L14" s="28">
        <f t="shared" si="3"/>
        <v>0</v>
      </c>
      <c r="M14" s="756"/>
      <c r="N14" s="756"/>
      <c r="O14" s="752"/>
      <c r="P14" s="752"/>
      <c r="Q14" s="752"/>
      <c r="R14" s="758"/>
    </row>
    <row r="15" spans="1:20" ht="20.100000000000001" customHeight="1">
      <c r="A15" s="732">
        <f t="shared" si="0"/>
        <v>7</v>
      </c>
      <c r="B15" s="721" t="s">
        <v>726</v>
      </c>
      <c r="C15" s="723" t="s">
        <v>469</v>
      </c>
      <c r="D15" s="753">
        <f t="shared" si="5"/>
        <v>0</v>
      </c>
      <c r="E15" s="754">
        <f>185/365</f>
        <v>0.50684931506849318</v>
      </c>
      <c r="F15" s="244">
        <f t="shared" si="4"/>
        <v>-394886.78497628472</v>
      </c>
      <c r="G15" s="244">
        <v>-394886.78497628472</v>
      </c>
      <c r="H15" s="733">
        <f t="shared" si="1"/>
        <v>-200148.09649482925</v>
      </c>
      <c r="I15" s="755"/>
      <c r="J15" s="28">
        <f t="shared" si="2"/>
        <v>0</v>
      </c>
      <c r="K15" s="755"/>
      <c r="L15" s="28">
        <f t="shared" si="3"/>
        <v>0</v>
      </c>
      <c r="M15" s="756"/>
      <c r="N15" s="756"/>
      <c r="O15" s="752"/>
      <c r="P15" s="752"/>
      <c r="Q15" s="752"/>
      <c r="R15" s="758"/>
    </row>
    <row r="16" spans="1:20" ht="20.100000000000001" customHeight="1">
      <c r="A16" s="732">
        <f t="shared" si="0"/>
        <v>8</v>
      </c>
      <c r="B16" s="721" t="s">
        <v>726</v>
      </c>
      <c r="C16" s="723" t="s">
        <v>309</v>
      </c>
      <c r="D16" s="753">
        <f t="shared" si="5"/>
        <v>0</v>
      </c>
      <c r="E16" s="754">
        <f>154/365</f>
        <v>0.42191780821917807</v>
      </c>
      <c r="F16" s="244">
        <f t="shared" si="4"/>
        <v>-394886.78497628472</v>
      </c>
      <c r="G16" s="244">
        <v>-394886.78497628472</v>
      </c>
      <c r="H16" s="733">
        <f t="shared" si="1"/>
        <v>-166609.76681191189</v>
      </c>
      <c r="I16" s="755"/>
      <c r="J16" s="28">
        <f t="shared" si="2"/>
        <v>0</v>
      </c>
      <c r="K16" s="755"/>
      <c r="L16" s="28">
        <f t="shared" si="3"/>
        <v>0</v>
      </c>
      <c r="M16" s="756"/>
      <c r="N16" s="756"/>
      <c r="O16" s="759"/>
      <c r="P16" s="752"/>
      <c r="Q16" s="756"/>
      <c r="R16" s="758"/>
    </row>
    <row r="17" spans="1:20" ht="20.100000000000001" customHeight="1">
      <c r="A17" s="732">
        <f t="shared" si="0"/>
        <v>9</v>
      </c>
      <c r="B17" s="721" t="s">
        <v>726</v>
      </c>
      <c r="C17" s="723" t="s">
        <v>310</v>
      </c>
      <c r="D17" s="753">
        <f t="shared" si="5"/>
        <v>0</v>
      </c>
      <c r="E17" s="754">
        <f>123/365</f>
        <v>0.33698630136986302</v>
      </c>
      <c r="F17" s="244">
        <f t="shared" si="4"/>
        <v>-394886.78497628472</v>
      </c>
      <c r="G17" s="244">
        <v>-394886.78497628472</v>
      </c>
      <c r="H17" s="733">
        <f t="shared" si="1"/>
        <v>-133071.43712899458</v>
      </c>
      <c r="I17" s="755"/>
      <c r="J17" s="28">
        <f t="shared" si="2"/>
        <v>0</v>
      </c>
      <c r="K17" s="755"/>
      <c r="L17" s="28">
        <f t="shared" si="3"/>
        <v>0</v>
      </c>
      <c r="M17" s="756"/>
      <c r="N17" s="756"/>
      <c r="O17" s="759"/>
      <c r="P17" s="752"/>
      <c r="Q17" s="756"/>
      <c r="R17" s="758"/>
    </row>
    <row r="18" spans="1:20" ht="20.100000000000001" customHeight="1">
      <c r="A18" s="732">
        <f t="shared" si="0"/>
        <v>10</v>
      </c>
      <c r="B18" s="721" t="s">
        <v>726</v>
      </c>
      <c r="C18" s="723" t="s">
        <v>311</v>
      </c>
      <c r="D18" s="753">
        <f t="shared" si="5"/>
        <v>0</v>
      </c>
      <c r="E18" s="754">
        <f>93/365</f>
        <v>0.25479452054794521</v>
      </c>
      <c r="F18" s="244">
        <f t="shared" si="4"/>
        <v>-394886.78497628513</v>
      </c>
      <c r="G18" s="244">
        <v>-394886.78497628513</v>
      </c>
      <c r="H18" s="733">
        <f t="shared" si="1"/>
        <v>-100614.9890487521</v>
      </c>
      <c r="I18" s="755"/>
      <c r="J18" s="28">
        <f t="shared" si="2"/>
        <v>0</v>
      </c>
      <c r="K18" s="755"/>
      <c r="L18" s="28">
        <f t="shared" si="3"/>
        <v>0</v>
      </c>
      <c r="M18" s="756"/>
      <c r="N18" s="756"/>
      <c r="O18" s="759"/>
      <c r="P18" s="752"/>
      <c r="Q18" s="756"/>
      <c r="R18" s="758"/>
    </row>
    <row r="19" spans="1:20" ht="20.100000000000001" customHeight="1">
      <c r="A19" s="732">
        <f t="shared" si="0"/>
        <v>11</v>
      </c>
      <c r="B19" s="721" t="s">
        <v>726</v>
      </c>
      <c r="C19" s="723" t="s">
        <v>318</v>
      </c>
      <c r="D19" s="753">
        <f t="shared" si="5"/>
        <v>0</v>
      </c>
      <c r="E19" s="754">
        <f>62/365</f>
        <v>0.16986301369863013</v>
      </c>
      <c r="F19" s="244">
        <f t="shared" si="4"/>
        <v>-394886.78497628419</v>
      </c>
      <c r="G19" s="244">
        <v>-394886.78497628419</v>
      </c>
      <c r="H19" s="733">
        <f t="shared" si="1"/>
        <v>-67076.659365834581</v>
      </c>
      <c r="I19" s="755"/>
      <c r="J19" s="28">
        <f t="shared" si="2"/>
        <v>0</v>
      </c>
      <c r="K19" s="755"/>
      <c r="L19" s="28">
        <f t="shared" si="3"/>
        <v>0</v>
      </c>
      <c r="M19" s="756"/>
      <c r="N19" s="756"/>
      <c r="O19" s="759"/>
      <c r="P19" s="752"/>
      <c r="Q19" s="756"/>
      <c r="R19" s="758"/>
    </row>
    <row r="20" spans="1:20" ht="20.100000000000001" customHeight="1">
      <c r="A20" s="732">
        <f t="shared" si="0"/>
        <v>12</v>
      </c>
      <c r="B20" s="721" t="s">
        <v>726</v>
      </c>
      <c r="C20" s="723" t="s">
        <v>313</v>
      </c>
      <c r="D20" s="753">
        <f t="shared" si="5"/>
        <v>0</v>
      </c>
      <c r="E20" s="754">
        <f>32/365</f>
        <v>8.7671232876712329E-2</v>
      </c>
      <c r="F20" s="244">
        <f t="shared" si="4"/>
        <v>-394886.78497628489</v>
      </c>
      <c r="G20" s="244">
        <v>-394886.78497628489</v>
      </c>
      <c r="H20" s="733">
        <f>E20*G20</f>
        <v>-34620.2112855921</v>
      </c>
      <c r="I20" s="755"/>
      <c r="J20" s="28">
        <f t="shared" si="2"/>
        <v>0</v>
      </c>
      <c r="K20" s="755"/>
      <c r="L20" s="28">
        <f t="shared" si="3"/>
        <v>0</v>
      </c>
      <c r="M20" s="756"/>
      <c r="N20" s="756"/>
      <c r="O20" s="759"/>
      <c r="P20" s="752"/>
      <c r="Q20" s="756"/>
      <c r="R20" s="758"/>
    </row>
    <row r="21" spans="1:20" ht="20.100000000000001" customHeight="1">
      <c r="A21" s="732">
        <f t="shared" si="0"/>
        <v>13</v>
      </c>
      <c r="B21" s="721" t="s">
        <v>726</v>
      </c>
      <c r="C21" s="723" t="s">
        <v>300</v>
      </c>
      <c r="D21" s="753">
        <f t="shared" si="5"/>
        <v>0</v>
      </c>
      <c r="E21" s="754">
        <f>1/365</f>
        <v>2.7397260273972603E-3</v>
      </c>
      <c r="F21" s="244">
        <f t="shared" si="4"/>
        <v>-394886.78497628472</v>
      </c>
      <c r="G21" s="244">
        <v>-394886.78497628472</v>
      </c>
      <c r="H21" s="733">
        <f t="shared" si="1"/>
        <v>-1081.8816026747527</v>
      </c>
      <c r="I21" s="755"/>
      <c r="J21" s="28">
        <f t="shared" si="2"/>
        <v>0</v>
      </c>
      <c r="K21" s="755"/>
      <c r="L21" s="28">
        <f t="shared" si="3"/>
        <v>0</v>
      </c>
      <c r="M21" s="756"/>
      <c r="N21" s="756"/>
      <c r="O21" s="759"/>
      <c r="P21" s="752"/>
      <c r="Q21" s="756"/>
      <c r="R21" s="758"/>
    </row>
    <row r="22" spans="1:20" ht="20.100000000000001" customHeight="1">
      <c r="A22" s="732">
        <f t="shared" si="0"/>
        <v>14</v>
      </c>
      <c r="B22" s="721" t="s">
        <v>727</v>
      </c>
      <c r="F22" s="733">
        <f>SUM(F9:F21)</f>
        <v>-4738641.4197154166</v>
      </c>
      <c r="G22" s="733">
        <f>SUM(G9:G21)</f>
        <v>-7241336.4563163891</v>
      </c>
      <c r="H22" s="733">
        <f>SUM(H9:H21)</f>
        <v>-4697832.8084280444</v>
      </c>
      <c r="I22" s="28">
        <f>SUM(I9:I21)</f>
        <v>0</v>
      </c>
      <c r="J22" s="28">
        <f t="shared" ref="J22:L22" si="6">SUM(J9:J21)</f>
        <v>0</v>
      </c>
      <c r="K22" s="28">
        <f>SUM(K9:K21)</f>
        <v>0</v>
      </c>
      <c r="L22" s="28">
        <f t="shared" si="6"/>
        <v>0</v>
      </c>
    </row>
    <row r="23" spans="1:20">
      <c r="A23" s="732"/>
      <c r="G23" s="760">
        <f>G22-'6d- ADIT EOY'!E50</f>
        <v>-2543503.6478883447</v>
      </c>
      <c r="I23" s="745">
        <f>I22-'6d- ADIT EOY'!F50</f>
        <v>0</v>
      </c>
      <c r="K23" s="745">
        <f>K22-'6d- ADIT EOY'!G50</f>
        <v>0</v>
      </c>
    </row>
    <row r="24" spans="1:20">
      <c r="A24" s="723" t="s">
        <v>728</v>
      </c>
      <c r="D24" s="750"/>
      <c r="E24" s="722"/>
      <c r="F24" s="722"/>
      <c r="G24" s="722"/>
      <c r="T24" s="726"/>
    </row>
    <row r="25" spans="1:20" ht="20.100000000000001" customHeight="1">
      <c r="A25" s="732">
        <f>A22+1</f>
        <v>15</v>
      </c>
      <c r="B25" s="721" t="s">
        <v>729</v>
      </c>
      <c r="C25" s="723" t="s">
        <v>300</v>
      </c>
      <c r="D25" s="753" t="s">
        <v>702</v>
      </c>
      <c r="E25" s="754">
        <f>365/365</f>
        <v>1</v>
      </c>
      <c r="F25" s="735">
        <f>'6c- ADIT BOY'!C74</f>
        <v>0</v>
      </c>
      <c r="G25" s="733">
        <f>'6c- ADIT BOY'!E74</f>
        <v>0</v>
      </c>
      <c r="H25" s="733">
        <f>E25*G25</f>
        <v>0</v>
      </c>
      <c r="I25" s="28">
        <f>'6c- ADIT BOY'!F74</f>
        <v>0</v>
      </c>
      <c r="J25" s="28">
        <f>I25*E25</f>
        <v>0</v>
      </c>
      <c r="K25" s="28">
        <f>'6c- ADIT BOY'!G74</f>
        <v>0</v>
      </c>
      <c r="L25" s="28">
        <f>E25*K25</f>
        <v>0</v>
      </c>
    </row>
    <row r="26" spans="1:20" ht="20.100000000000001" customHeight="1">
      <c r="A26" s="732">
        <f t="shared" ref="A26:A38" si="7">+A25+1</f>
        <v>16</v>
      </c>
      <c r="B26" s="721" t="s">
        <v>726</v>
      </c>
      <c r="C26" s="723" t="s">
        <v>302</v>
      </c>
      <c r="D26" s="753" t="s">
        <v>702</v>
      </c>
      <c r="E26" s="754">
        <f>335/365</f>
        <v>0.9178082191780822</v>
      </c>
      <c r="F26" s="761">
        <v>0</v>
      </c>
      <c r="G26" s="244">
        <v>0</v>
      </c>
      <c r="H26" s="733">
        <f>E26*G26</f>
        <v>0</v>
      </c>
      <c r="I26" s="244"/>
      <c r="J26" s="28">
        <f t="shared" ref="J26:J37" si="8">I26*E26</f>
        <v>0</v>
      </c>
      <c r="K26" s="244"/>
      <c r="L26" s="28">
        <f t="shared" ref="L26:L37" si="9">E26*K26</f>
        <v>0</v>
      </c>
    </row>
    <row r="27" spans="1:20" ht="20.100000000000001" customHeight="1">
      <c r="A27" s="732">
        <f t="shared" si="7"/>
        <v>17</v>
      </c>
      <c r="B27" s="721" t="s">
        <v>726</v>
      </c>
      <c r="C27" s="723" t="s">
        <v>304</v>
      </c>
      <c r="D27" s="753" t="s">
        <v>702</v>
      </c>
      <c r="E27" s="754">
        <f>307/365</f>
        <v>0.84109589041095889</v>
      </c>
      <c r="F27" s="761">
        <v>0</v>
      </c>
      <c r="G27" s="244">
        <v>0</v>
      </c>
      <c r="H27" s="733">
        <f t="shared" ref="H27:H37" si="10">E27*G27</f>
        <v>0</v>
      </c>
      <c r="I27" s="244"/>
      <c r="J27" s="28">
        <f t="shared" si="8"/>
        <v>0</v>
      </c>
      <c r="K27" s="244"/>
      <c r="L27" s="28">
        <f t="shared" si="9"/>
        <v>0</v>
      </c>
    </row>
    <row r="28" spans="1:20" ht="20.100000000000001" customHeight="1">
      <c r="A28" s="732">
        <f t="shared" si="7"/>
        <v>18</v>
      </c>
      <c r="B28" s="721" t="s">
        <v>726</v>
      </c>
      <c r="C28" s="723" t="s">
        <v>305</v>
      </c>
      <c r="D28" s="753" t="s">
        <v>702</v>
      </c>
      <c r="E28" s="754">
        <f>276/365</f>
        <v>0.75616438356164384</v>
      </c>
      <c r="F28" s="761">
        <v>0</v>
      </c>
      <c r="G28" s="244">
        <v>0</v>
      </c>
      <c r="H28" s="733">
        <f t="shared" si="10"/>
        <v>0</v>
      </c>
      <c r="I28" s="244"/>
      <c r="J28" s="28">
        <f t="shared" si="8"/>
        <v>0</v>
      </c>
      <c r="K28" s="244"/>
      <c r="L28" s="28">
        <f t="shared" si="9"/>
        <v>0</v>
      </c>
    </row>
    <row r="29" spans="1:20" ht="20.100000000000001" customHeight="1">
      <c r="A29" s="732">
        <f t="shared" si="7"/>
        <v>19</v>
      </c>
      <c r="B29" s="721" t="s">
        <v>726</v>
      </c>
      <c r="C29" s="723" t="s">
        <v>306</v>
      </c>
      <c r="D29" s="753" t="s">
        <v>702</v>
      </c>
      <c r="E29" s="754">
        <f>246/365</f>
        <v>0.67397260273972603</v>
      </c>
      <c r="F29" s="761">
        <v>0</v>
      </c>
      <c r="G29" s="244">
        <v>0</v>
      </c>
      <c r="H29" s="733">
        <f t="shared" si="10"/>
        <v>0</v>
      </c>
      <c r="I29" s="244"/>
      <c r="J29" s="28">
        <f t="shared" si="8"/>
        <v>0</v>
      </c>
      <c r="K29" s="244"/>
      <c r="L29" s="28">
        <f t="shared" si="9"/>
        <v>0</v>
      </c>
    </row>
    <row r="30" spans="1:20" ht="20.100000000000001" customHeight="1">
      <c r="A30" s="732">
        <f t="shared" si="7"/>
        <v>20</v>
      </c>
      <c r="B30" s="721" t="s">
        <v>726</v>
      </c>
      <c r="C30" s="723" t="s">
        <v>307</v>
      </c>
      <c r="D30" s="753" t="s">
        <v>702</v>
      </c>
      <c r="E30" s="754">
        <f>215/365</f>
        <v>0.58904109589041098</v>
      </c>
      <c r="F30" s="761">
        <v>0</v>
      </c>
      <c r="G30" s="244">
        <v>0</v>
      </c>
      <c r="H30" s="733">
        <f t="shared" si="10"/>
        <v>0</v>
      </c>
      <c r="I30" s="244"/>
      <c r="J30" s="28">
        <f t="shared" si="8"/>
        <v>0</v>
      </c>
      <c r="K30" s="244"/>
      <c r="L30" s="28">
        <f t="shared" si="9"/>
        <v>0</v>
      </c>
    </row>
    <row r="31" spans="1:20" ht="20.100000000000001" customHeight="1">
      <c r="A31" s="732">
        <f t="shared" si="7"/>
        <v>21</v>
      </c>
      <c r="B31" s="721" t="s">
        <v>726</v>
      </c>
      <c r="C31" s="723" t="s">
        <v>469</v>
      </c>
      <c r="D31" s="753" t="s">
        <v>702</v>
      </c>
      <c r="E31" s="754">
        <f>185/365</f>
        <v>0.50684931506849318</v>
      </c>
      <c r="F31" s="761">
        <v>0</v>
      </c>
      <c r="G31" s="244">
        <v>0</v>
      </c>
      <c r="H31" s="733">
        <f t="shared" si="10"/>
        <v>0</v>
      </c>
      <c r="I31" s="244"/>
      <c r="J31" s="28">
        <f t="shared" si="8"/>
        <v>0</v>
      </c>
      <c r="K31" s="244"/>
      <c r="L31" s="28">
        <f t="shared" si="9"/>
        <v>0</v>
      </c>
    </row>
    <row r="32" spans="1:20" ht="20.100000000000001" customHeight="1">
      <c r="A32" s="732">
        <f t="shared" si="7"/>
        <v>22</v>
      </c>
      <c r="B32" s="721" t="s">
        <v>726</v>
      </c>
      <c r="C32" s="723" t="s">
        <v>309</v>
      </c>
      <c r="D32" s="753" t="s">
        <v>702</v>
      </c>
      <c r="E32" s="754">
        <f>154/365</f>
        <v>0.42191780821917807</v>
      </c>
      <c r="F32" s="761">
        <v>0</v>
      </c>
      <c r="G32" s="244">
        <v>0</v>
      </c>
      <c r="H32" s="733">
        <f t="shared" si="10"/>
        <v>0</v>
      </c>
      <c r="I32" s="244"/>
      <c r="J32" s="28">
        <f t="shared" si="8"/>
        <v>0</v>
      </c>
      <c r="K32" s="244"/>
      <c r="L32" s="28">
        <f t="shared" si="9"/>
        <v>0</v>
      </c>
    </row>
    <row r="33" spans="1:20" ht="20.100000000000001" customHeight="1">
      <c r="A33" s="732">
        <f t="shared" si="7"/>
        <v>23</v>
      </c>
      <c r="B33" s="721" t="s">
        <v>726</v>
      </c>
      <c r="C33" s="723" t="s">
        <v>310</v>
      </c>
      <c r="D33" s="753" t="s">
        <v>702</v>
      </c>
      <c r="E33" s="754">
        <f>123/365</f>
        <v>0.33698630136986302</v>
      </c>
      <c r="F33" s="761">
        <v>0</v>
      </c>
      <c r="G33" s="244">
        <v>0</v>
      </c>
      <c r="H33" s="733">
        <f t="shared" si="10"/>
        <v>0</v>
      </c>
      <c r="I33" s="244"/>
      <c r="J33" s="28">
        <f t="shared" si="8"/>
        <v>0</v>
      </c>
      <c r="K33" s="244"/>
      <c r="L33" s="28">
        <f t="shared" si="9"/>
        <v>0</v>
      </c>
    </row>
    <row r="34" spans="1:20" ht="20.100000000000001" customHeight="1">
      <c r="A34" s="732">
        <f t="shared" si="7"/>
        <v>24</v>
      </c>
      <c r="B34" s="721" t="s">
        <v>726</v>
      </c>
      <c r="C34" s="723" t="s">
        <v>311</v>
      </c>
      <c r="D34" s="753" t="s">
        <v>702</v>
      </c>
      <c r="E34" s="754">
        <f>93/365</f>
        <v>0.25479452054794521</v>
      </c>
      <c r="F34" s="761">
        <v>0</v>
      </c>
      <c r="G34" s="244">
        <v>0</v>
      </c>
      <c r="H34" s="733">
        <f t="shared" si="10"/>
        <v>0</v>
      </c>
      <c r="I34" s="244"/>
      <c r="J34" s="28">
        <f t="shared" si="8"/>
        <v>0</v>
      </c>
      <c r="K34" s="244"/>
      <c r="L34" s="28">
        <f t="shared" si="9"/>
        <v>0</v>
      </c>
    </row>
    <row r="35" spans="1:20" ht="20.100000000000001" customHeight="1">
      <c r="A35" s="732">
        <f t="shared" si="7"/>
        <v>25</v>
      </c>
      <c r="B35" s="721" t="s">
        <v>726</v>
      </c>
      <c r="C35" s="723" t="s">
        <v>318</v>
      </c>
      <c r="D35" s="753" t="s">
        <v>702</v>
      </c>
      <c r="E35" s="754">
        <f>62/365</f>
        <v>0.16986301369863013</v>
      </c>
      <c r="F35" s="761">
        <v>0</v>
      </c>
      <c r="G35" s="244">
        <v>0</v>
      </c>
      <c r="H35" s="733">
        <f t="shared" si="10"/>
        <v>0</v>
      </c>
      <c r="I35" s="244"/>
      <c r="J35" s="28">
        <f t="shared" si="8"/>
        <v>0</v>
      </c>
      <c r="K35" s="244"/>
      <c r="L35" s="28">
        <f t="shared" si="9"/>
        <v>0</v>
      </c>
    </row>
    <row r="36" spans="1:20" ht="20.100000000000001" customHeight="1">
      <c r="A36" s="732">
        <f t="shared" si="7"/>
        <v>26</v>
      </c>
      <c r="B36" s="721" t="s">
        <v>726</v>
      </c>
      <c r="C36" s="723" t="s">
        <v>313</v>
      </c>
      <c r="D36" s="753" t="s">
        <v>702</v>
      </c>
      <c r="E36" s="754">
        <f>32/365</f>
        <v>8.7671232876712329E-2</v>
      </c>
      <c r="F36" s="761">
        <v>0</v>
      </c>
      <c r="G36" s="244">
        <v>0</v>
      </c>
      <c r="H36" s="733">
        <f t="shared" si="10"/>
        <v>0</v>
      </c>
      <c r="I36" s="244"/>
      <c r="J36" s="28">
        <f t="shared" si="8"/>
        <v>0</v>
      </c>
      <c r="K36" s="244"/>
      <c r="L36" s="28">
        <f t="shared" si="9"/>
        <v>0</v>
      </c>
    </row>
    <row r="37" spans="1:20" ht="20.100000000000001" customHeight="1">
      <c r="A37" s="732">
        <f t="shared" si="7"/>
        <v>27</v>
      </c>
      <c r="B37" s="721" t="s">
        <v>726</v>
      </c>
      <c r="C37" s="723" t="s">
        <v>300</v>
      </c>
      <c r="D37" s="753" t="s">
        <v>702</v>
      </c>
      <c r="E37" s="754">
        <f>1/365</f>
        <v>2.7397260273972603E-3</v>
      </c>
      <c r="F37" s="761">
        <v>0</v>
      </c>
      <c r="G37" s="244">
        <v>0</v>
      </c>
      <c r="H37" s="733">
        <f t="shared" si="10"/>
        <v>0</v>
      </c>
      <c r="I37" s="244"/>
      <c r="J37" s="28">
        <f t="shared" si="8"/>
        <v>0</v>
      </c>
      <c r="K37" s="244"/>
      <c r="L37" s="28">
        <f t="shared" si="9"/>
        <v>0</v>
      </c>
    </row>
    <row r="38" spans="1:20" ht="20.100000000000001" customHeight="1">
      <c r="A38" s="732">
        <f t="shared" si="7"/>
        <v>28</v>
      </c>
      <c r="B38" s="721" t="s">
        <v>730</v>
      </c>
      <c r="F38" s="736">
        <f>SUM(F25:F37)</f>
        <v>0</v>
      </c>
      <c r="G38" s="733">
        <f>SUM(G25:G37)</f>
        <v>0</v>
      </c>
      <c r="H38" s="733">
        <f t="shared" ref="H38:L38" si="11">SUM(H25:H37)</f>
        <v>0</v>
      </c>
      <c r="I38" s="28">
        <f t="shared" si="11"/>
        <v>0</v>
      </c>
      <c r="J38" s="28">
        <f t="shared" si="11"/>
        <v>0</v>
      </c>
      <c r="K38" s="28">
        <f>SUM(K25:K37)</f>
        <v>0</v>
      </c>
      <c r="L38" s="28">
        <f t="shared" si="11"/>
        <v>0</v>
      </c>
    </row>
    <row r="39" spans="1:20">
      <c r="A39" s="732"/>
      <c r="F39" s="736"/>
      <c r="G39" s="733">
        <f>G38-'6d- ADIT EOY'!E74</f>
        <v>0</v>
      </c>
      <c r="H39" s="733"/>
      <c r="I39" s="28">
        <f>I38-'6d- ADIT EOY'!F74</f>
        <v>0</v>
      </c>
      <c r="J39" s="29"/>
      <c r="K39" s="28">
        <f>K38-'6d- ADIT EOY'!G74</f>
        <v>0</v>
      </c>
      <c r="L39" s="29"/>
    </row>
    <row r="40" spans="1:20">
      <c r="A40" s="723" t="s">
        <v>731</v>
      </c>
      <c r="D40" s="750"/>
      <c r="E40" s="722"/>
      <c r="F40" s="722"/>
      <c r="G40" s="762"/>
      <c r="H40" s="733"/>
      <c r="I40" s="29"/>
      <c r="J40" s="81"/>
      <c r="K40" s="81"/>
      <c r="L40" s="81"/>
      <c r="T40" s="726"/>
    </row>
    <row r="41" spans="1:20" ht="20.100000000000001" customHeight="1">
      <c r="A41" s="732">
        <f>A38+1</f>
        <v>29</v>
      </c>
      <c r="B41" s="721" t="s">
        <v>732</v>
      </c>
      <c r="C41" s="723" t="s">
        <v>300</v>
      </c>
      <c r="D41" s="753" t="s">
        <v>702</v>
      </c>
      <c r="E41" s="754">
        <f>365/365</f>
        <v>1</v>
      </c>
      <c r="F41" s="735">
        <f>'6c- ADIT BOY'!C28</f>
        <v>0</v>
      </c>
      <c r="G41" s="733">
        <f>'6c- ADIT BOY'!E28</f>
        <v>0</v>
      </c>
      <c r="H41" s="733">
        <f t="shared" ref="H41:H53" si="12">E41*G41</f>
        <v>0</v>
      </c>
      <c r="I41" s="28">
        <f>'6c- ADIT BOY'!F28</f>
        <v>0</v>
      </c>
      <c r="J41" s="28">
        <f t="shared" ref="J41:J53" si="13">I41*E41</f>
        <v>0</v>
      </c>
      <c r="K41" s="28">
        <f>'6c- ADIT BOY'!G28</f>
        <v>0</v>
      </c>
      <c r="L41" s="28">
        <f t="shared" ref="L41:L53" si="14">E41*K41</f>
        <v>0</v>
      </c>
    </row>
    <row r="42" spans="1:20" ht="20.100000000000001" customHeight="1">
      <c r="A42" s="732">
        <f t="shared" ref="A42:A54" si="15">+A41+1</f>
        <v>30</v>
      </c>
      <c r="B42" s="721" t="s">
        <v>726</v>
      </c>
      <c r="C42" s="723" t="s">
        <v>302</v>
      </c>
      <c r="D42" s="753" t="s">
        <v>702</v>
      </c>
      <c r="E42" s="754">
        <f>335/365</f>
        <v>0.9178082191780822</v>
      </c>
      <c r="F42" s="761">
        <v>0</v>
      </c>
      <c r="G42" s="244">
        <v>0</v>
      </c>
      <c r="H42" s="733">
        <f>E42*G42</f>
        <v>0</v>
      </c>
      <c r="I42" s="755"/>
      <c r="J42" s="28">
        <f t="shared" si="13"/>
        <v>0</v>
      </c>
      <c r="K42" s="755"/>
      <c r="L42" s="28">
        <f>E42*K42</f>
        <v>0</v>
      </c>
    </row>
    <row r="43" spans="1:20" ht="20.100000000000001" customHeight="1">
      <c r="A43" s="732">
        <f t="shared" si="15"/>
        <v>31</v>
      </c>
      <c r="B43" s="721" t="s">
        <v>726</v>
      </c>
      <c r="C43" s="723" t="s">
        <v>304</v>
      </c>
      <c r="D43" s="753" t="s">
        <v>702</v>
      </c>
      <c r="E43" s="754">
        <f>307/365</f>
        <v>0.84109589041095889</v>
      </c>
      <c r="F43" s="761">
        <v>0</v>
      </c>
      <c r="G43" s="244">
        <v>0</v>
      </c>
      <c r="H43" s="733">
        <f t="shared" si="12"/>
        <v>0</v>
      </c>
      <c r="I43" s="755"/>
      <c r="J43" s="28">
        <f t="shared" si="13"/>
        <v>0</v>
      </c>
      <c r="K43" s="755"/>
      <c r="L43" s="28">
        <f t="shared" si="14"/>
        <v>0</v>
      </c>
    </row>
    <row r="44" spans="1:20" ht="20.100000000000001" customHeight="1">
      <c r="A44" s="732">
        <f t="shared" si="15"/>
        <v>32</v>
      </c>
      <c r="B44" s="721" t="s">
        <v>726</v>
      </c>
      <c r="C44" s="723" t="s">
        <v>305</v>
      </c>
      <c r="D44" s="753" t="s">
        <v>702</v>
      </c>
      <c r="E44" s="754">
        <f>276/365</f>
        <v>0.75616438356164384</v>
      </c>
      <c r="F44" s="761">
        <v>0</v>
      </c>
      <c r="G44" s="244">
        <v>0</v>
      </c>
      <c r="H44" s="733">
        <f t="shared" si="12"/>
        <v>0</v>
      </c>
      <c r="I44" s="755"/>
      <c r="J44" s="28">
        <f t="shared" si="13"/>
        <v>0</v>
      </c>
      <c r="K44" s="755"/>
      <c r="L44" s="28">
        <f t="shared" si="14"/>
        <v>0</v>
      </c>
    </row>
    <row r="45" spans="1:20" ht="20.100000000000001" customHeight="1">
      <c r="A45" s="732">
        <f t="shared" si="15"/>
        <v>33</v>
      </c>
      <c r="B45" s="721" t="s">
        <v>726</v>
      </c>
      <c r="C45" s="723" t="s">
        <v>306</v>
      </c>
      <c r="D45" s="753" t="s">
        <v>702</v>
      </c>
      <c r="E45" s="754">
        <f>246/365</f>
        <v>0.67397260273972603</v>
      </c>
      <c r="F45" s="761">
        <v>0</v>
      </c>
      <c r="G45" s="244">
        <v>0</v>
      </c>
      <c r="H45" s="733">
        <f t="shared" si="12"/>
        <v>0</v>
      </c>
      <c r="I45" s="755"/>
      <c r="J45" s="28">
        <f t="shared" si="13"/>
        <v>0</v>
      </c>
      <c r="K45" s="755"/>
      <c r="L45" s="28">
        <f t="shared" si="14"/>
        <v>0</v>
      </c>
    </row>
    <row r="46" spans="1:20" ht="20.100000000000001" customHeight="1">
      <c r="A46" s="732">
        <f t="shared" si="15"/>
        <v>34</v>
      </c>
      <c r="B46" s="721" t="s">
        <v>726</v>
      </c>
      <c r="C46" s="723" t="s">
        <v>307</v>
      </c>
      <c r="D46" s="753" t="s">
        <v>702</v>
      </c>
      <c r="E46" s="754">
        <f>215/365</f>
        <v>0.58904109589041098</v>
      </c>
      <c r="F46" s="761">
        <v>0</v>
      </c>
      <c r="G46" s="244">
        <v>0</v>
      </c>
      <c r="H46" s="733">
        <f t="shared" si="12"/>
        <v>0</v>
      </c>
      <c r="I46" s="755"/>
      <c r="J46" s="28">
        <f t="shared" si="13"/>
        <v>0</v>
      </c>
      <c r="K46" s="755"/>
      <c r="L46" s="28">
        <f t="shared" si="14"/>
        <v>0</v>
      </c>
    </row>
    <row r="47" spans="1:20" ht="20.100000000000001" customHeight="1">
      <c r="A47" s="732">
        <f t="shared" si="15"/>
        <v>35</v>
      </c>
      <c r="B47" s="721" t="s">
        <v>726</v>
      </c>
      <c r="C47" s="723" t="s">
        <v>469</v>
      </c>
      <c r="D47" s="753" t="s">
        <v>702</v>
      </c>
      <c r="E47" s="754">
        <f>185/365</f>
        <v>0.50684931506849318</v>
      </c>
      <c r="F47" s="761">
        <v>0</v>
      </c>
      <c r="G47" s="244">
        <v>0</v>
      </c>
      <c r="H47" s="733">
        <f t="shared" si="12"/>
        <v>0</v>
      </c>
      <c r="I47" s="755"/>
      <c r="J47" s="28">
        <f t="shared" si="13"/>
        <v>0</v>
      </c>
      <c r="K47" s="755"/>
      <c r="L47" s="28">
        <f t="shared" si="14"/>
        <v>0</v>
      </c>
    </row>
    <row r="48" spans="1:20" ht="20.100000000000001" customHeight="1">
      <c r="A48" s="732">
        <f t="shared" si="15"/>
        <v>36</v>
      </c>
      <c r="B48" s="721" t="s">
        <v>726</v>
      </c>
      <c r="C48" s="723" t="s">
        <v>309</v>
      </c>
      <c r="D48" s="753" t="s">
        <v>702</v>
      </c>
      <c r="E48" s="754">
        <f>154/365</f>
        <v>0.42191780821917807</v>
      </c>
      <c r="F48" s="761">
        <v>0</v>
      </c>
      <c r="G48" s="244">
        <v>0</v>
      </c>
      <c r="H48" s="733">
        <f t="shared" si="12"/>
        <v>0</v>
      </c>
      <c r="I48" s="755"/>
      <c r="J48" s="28">
        <f t="shared" si="13"/>
        <v>0</v>
      </c>
      <c r="K48" s="755"/>
      <c r="L48" s="28">
        <f t="shared" si="14"/>
        <v>0</v>
      </c>
    </row>
    <row r="49" spans="1:12" ht="20.100000000000001" customHeight="1">
      <c r="A49" s="732">
        <f t="shared" si="15"/>
        <v>37</v>
      </c>
      <c r="B49" s="721" t="s">
        <v>726</v>
      </c>
      <c r="C49" s="723" t="s">
        <v>310</v>
      </c>
      <c r="D49" s="753" t="s">
        <v>702</v>
      </c>
      <c r="E49" s="754">
        <f>123/365</f>
        <v>0.33698630136986302</v>
      </c>
      <c r="F49" s="761">
        <v>0</v>
      </c>
      <c r="G49" s="244">
        <v>0</v>
      </c>
      <c r="H49" s="733">
        <f t="shared" si="12"/>
        <v>0</v>
      </c>
      <c r="I49" s="755"/>
      <c r="J49" s="28">
        <f t="shared" si="13"/>
        <v>0</v>
      </c>
      <c r="K49" s="755"/>
      <c r="L49" s="28">
        <f t="shared" si="14"/>
        <v>0</v>
      </c>
    </row>
    <row r="50" spans="1:12" ht="20.100000000000001" customHeight="1">
      <c r="A50" s="732">
        <f t="shared" si="15"/>
        <v>38</v>
      </c>
      <c r="B50" s="721" t="s">
        <v>726</v>
      </c>
      <c r="C50" s="723" t="s">
        <v>311</v>
      </c>
      <c r="D50" s="753" t="s">
        <v>702</v>
      </c>
      <c r="E50" s="754">
        <f>93/365</f>
        <v>0.25479452054794521</v>
      </c>
      <c r="F50" s="761">
        <v>0</v>
      </c>
      <c r="G50" s="244">
        <v>0</v>
      </c>
      <c r="H50" s="733">
        <f t="shared" si="12"/>
        <v>0</v>
      </c>
      <c r="I50" s="755"/>
      <c r="J50" s="28">
        <f t="shared" si="13"/>
        <v>0</v>
      </c>
      <c r="K50" s="755"/>
      <c r="L50" s="28">
        <f t="shared" si="14"/>
        <v>0</v>
      </c>
    </row>
    <row r="51" spans="1:12" ht="20.100000000000001" customHeight="1">
      <c r="A51" s="732">
        <f t="shared" si="15"/>
        <v>39</v>
      </c>
      <c r="B51" s="721" t="s">
        <v>726</v>
      </c>
      <c r="C51" s="723" t="s">
        <v>318</v>
      </c>
      <c r="D51" s="753" t="s">
        <v>702</v>
      </c>
      <c r="E51" s="754">
        <f>62/365</f>
        <v>0.16986301369863013</v>
      </c>
      <c r="F51" s="761">
        <v>0</v>
      </c>
      <c r="G51" s="244">
        <v>0</v>
      </c>
      <c r="H51" s="733">
        <f t="shared" si="12"/>
        <v>0</v>
      </c>
      <c r="I51" s="755"/>
      <c r="J51" s="28">
        <f t="shared" si="13"/>
        <v>0</v>
      </c>
      <c r="K51" s="755"/>
      <c r="L51" s="28">
        <f t="shared" si="14"/>
        <v>0</v>
      </c>
    </row>
    <row r="52" spans="1:12" ht="20.100000000000001" customHeight="1">
      <c r="A52" s="732">
        <f t="shared" si="15"/>
        <v>40</v>
      </c>
      <c r="B52" s="721" t="s">
        <v>726</v>
      </c>
      <c r="C52" s="723" t="s">
        <v>313</v>
      </c>
      <c r="D52" s="753" t="s">
        <v>702</v>
      </c>
      <c r="E52" s="754">
        <f>32/365</f>
        <v>8.7671232876712329E-2</v>
      </c>
      <c r="F52" s="761">
        <v>0</v>
      </c>
      <c r="G52" s="244">
        <v>0</v>
      </c>
      <c r="H52" s="733">
        <f t="shared" si="12"/>
        <v>0</v>
      </c>
      <c r="I52" s="755"/>
      <c r="J52" s="28">
        <f t="shared" si="13"/>
        <v>0</v>
      </c>
      <c r="K52" s="755"/>
      <c r="L52" s="28">
        <f t="shared" si="14"/>
        <v>0</v>
      </c>
    </row>
    <row r="53" spans="1:12" ht="20.100000000000001" customHeight="1">
      <c r="A53" s="732">
        <f t="shared" si="15"/>
        <v>41</v>
      </c>
      <c r="B53" s="721" t="s">
        <v>726</v>
      </c>
      <c r="C53" s="723" t="s">
        <v>300</v>
      </c>
      <c r="D53" s="753" t="s">
        <v>702</v>
      </c>
      <c r="E53" s="754">
        <f>1/365</f>
        <v>2.7397260273972603E-3</v>
      </c>
      <c r="F53" s="761">
        <v>0</v>
      </c>
      <c r="G53" s="244">
        <v>0</v>
      </c>
      <c r="H53" s="733">
        <f t="shared" si="12"/>
        <v>0</v>
      </c>
      <c r="I53" s="755"/>
      <c r="J53" s="28">
        <f t="shared" si="13"/>
        <v>0</v>
      </c>
      <c r="K53" s="755"/>
      <c r="L53" s="28">
        <f t="shared" si="14"/>
        <v>0</v>
      </c>
    </row>
    <row r="54" spans="1:12" ht="20.100000000000001" customHeight="1">
      <c r="A54" s="732">
        <f t="shared" si="15"/>
        <v>42</v>
      </c>
      <c r="B54" s="721" t="s">
        <v>733</v>
      </c>
      <c r="F54" s="736">
        <f>SUM(F41:F53)</f>
        <v>0</v>
      </c>
      <c r="G54" s="733">
        <f>SUM(G41:G53)</f>
        <v>0</v>
      </c>
      <c r="H54" s="733">
        <f t="shared" ref="H54:L54" si="16">SUM(H41:H53)</f>
        <v>0</v>
      </c>
      <c r="I54" s="28">
        <f t="shared" si="16"/>
        <v>0</v>
      </c>
      <c r="J54" s="28">
        <f t="shared" si="16"/>
        <v>0</v>
      </c>
      <c r="K54" s="28">
        <f t="shared" si="16"/>
        <v>0</v>
      </c>
      <c r="L54" s="28">
        <f t="shared" si="16"/>
        <v>0</v>
      </c>
    </row>
    <row r="55" spans="1:12">
      <c r="B55" s="723"/>
      <c r="G55" s="760">
        <f>G54-'6d- ADIT EOY'!E28</f>
        <v>0</v>
      </c>
      <c r="I55" s="745">
        <f>I54-'6d- ADIT EOY'!F28</f>
        <v>0</v>
      </c>
      <c r="K55" s="745">
        <f>K54-'6d- ADIT EOY'!G28</f>
        <v>0</v>
      </c>
    </row>
    <row r="56" spans="1:12">
      <c r="B56" s="723"/>
    </row>
    <row r="57" spans="1:12" ht="15.75" customHeight="1">
      <c r="A57" s="763" t="s">
        <v>264</v>
      </c>
      <c r="B57" s="723" t="s">
        <v>734</v>
      </c>
    </row>
    <row r="58" spans="1:12">
      <c r="A58" s="763" t="s">
        <v>266</v>
      </c>
      <c r="B58" s="723" t="s">
        <v>735</v>
      </c>
      <c r="D58" s="750"/>
      <c r="E58" s="764"/>
      <c r="F58" s="764"/>
      <c r="G58" s="764"/>
      <c r="H58" s="764"/>
      <c r="I58" s="765"/>
    </row>
    <row r="59" spans="1:12">
      <c r="A59" s="766" t="s">
        <v>195</v>
      </c>
      <c r="B59" s="723" t="s">
        <v>736</v>
      </c>
      <c r="D59" s="750"/>
      <c r="E59" s="764"/>
      <c r="F59" s="764"/>
      <c r="G59" s="764"/>
      <c r="H59" s="764"/>
      <c r="I59" s="765"/>
    </row>
    <row r="60" spans="1:12">
      <c r="A60" s="766" t="s">
        <v>198</v>
      </c>
      <c r="B60" s="723" t="s">
        <v>737</v>
      </c>
      <c r="D60" s="750"/>
      <c r="E60" s="764"/>
      <c r="F60" s="764"/>
      <c r="G60" s="764"/>
      <c r="H60" s="764"/>
      <c r="I60" s="765"/>
    </row>
    <row r="61" spans="1:12">
      <c r="A61" s="766" t="s">
        <v>200</v>
      </c>
      <c r="B61" s="721" t="s">
        <v>738</v>
      </c>
      <c r="D61" s="750"/>
      <c r="E61" s="722"/>
    </row>
    <row r="62" spans="1:12">
      <c r="D62" s="767"/>
      <c r="E62" s="746"/>
    </row>
    <row r="63" spans="1:12">
      <c r="D63" s="767"/>
      <c r="E63" s="746"/>
    </row>
    <row r="64" spans="1:12">
      <c r="D64" s="767"/>
      <c r="E64" s="746"/>
    </row>
    <row r="65" spans="2:5">
      <c r="D65" s="767"/>
      <c r="E65" s="746"/>
    </row>
    <row r="66" spans="2:5">
      <c r="D66" s="767"/>
      <c r="E66" s="746"/>
    </row>
    <row r="67" spans="2:5">
      <c r="D67" s="767"/>
      <c r="E67" s="746"/>
    </row>
    <row r="68" spans="2:5">
      <c r="D68" s="767"/>
      <c r="E68" s="746"/>
    </row>
    <row r="69" spans="2:5">
      <c r="D69" s="767"/>
      <c r="E69" s="746"/>
    </row>
    <row r="70" spans="2:5">
      <c r="D70" s="767"/>
      <c r="E70" s="746"/>
    </row>
    <row r="71" spans="2:5">
      <c r="D71" s="767"/>
      <c r="E71" s="746"/>
    </row>
    <row r="72" spans="2:5">
      <c r="B72" s="723"/>
      <c r="D72" s="767"/>
      <c r="E72" s="746"/>
    </row>
    <row r="73" spans="2:5">
      <c r="D73" s="767"/>
      <c r="E73" s="746"/>
    </row>
    <row r="74" spans="2:5">
      <c r="B74" s="723"/>
      <c r="D74" s="767"/>
      <c r="E74" s="746"/>
    </row>
    <row r="178" spans="9:9">
      <c r="I178" s="747"/>
    </row>
  </sheetData>
  <mergeCells count="2">
    <mergeCell ref="A2:L2"/>
    <mergeCell ref="A3:L3"/>
  </mergeCells>
  <printOptions horizontalCentered="1"/>
  <pageMargins left="0.25" right="0.25" top="0.5" bottom="0.5" header="0.3" footer="0.3"/>
  <pageSetup scale="46" orientation="landscape" cellComments="asDisplayed" r:id="rId1"/>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D041-4B36-476A-B229-7A5BF02ECFA7}">
  <dimension ref="A1:U210"/>
  <sheetViews>
    <sheetView view="pageBreakPreview" zoomScale="70" zoomScaleNormal="50" zoomScaleSheetLayoutView="70" workbookViewId="0">
      <selection activeCell="B60" sqref="B60:G60"/>
    </sheetView>
  </sheetViews>
  <sheetFormatPr defaultColWidth="8.81640625" defaultRowHeight="15.6"/>
  <cols>
    <col min="1" max="1" width="5.1796875" style="723" customWidth="1"/>
    <col min="2" max="2" width="51.453125" style="721" customWidth="1"/>
    <col min="3" max="3" width="22.08984375" style="723" customWidth="1"/>
    <col min="4" max="4" width="16.1796875" style="723" customWidth="1"/>
    <col min="5" max="5" width="11.81640625" style="723" customWidth="1"/>
    <col min="6" max="6" width="13.81640625" style="723" customWidth="1"/>
    <col min="7" max="7" width="13.1796875" style="723" customWidth="1"/>
    <col min="8" max="8" width="77.81640625" style="723" customWidth="1"/>
    <col min="9" max="16384" width="8.81640625" style="724"/>
  </cols>
  <sheetData>
    <row r="1" spans="1:21" ht="17.399999999999999">
      <c r="B1" s="1156" t="s">
        <v>739</v>
      </c>
      <c r="C1" s="1156"/>
      <c r="D1" s="1156"/>
      <c r="E1" s="1156"/>
      <c r="F1" s="1156"/>
      <c r="G1" s="1156"/>
      <c r="H1" s="1156"/>
      <c r="I1" s="727"/>
      <c r="J1" s="727"/>
    </row>
    <row r="2" spans="1:21" ht="17.399999999999999">
      <c r="B2" s="1156" t="str">
        <f>'6b-ADIT Projection Proration'!A3</f>
        <v>Projection For the 12 months ended 12/31/2023</v>
      </c>
      <c r="C2" s="1156"/>
      <c r="D2" s="1156"/>
      <c r="E2" s="1156"/>
      <c r="F2" s="1156"/>
      <c r="G2" s="1156"/>
      <c r="H2" s="1156"/>
      <c r="I2" s="727"/>
      <c r="J2" s="727"/>
    </row>
    <row r="3" spans="1:21" ht="17.399999999999999">
      <c r="B3" s="1156" t="s">
        <v>360</v>
      </c>
      <c r="C3" s="1156"/>
      <c r="D3" s="1156"/>
      <c r="E3" s="1156"/>
      <c r="F3" s="1156"/>
      <c r="G3" s="1156"/>
      <c r="H3" s="1156"/>
      <c r="I3" s="727"/>
      <c r="J3" s="727"/>
    </row>
    <row r="4" spans="1:21" ht="17.399999999999999">
      <c r="B4" s="723"/>
      <c r="I4" s="727"/>
      <c r="J4" s="727"/>
    </row>
    <row r="5" spans="1:21">
      <c r="D5" s="722"/>
      <c r="E5" s="722"/>
      <c r="G5" s="722"/>
    </row>
    <row r="6" spans="1:21">
      <c r="D6" s="724"/>
      <c r="E6" s="724"/>
      <c r="F6" s="724"/>
      <c r="G6" s="724"/>
      <c r="U6" s="726"/>
    </row>
    <row r="7" spans="1:21" ht="34.5" customHeight="1">
      <c r="A7" s="728" t="s">
        <v>681</v>
      </c>
      <c r="B7" s="728" t="s">
        <v>682</v>
      </c>
      <c r="C7" s="729"/>
      <c r="D7" s="730"/>
      <c r="E7" s="731" t="s">
        <v>402</v>
      </c>
      <c r="F7" s="731" t="s">
        <v>683</v>
      </c>
      <c r="G7" s="728" t="s">
        <v>684</v>
      </c>
      <c r="H7" s="729"/>
      <c r="U7" s="726"/>
    </row>
    <row r="8" spans="1:21">
      <c r="B8" s="732"/>
      <c r="D8" s="724"/>
    </row>
    <row r="9" spans="1:21" ht="20.100000000000001" customHeight="1">
      <c r="A9" s="723">
        <v>1</v>
      </c>
      <c r="B9" s="723" t="s">
        <v>700</v>
      </c>
      <c r="D9" s="724"/>
      <c r="E9" s="733">
        <f>+E54</f>
        <v>-2502695.0366009716</v>
      </c>
      <c r="F9" s="733">
        <f>+F54</f>
        <v>0</v>
      </c>
      <c r="G9" s="733">
        <f>+G54</f>
        <v>0</v>
      </c>
      <c r="H9" s="723" t="s">
        <v>740</v>
      </c>
    </row>
    <row r="10" spans="1:21" ht="20.100000000000001" customHeight="1">
      <c r="A10" s="723">
        <f>+A9+1</f>
        <v>2</v>
      </c>
      <c r="B10" s="723" t="s">
        <v>707</v>
      </c>
      <c r="D10" s="724"/>
      <c r="E10" s="733">
        <f>+E78</f>
        <v>0</v>
      </c>
      <c r="F10" s="733">
        <f>+F78</f>
        <v>0</v>
      </c>
      <c r="G10" s="733">
        <f>+G78</f>
        <v>0</v>
      </c>
      <c r="H10" s="723" t="s">
        <v>741</v>
      </c>
    </row>
    <row r="11" spans="1:21" ht="20.100000000000001" customHeight="1">
      <c r="A11" s="723">
        <f>+A10+1</f>
        <v>3</v>
      </c>
      <c r="B11" s="723" t="s">
        <v>687</v>
      </c>
      <c r="D11" s="724"/>
      <c r="E11" s="733">
        <f>E32</f>
        <v>0</v>
      </c>
      <c r="F11" s="733">
        <f>F32</f>
        <v>0</v>
      </c>
      <c r="G11" s="733">
        <f>G32</f>
        <v>0</v>
      </c>
      <c r="H11" s="723" t="s">
        <v>742</v>
      </c>
    </row>
    <row r="12" spans="1:21" ht="20.100000000000001" customHeight="1">
      <c r="A12" s="723">
        <f>+A11+1</f>
        <v>4</v>
      </c>
      <c r="B12" s="723" t="s">
        <v>688</v>
      </c>
      <c r="D12" s="724"/>
      <c r="E12" s="733">
        <f>SUM(E9:E11)</f>
        <v>-2502695.0366009716</v>
      </c>
      <c r="F12" s="733">
        <f>SUM(F9:F11)</f>
        <v>0</v>
      </c>
      <c r="G12" s="733">
        <f>SUM(G9:G11)</f>
        <v>0</v>
      </c>
      <c r="H12" s="734" t="s">
        <v>743</v>
      </c>
    </row>
    <row r="13" spans="1:21">
      <c r="B13" s="723"/>
      <c r="D13" s="734"/>
      <c r="H13" s="733"/>
    </row>
    <row r="14" spans="1:21">
      <c r="B14" s="723"/>
      <c r="H14" s="736"/>
    </row>
    <row r="15" spans="1:21" ht="33" customHeight="1">
      <c r="B15" s="1158" t="s">
        <v>744</v>
      </c>
      <c r="C15" s="1158"/>
      <c r="D15" s="1158"/>
      <c r="E15" s="1158"/>
      <c r="F15" s="1158"/>
      <c r="G15" s="1158"/>
      <c r="H15" s="1158"/>
    </row>
    <row r="16" spans="1:21">
      <c r="C16" s="724"/>
      <c r="D16" s="722"/>
      <c r="E16" s="722"/>
      <c r="F16" s="722"/>
      <c r="G16" s="722"/>
    </row>
    <row r="17" spans="1:8">
      <c r="B17" s="722" t="s">
        <v>195</v>
      </c>
      <c r="C17" s="722" t="s">
        <v>198</v>
      </c>
      <c r="D17" s="722" t="s">
        <v>200</v>
      </c>
      <c r="E17" s="722" t="s">
        <v>203</v>
      </c>
      <c r="F17" s="722" t="s">
        <v>210</v>
      </c>
      <c r="G17" s="722" t="s">
        <v>214</v>
      </c>
      <c r="H17" s="722" t="s">
        <v>230</v>
      </c>
    </row>
    <row r="18" spans="1:8" ht="31.2">
      <c r="B18" s="721" t="s">
        <v>687</v>
      </c>
      <c r="C18" s="768" t="s">
        <v>36</v>
      </c>
      <c r="D18" s="768" t="s">
        <v>745</v>
      </c>
      <c r="E18" s="768" t="s">
        <v>402</v>
      </c>
      <c r="F18" s="768" t="s">
        <v>683</v>
      </c>
      <c r="G18" s="768" t="s">
        <v>684</v>
      </c>
      <c r="H18" s="768" t="s">
        <v>746</v>
      </c>
    </row>
    <row r="19" spans="1:8" ht="30" customHeight="1">
      <c r="A19" s="723">
        <f>A12+1</f>
        <v>5</v>
      </c>
      <c r="B19" s="769"/>
      <c r="C19" s="770"/>
      <c r="D19" s="771"/>
      <c r="E19" s="771"/>
      <c r="F19" s="771"/>
      <c r="G19" s="771"/>
      <c r="H19" s="772"/>
    </row>
    <row r="20" spans="1:8" ht="30" customHeight="1">
      <c r="A20" s="723">
        <f t="shared" ref="A20:A32" si="0">+A19+1</f>
        <v>6</v>
      </c>
      <c r="B20" s="773"/>
      <c r="C20" s="770"/>
      <c r="D20" s="771"/>
      <c r="E20" s="771"/>
      <c r="F20" s="771"/>
      <c r="G20" s="771"/>
      <c r="H20" s="772"/>
    </row>
    <row r="21" spans="1:8" ht="30" customHeight="1">
      <c r="A21" s="723">
        <f t="shared" si="0"/>
        <v>7</v>
      </c>
      <c r="B21" s="773"/>
      <c r="C21" s="770"/>
      <c r="D21" s="771"/>
      <c r="E21" s="771"/>
      <c r="F21" s="771"/>
      <c r="G21" s="771"/>
      <c r="H21" s="772"/>
    </row>
    <row r="22" spans="1:8" ht="30" customHeight="1">
      <c r="A22" s="723">
        <f t="shared" si="0"/>
        <v>8</v>
      </c>
      <c r="B22" s="773"/>
      <c r="C22" s="770"/>
      <c r="D22" s="771"/>
      <c r="E22" s="771"/>
      <c r="F22" s="771"/>
      <c r="G22" s="771"/>
      <c r="H22" s="772"/>
    </row>
    <row r="23" spans="1:8" ht="30" customHeight="1">
      <c r="A23" s="723">
        <f t="shared" si="0"/>
        <v>9</v>
      </c>
      <c r="B23" s="773"/>
      <c r="C23" s="770"/>
      <c r="D23" s="771"/>
      <c r="E23" s="771"/>
      <c r="F23" s="771"/>
      <c r="G23" s="771"/>
      <c r="H23" s="772"/>
    </row>
    <row r="24" spans="1:8" ht="30" customHeight="1">
      <c r="A24" s="723">
        <f t="shared" si="0"/>
        <v>10</v>
      </c>
      <c r="B24" s="773"/>
      <c r="C24" s="770"/>
      <c r="D24" s="771"/>
      <c r="E24" s="771"/>
      <c r="F24" s="771"/>
      <c r="G24" s="771"/>
      <c r="H24" s="772"/>
    </row>
    <row r="25" spans="1:8" ht="30" customHeight="1">
      <c r="A25" s="723">
        <f t="shared" si="0"/>
        <v>11</v>
      </c>
      <c r="B25" s="773"/>
      <c r="C25" s="770"/>
      <c r="D25" s="771"/>
      <c r="E25" s="771"/>
      <c r="F25" s="771"/>
      <c r="G25" s="771"/>
      <c r="H25" s="772"/>
    </row>
    <row r="26" spans="1:8" ht="30" customHeight="1">
      <c r="A26" s="723">
        <f t="shared" si="0"/>
        <v>12</v>
      </c>
      <c r="B26" s="773"/>
      <c r="C26" s="770"/>
      <c r="D26" s="774"/>
      <c r="E26" s="771"/>
      <c r="F26" s="771"/>
      <c r="G26" s="771"/>
      <c r="H26" s="772"/>
    </row>
    <row r="27" spans="1:8" ht="30" customHeight="1">
      <c r="A27" s="723">
        <f t="shared" si="0"/>
        <v>13</v>
      </c>
      <c r="B27" s="773"/>
      <c r="C27" s="770"/>
      <c r="D27" s="771"/>
      <c r="E27" s="771"/>
      <c r="F27" s="771"/>
      <c r="G27" s="771"/>
      <c r="H27" s="772"/>
    </row>
    <row r="28" spans="1:8" ht="30" customHeight="1">
      <c r="A28" s="723">
        <f t="shared" si="0"/>
        <v>14</v>
      </c>
      <c r="B28" s="775" t="s">
        <v>747</v>
      </c>
      <c r="C28" s="776"/>
      <c r="D28" s="776"/>
      <c r="E28" s="776"/>
      <c r="F28" s="776"/>
      <c r="G28" s="776"/>
      <c r="H28" s="777" t="s">
        <v>748</v>
      </c>
    </row>
    <row r="29" spans="1:8" ht="20.100000000000001" customHeight="1">
      <c r="A29" s="723">
        <f t="shared" si="0"/>
        <v>15</v>
      </c>
      <c r="B29" s="778" t="s">
        <v>749</v>
      </c>
      <c r="C29" s="779">
        <f>SUBTOTAL(9,C19:C28)</f>
        <v>0</v>
      </c>
      <c r="D29" s="780">
        <f>SUM(D19:D28)</f>
        <v>0</v>
      </c>
      <c r="E29" s="780">
        <f>SUM(E19:E28)</f>
        <v>0</v>
      </c>
      <c r="F29" s="780">
        <f>SUM(F19:F28)</f>
        <v>0</v>
      </c>
      <c r="G29" s="780">
        <f>SUM(G19:G28)</f>
        <v>0</v>
      </c>
      <c r="H29" s="781"/>
    </row>
    <row r="30" spans="1:8" ht="20.100000000000001" customHeight="1">
      <c r="A30" s="723">
        <f t="shared" si="0"/>
        <v>16</v>
      </c>
      <c r="B30" s="782" t="s">
        <v>750</v>
      </c>
      <c r="C30" s="783"/>
      <c r="D30" s="783"/>
      <c r="E30" s="783"/>
      <c r="F30" s="784"/>
      <c r="G30" s="785"/>
      <c r="H30" s="772"/>
    </row>
    <row r="31" spans="1:8" ht="20.100000000000001" customHeight="1">
      <c r="A31" s="723">
        <f t="shared" si="0"/>
        <v>17</v>
      </c>
      <c r="B31" s="786" t="s">
        <v>751</v>
      </c>
      <c r="C31" s="787"/>
      <c r="D31" s="787"/>
      <c r="E31" s="787"/>
      <c r="F31" s="787"/>
      <c r="G31" s="787"/>
      <c r="H31" s="788"/>
    </row>
    <row r="32" spans="1:8" ht="20.100000000000001" customHeight="1" thickBot="1">
      <c r="A32" s="723">
        <f t="shared" si="0"/>
        <v>18</v>
      </c>
      <c r="B32" s="789" t="s">
        <v>36</v>
      </c>
      <c r="C32" s="790">
        <f>+C29-C30-C31</f>
        <v>0</v>
      </c>
      <c r="D32" s="790">
        <f>+D29-D30-D31</f>
        <v>0</v>
      </c>
      <c r="E32" s="790">
        <f>+E29-E30-E31</f>
        <v>0</v>
      </c>
      <c r="F32" s="790">
        <f>+F29-F30-F31</f>
        <v>0</v>
      </c>
      <c r="G32" s="790">
        <f>+G29-G30-G31</f>
        <v>0</v>
      </c>
      <c r="H32" s="791"/>
    </row>
    <row r="33" spans="1:8" ht="20.100000000000001" customHeight="1" thickTop="1">
      <c r="B33" s="723" t="s">
        <v>752</v>
      </c>
      <c r="C33" s="734"/>
      <c r="D33" s="792"/>
      <c r="E33" s="722"/>
      <c r="G33" s="793"/>
    </row>
    <row r="34" spans="1:8" ht="20.100000000000001" customHeight="1">
      <c r="B34" s="1157" t="s">
        <v>753</v>
      </c>
      <c r="C34" s="1157"/>
      <c r="D34" s="1157"/>
      <c r="E34" s="1157"/>
      <c r="F34" s="1157"/>
      <c r="G34" s="1157"/>
    </row>
    <row r="35" spans="1:8" ht="20.100000000000001" customHeight="1">
      <c r="B35" s="721" t="s">
        <v>754</v>
      </c>
      <c r="F35" s="722"/>
      <c r="G35" s="722"/>
    </row>
    <row r="36" spans="1:8" ht="20.100000000000001" customHeight="1">
      <c r="B36" s="721" t="s">
        <v>755</v>
      </c>
      <c r="F36" s="722"/>
      <c r="G36" s="722"/>
    </row>
    <row r="37" spans="1:8" ht="20.100000000000001" customHeight="1">
      <c r="B37" s="721" t="s">
        <v>756</v>
      </c>
      <c r="F37" s="722"/>
      <c r="G37" s="722"/>
    </row>
    <row r="38" spans="1:8" ht="35.25" customHeight="1">
      <c r="B38" s="1157" t="s">
        <v>757</v>
      </c>
      <c r="C38" s="1157"/>
      <c r="D38" s="1157"/>
      <c r="E38" s="1157"/>
      <c r="F38" s="1157"/>
      <c r="G38" s="1157"/>
      <c r="H38" s="794"/>
    </row>
    <row r="39" spans="1:8">
      <c r="B39" s="794"/>
      <c r="C39" s="794"/>
      <c r="D39" s="794"/>
      <c r="E39" s="794"/>
      <c r="F39" s="794"/>
      <c r="G39" s="794"/>
      <c r="H39" s="794"/>
    </row>
    <row r="40" spans="1:8">
      <c r="B40" s="723"/>
    </row>
    <row r="41" spans="1:8">
      <c r="B41" s="722" t="s">
        <v>195</v>
      </c>
      <c r="C41" s="722" t="s">
        <v>198</v>
      </c>
      <c r="D41" s="722" t="s">
        <v>200</v>
      </c>
      <c r="E41" s="722" t="s">
        <v>203</v>
      </c>
      <c r="F41" s="722" t="s">
        <v>210</v>
      </c>
      <c r="G41" s="722" t="s">
        <v>214</v>
      </c>
      <c r="H41" s="722" t="s">
        <v>230</v>
      </c>
    </row>
    <row r="42" spans="1:8" ht="31.2">
      <c r="B42" s="723" t="s">
        <v>758</v>
      </c>
      <c r="C42" s="768" t="s">
        <v>36</v>
      </c>
      <c r="D42" s="768" t="s">
        <v>745</v>
      </c>
      <c r="E42" s="768" t="s">
        <v>402</v>
      </c>
      <c r="F42" s="768" t="s">
        <v>683</v>
      </c>
      <c r="G42" s="768" t="s">
        <v>684</v>
      </c>
      <c r="H42" s="768" t="s">
        <v>746</v>
      </c>
    </row>
    <row r="43" spans="1:8" ht="30" customHeight="1">
      <c r="A43" s="723">
        <f>A32+1</f>
        <v>19</v>
      </c>
      <c r="B43" s="795" t="s">
        <v>759</v>
      </c>
      <c r="C43" s="770"/>
      <c r="D43" s="771"/>
      <c r="E43" s="771">
        <v>-2502695.0366009716</v>
      </c>
      <c r="F43" s="771"/>
      <c r="G43" s="771"/>
      <c r="H43" s="772"/>
    </row>
    <row r="44" spans="1:8" ht="30" customHeight="1">
      <c r="A44" s="723">
        <f t="shared" ref="A44:A54" si="1">+A43+1</f>
        <v>20</v>
      </c>
      <c r="B44" s="773"/>
      <c r="C44" s="770"/>
      <c r="D44" s="771"/>
      <c r="E44" s="771"/>
      <c r="F44" s="771"/>
      <c r="G44" s="771"/>
      <c r="H44" s="772"/>
    </row>
    <row r="45" spans="1:8" ht="30" customHeight="1">
      <c r="A45" s="723">
        <f t="shared" si="1"/>
        <v>21</v>
      </c>
      <c r="B45" s="773"/>
      <c r="C45" s="770"/>
      <c r="D45" s="771"/>
      <c r="E45" s="771"/>
      <c r="F45" s="771"/>
      <c r="G45" s="771"/>
      <c r="H45" s="772"/>
    </row>
    <row r="46" spans="1:8" ht="30" customHeight="1">
      <c r="A46" s="723">
        <f t="shared" si="1"/>
        <v>22</v>
      </c>
      <c r="B46" s="773"/>
      <c r="C46" s="771"/>
      <c r="D46" s="771"/>
      <c r="E46" s="771"/>
      <c r="F46" s="771"/>
      <c r="G46" s="771"/>
      <c r="H46" s="772"/>
    </row>
    <row r="47" spans="1:8" ht="30" customHeight="1">
      <c r="A47" s="723">
        <f t="shared" si="1"/>
        <v>23</v>
      </c>
      <c r="B47" s="773"/>
      <c r="C47" s="771"/>
      <c r="D47" s="771"/>
      <c r="E47" s="771"/>
      <c r="F47" s="771"/>
      <c r="G47" s="771"/>
      <c r="H47" s="772"/>
    </row>
    <row r="48" spans="1:8" ht="30" customHeight="1">
      <c r="A48" s="723">
        <f t="shared" si="1"/>
        <v>24</v>
      </c>
      <c r="B48" s="796"/>
      <c r="C48" s="797"/>
      <c r="D48" s="797"/>
      <c r="E48" s="797"/>
      <c r="F48" s="797"/>
      <c r="G48" s="797"/>
      <c r="H48" s="772"/>
    </row>
    <row r="49" spans="1:8" ht="30" customHeight="1">
      <c r="A49" s="723">
        <f t="shared" si="1"/>
        <v>25</v>
      </c>
      <c r="B49" s="798"/>
      <c r="C49" s="797"/>
      <c r="D49" s="797"/>
      <c r="E49" s="797"/>
      <c r="F49" s="797"/>
      <c r="G49" s="797"/>
      <c r="H49" s="772"/>
    </row>
    <row r="50" spans="1:8" ht="30" customHeight="1">
      <c r="A50" s="723">
        <f t="shared" si="1"/>
        <v>26</v>
      </c>
      <c r="B50" s="775" t="s">
        <v>760</v>
      </c>
      <c r="C50" s="799"/>
      <c r="D50" s="799"/>
      <c r="E50" s="799"/>
      <c r="F50" s="799"/>
      <c r="G50" s="799"/>
      <c r="H50" s="777" t="s">
        <v>748</v>
      </c>
    </row>
    <row r="51" spans="1:8" ht="20.100000000000001" customHeight="1">
      <c r="A51" s="723">
        <f t="shared" si="1"/>
        <v>27</v>
      </c>
      <c r="B51" s="800" t="s">
        <v>761</v>
      </c>
      <c r="C51" s="780">
        <f>SUBTOTAL(9,C43:C50)</f>
        <v>0</v>
      </c>
      <c r="D51" s="780">
        <f>SUM(D43:D50)</f>
        <v>0</v>
      </c>
      <c r="E51" s="780">
        <f>SUM(E43:E50)</f>
        <v>-2502695.0366009716</v>
      </c>
      <c r="F51" s="780">
        <f>SUM(F43:F50)</f>
        <v>0</v>
      </c>
      <c r="G51" s="780">
        <f>SUM(G43:G50)</f>
        <v>0</v>
      </c>
      <c r="H51" s="781"/>
    </row>
    <row r="52" spans="1:8" ht="20.100000000000001" customHeight="1">
      <c r="A52" s="723">
        <f t="shared" si="1"/>
        <v>28</v>
      </c>
      <c r="B52" s="800" t="s">
        <v>750</v>
      </c>
      <c r="C52" s="783"/>
      <c r="D52" s="783"/>
      <c r="E52" s="783"/>
      <c r="F52" s="783"/>
      <c r="G52" s="783"/>
      <c r="H52" s="772"/>
    </row>
    <row r="53" spans="1:8" ht="20.100000000000001" customHeight="1">
      <c r="A53" s="723">
        <f t="shared" si="1"/>
        <v>29</v>
      </c>
      <c r="B53" s="801" t="s">
        <v>751</v>
      </c>
      <c r="C53" s="787"/>
      <c r="D53" s="787"/>
      <c r="E53" s="787"/>
      <c r="F53" s="787"/>
      <c r="G53" s="787"/>
      <c r="H53" s="788"/>
    </row>
    <row r="54" spans="1:8" ht="20.100000000000001" customHeight="1" thickBot="1">
      <c r="A54" s="723">
        <f t="shared" si="1"/>
        <v>30</v>
      </c>
      <c r="B54" s="789" t="s">
        <v>36</v>
      </c>
      <c r="C54" s="790">
        <f>+C51-C52-C53</f>
        <v>0</v>
      </c>
      <c r="D54" s="790">
        <f>+D51-D52-D53</f>
        <v>0</v>
      </c>
      <c r="E54" s="790">
        <f>+E51-E52-E53</f>
        <v>-2502695.0366009716</v>
      </c>
      <c r="F54" s="790">
        <f>+F51-F52-F53</f>
        <v>0</v>
      </c>
      <c r="G54" s="790">
        <f>+G51-G52-G53</f>
        <v>0</v>
      </c>
      <c r="H54" s="791"/>
    </row>
    <row r="55" spans="1:8" ht="20.100000000000001" customHeight="1" thickTop="1">
      <c r="B55" s="723" t="s">
        <v>762</v>
      </c>
      <c r="D55" s="722"/>
      <c r="E55" s="792"/>
      <c r="G55" s="794"/>
    </row>
    <row r="56" spans="1:8" ht="20.100000000000001" customHeight="1">
      <c r="B56" s="1157" t="s">
        <v>753</v>
      </c>
      <c r="C56" s="1157"/>
      <c r="D56" s="1157"/>
      <c r="E56" s="1157"/>
      <c r="F56" s="1157"/>
      <c r="G56" s="1157"/>
    </row>
    <row r="57" spans="1:8" ht="20.100000000000001" customHeight="1">
      <c r="B57" s="721" t="s">
        <v>754</v>
      </c>
      <c r="F57" s="722"/>
      <c r="G57" s="722"/>
    </row>
    <row r="58" spans="1:8" ht="20.100000000000001" customHeight="1">
      <c r="B58" s="721" t="s">
        <v>755</v>
      </c>
      <c r="F58" s="722"/>
      <c r="G58" s="722"/>
    </row>
    <row r="59" spans="1:8" ht="20.100000000000001" customHeight="1">
      <c r="B59" s="721" t="s">
        <v>756</v>
      </c>
      <c r="F59" s="722"/>
      <c r="G59" s="722"/>
    </row>
    <row r="60" spans="1:8" ht="35.1" customHeight="1">
      <c r="B60" s="1157" t="s">
        <v>757</v>
      </c>
      <c r="C60" s="1157"/>
      <c r="D60" s="1157"/>
      <c r="E60" s="1157"/>
      <c r="F60" s="1157"/>
      <c r="G60" s="1157"/>
      <c r="H60" s="794"/>
    </row>
    <row r="61" spans="1:8">
      <c r="H61" s="794"/>
    </row>
    <row r="62" spans="1:8">
      <c r="H62" s="794"/>
    </row>
    <row r="63" spans="1:8">
      <c r="B63" s="722" t="s">
        <v>195</v>
      </c>
      <c r="C63" s="722" t="s">
        <v>198</v>
      </c>
      <c r="D63" s="722" t="s">
        <v>200</v>
      </c>
      <c r="E63" s="722" t="s">
        <v>203</v>
      </c>
      <c r="F63" s="722" t="s">
        <v>210</v>
      </c>
      <c r="G63" s="722" t="s">
        <v>214</v>
      </c>
      <c r="H63" s="722" t="s">
        <v>230</v>
      </c>
    </row>
    <row r="64" spans="1:8" ht="31.2">
      <c r="B64" s="723" t="s">
        <v>763</v>
      </c>
      <c r="C64" s="768" t="s">
        <v>36</v>
      </c>
      <c r="D64" s="768" t="s">
        <v>745</v>
      </c>
      <c r="E64" s="768" t="s">
        <v>402</v>
      </c>
      <c r="F64" s="768" t="s">
        <v>683</v>
      </c>
      <c r="G64" s="768" t="s">
        <v>684</v>
      </c>
      <c r="H64" s="768" t="s">
        <v>746</v>
      </c>
    </row>
    <row r="65" spans="1:8" ht="30" customHeight="1">
      <c r="A65" s="723">
        <f>A54+1</f>
        <v>31</v>
      </c>
      <c r="B65" s="802"/>
      <c r="C65" s="770"/>
      <c r="D65" s="771"/>
      <c r="E65" s="771"/>
      <c r="F65" s="771"/>
      <c r="G65" s="771"/>
      <c r="H65" s="772"/>
    </row>
    <row r="66" spans="1:8" ht="30" customHeight="1">
      <c r="A66" s="723">
        <f t="shared" ref="A66:A78" si="2">+A65+1</f>
        <v>32</v>
      </c>
      <c r="B66" s="773"/>
      <c r="C66" s="770"/>
      <c r="D66" s="771"/>
      <c r="E66" s="771"/>
      <c r="F66" s="771"/>
      <c r="G66" s="771"/>
      <c r="H66" s="772"/>
    </row>
    <row r="67" spans="1:8" ht="30" customHeight="1">
      <c r="A67" s="723">
        <f t="shared" si="2"/>
        <v>33</v>
      </c>
      <c r="B67" s="773"/>
      <c r="C67" s="770"/>
      <c r="D67" s="771"/>
      <c r="E67" s="771"/>
      <c r="F67" s="771"/>
      <c r="G67" s="771"/>
      <c r="H67" s="772"/>
    </row>
    <row r="68" spans="1:8" ht="30" customHeight="1">
      <c r="A68" s="723">
        <f t="shared" si="2"/>
        <v>34</v>
      </c>
      <c r="B68" s="773"/>
      <c r="C68" s="770"/>
      <c r="D68" s="771"/>
      <c r="E68" s="771"/>
      <c r="F68" s="771"/>
      <c r="G68" s="771"/>
      <c r="H68" s="772"/>
    </row>
    <row r="69" spans="1:8" ht="30" customHeight="1">
      <c r="A69" s="723">
        <f t="shared" si="2"/>
        <v>35</v>
      </c>
      <c r="B69" s="773"/>
      <c r="C69" s="771"/>
      <c r="D69" s="797"/>
      <c r="E69" s="771"/>
      <c r="F69" s="771"/>
      <c r="G69" s="771"/>
      <c r="H69" s="772"/>
    </row>
    <row r="70" spans="1:8" ht="30" customHeight="1">
      <c r="A70" s="723">
        <f t="shared" si="2"/>
        <v>36</v>
      </c>
      <c r="B70" s="773"/>
      <c r="C70" s="771"/>
      <c r="D70" s="797"/>
      <c r="E70" s="771"/>
      <c r="F70" s="771"/>
      <c r="G70" s="771"/>
      <c r="H70" s="772"/>
    </row>
    <row r="71" spans="1:8" ht="30" customHeight="1">
      <c r="A71" s="723">
        <f t="shared" si="2"/>
        <v>37</v>
      </c>
      <c r="B71" s="773"/>
      <c r="C71" s="771"/>
      <c r="D71" s="797"/>
      <c r="E71" s="771"/>
      <c r="F71" s="771"/>
      <c r="G71" s="771"/>
      <c r="H71" s="772"/>
    </row>
    <row r="72" spans="1:8" ht="30" customHeight="1">
      <c r="A72" s="723">
        <f t="shared" si="2"/>
        <v>38</v>
      </c>
      <c r="B72" s="773"/>
      <c r="C72" s="771"/>
      <c r="D72" s="774"/>
      <c r="E72" s="771"/>
      <c r="F72" s="771"/>
      <c r="G72" s="771"/>
      <c r="H72" s="772"/>
    </row>
    <row r="73" spans="1:8" ht="30" customHeight="1">
      <c r="A73" s="723">
        <f t="shared" si="2"/>
        <v>39</v>
      </c>
      <c r="B73" s="773"/>
      <c r="C73" s="771"/>
      <c r="D73" s="771"/>
      <c r="E73" s="771"/>
      <c r="F73" s="771"/>
      <c r="G73" s="771"/>
      <c r="H73" s="772"/>
    </row>
    <row r="74" spans="1:8" ht="30" customHeight="1">
      <c r="A74" s="723">
        <f t="shared" si="2"/>
        <v>40</v>
      </c>
      <c r="B74" s="775" t="s">
        <v>760</v>
      </c>
      <c r="C74" s="799"/>
      <c r="D74" s="799"/>
      <c r="E74" s="799"/>
      <c r="F74" s="799"/>
      <c r="G74" s="799"/>
      <c r="H74" s="777" t="s">
        <v>748</v>
      </c>
    </row>
    <row r="75" spans="1:8" ht="20.100000000000001" customHeight="1">
      <c r="A75" s="723">
        <f t="shared" si="2"/>
        <v>41</v>
      </c>
      <c r="B75" s="778" t="s">
        <v>764</v>
      </c>
      <c r="C75" s="779">
        <f>SUBTOTAL(9,C65:C74)</f>
        <v>0</v>
      </c>
      <c r="D75" s="779">
        <f>SUM(D65:D74)</f>
        <v>0</v>
      </c>
      <c r="E75" s="780">
        <f>SUM(E65:E74)</f>
        <v>0</v>
      </c>
      <c r="F75" s="779">
        <f>SUM(F65:F74)</f>
        <v>0</v>
      </c>
      <c r="G75" s="779">
        <f>SUM(G65:G74)</f>
        <v>0</v>
      </c>
      <c r="H75" s="772"/>
    </row>
    <row r="76" spans="1:8" ht="20.100000000000001" customHeight="1">
      <c r="A76" s="723">
        <f t="shared" si="2"/>
        <v>42</v>
      </c>
      <c r="B76" s="778" t="s">
        <v>750</v>
      </c>
      <c r="C76" s="784"/>
      <c r="D76" s="784"/>
      <c r="E76" s="784"/>
      <c r="F76" s="784"/>
      <c r="G76" s="784"/>
      <c r="H76" s="772"/>
    </row>
    <row r="77" spans="1:8" ht="20.100000000000001" customHeight="1">
      <c r="A77" s="723">
        <f t="shared" si="2"/>
        <v>43</v>
      </c>
      <c r="B77" s="803" t="s">
        <v>751</v>
      </c>
      <c r="C77" s="804"/>
      <c r="D77" s="804"/>
      <c r="E77" s="804"/>
      <c r="F77" s="804"/>
      <c r="G77" s="804"/>
      <c r="H77" s="788"/>
    </row>
    <row r="78" spans="1:8" ht="20.100000000000001" customHeight="1" thickBot="1">
      <c r="A78" s="723">
        <f t="shared" si="2"/>
        <v>44</v>
      </c>
      <c r="B78" s="789" t="s">
        <v>36</v>
      </c>
      <c r="C78" s="805">
        <f>+C75-C76-C77</f>
        <v>0</v>
      </c>
      <c r="D78" s="805">
        <f>+D75-D76-D77</f>
        <v>0</v>
      </c>
      <c r="E78" s="805">
        <f>+E75-E76-E77</f>
        <v>0</v>
      </c>
      <c r="F78" s="805">
        <f>+F75-F76-F77</f>
        <v>0</v>
      </c>
      <c r="G78" s="805">
        <f>+G75-G76-G77</f>
        <v>0</v>
      </c>
      <c r="H78" s="791"/>
    </row>
    <row r="79" spans="1:8" ht="20.100000000000001" customHeight="1" thickTop="1">
      <c r="B79" s="723" t="s">
        <v>765</v>
      </c>
      <c r="E79" s="722"/>
      <c r="F79" s="722"/>
      <c r="H79" s="806"/>
    </row>
    <row r="80" spans="1:8" ht="20.100000000000001" customHeight="1">
      <c r="B80" s="1157" t="s">
        <v>753</v>
      </c>
      <c r="C80" s="1157"/>
      <c r="D80" s="1157"/>
      <c r="E80" s="1157"/>
      <c r="F80" s="1157"/>
      <c r="G80" s="1157"/>
    </row>
    <row r="81" spans="2:9" ht="20.100000000000001" customHeight="1">
      <c r="B81" s="721" t="s">
        <v>754</v>
      </c>
      <c r="F81" s="722"/>
      <c r="G81" s="722"/>
    </row>
    <row r="82" spans="2:9" ht="20.100000000000001" customHeight="1">
      <c r="B82" s="721" t="s">
        <v>755</v>
      </c>
      <c r="F82" s="722"/>
      <c r="G82" s="722"/>
    </row>
    <row r="83" spans="2:9" ht="20.100000000000001" customHeight="1">
      <c r="B83" s="721" t="s">
        <v>756</v>
      </c>
      <c r="F83" s="722"/>
      <c r="G83" s="722"/>
    </row>
    <row r="84" spans="2:9" ht="35.1" customHeight="1">
      <c r="B84" s="1157" t="s">
        <v>757</v>
      </c>
      <c r="C84" s="1157"/>
      <c r="D84" s="1157"/>
      <c r="E84" s="1157"/>
      <c r="F84" s="1157"/>
      <c r="G84" s="1157"/>
    </row>
    <row r="86" spans="2:9" ht="15.75" customHeight="1">
      <c r="B86" s="807"/>
      <c r="C86" s="807"/>
      <c r="D86" s="807"/>
      <c r="E86" s="807"/>
      <c r="F86" s="807"/>
      <c r="G86" s="807"/>
      <c r="H86" s="807"/>
    </row>
    <row r="87" spans="2:9">
      <c r="B87" s="1156"/>
      <c r="C87" s="1156"/>
      <c r="D87" s="1156"/>
      <c r="E87" s="1156"/>
      <c r="F87" s="1156"/>
      <c r="G87" s="1156"/>
      <c r="H87" s="1156"/>
    </row>
    <row r="88" spans="2:9">
      <c r="B88" s="723"/>
    </row>
    <row r="89" spans="2:9">
      <c r="B89" s="723"/>
    </row>
    <row r="90" spans="2:9" ht="15.75" customHeight="1">
      <c r="B90" s="723"/>
    </row>
    <row r="91" spans="2:9">
      <c r="B91" s="723"/>
      <c r="D91" s="764"/>
      <c r="E91" s="764"/>
      <c r="F91" s="764"/>
      <c r="G91" s="764"/>
      <c r="H91" s="764"/>
      <c r="I91" s="765"/>
    </row>
    <row r="92" spans="2:9">
      <c r="B92" s="723"/>
      <c r="D92" s="764"/>
      <c r="E92" s="764"/>
      <c r="F92" s="764"/>
      <c r="G92" s="764"/>
      <c r="H92" s="764"/>
      <c r="I92" s="765"/>
    </row>
    <row r="93" spans="2:9">
      <c r="D93" s="722"/>
      <c r="E93" s="722"/>
    </row>
    <row r="94" spans="2:9">
      <c r="D94" s="746"/>
      <c r="E94" s="746"/>
    </row>
    <row r="95" spans="2:9">
      <c r="D95" s="746"/>
      <c r="E95" s="746"/>
    </row>
    <row r="96" spans="2:9">
      <c r="D96" s="746"/>
      <c r="E96" s="746"/>
    </row>
    <row r="97" spans="2:5">
      <c r="D97" s="746"/>
      <c r="E97" s="746"/>
    </row>
    <row r="98" spans="2:5">
      <c r="D98" s="746"/>
      <c r="E98" s="746"/>
    </row>
    <row r="99" spans="2:5">
      <c r="D99" s="746"/>
      <c r="E99" s="746"/>
    </row>
    <row r="100" spans="2:5">
      <c r="D100" s="746"/>
      <c r="E100" s="746"/>
    </row>
    <row r="101" spans="2:5">
      <c r="D101" s="746"/>
      <c r="E101" s="746"/>
    </row>
    <row r="102" spans="2:5">
      <c r="D102" s="746"/>
      <c r="E102" s="746"/>
    </row>
    <row r="103" spans="2:5">
      <c r="D103" s="746"/>
      <c r="E103" s="746"/>
    </row>
    <row r="104" spans="2:5">
      <c r="B104" s="723"/>
      <c r="D104" s="746"/>
      <c r="E104" s="746"/>
    </row>
    <row r="105" spans="2:5">
      <c r="D105" s="746"/>
      <c r="E105" s="746"/>
    </row>
    <row r="106" spans="2:5">
      <c r="B106" s="723"/>
      <c r="D106" s="746"/>
      <c r="E106" s="746"/>
    </row>
    <row r="210" spans="9:9">
      <c r="I210" s="747"/>
    </row>
  </sheetData>
  <mergeCells count="11">
    <mergeCell ref="B56:G56"/>
    <mergeCell ref="B60:G60"/>
    <mergeCell ref="B80:G80"/>
    <mergeCell ref="B84:G84"/>
    <mergeCell ref="B87:H87"/>
    <mergeCell ref="B38:G38"/>
    <mergeCell ref="B1:H1"/>
    <mergeCell ref="B2:H2"/>
    <mergeCell ref="B3:H3"/>
    <mergeCell ref="B15:H15"/>
    <mergeCell ref="B34:G34"/>
  </mergeCells>
  <printOptions horizontalCentered="1"/>
  <pageMargins left="0.5" right="0.5" top="0.5" bottom="0.5" header="0.3" footer="0.3"/>
  <pageSetup scale="46" fitToHeight="2" orientation="landscape" r:id="rId1"/>
  <headerFooter alignWithMargins="0">
    <oddFooter>&amp;R&amp;A</oddFooter>
  </headerFooter>
  <rowBreaks count="2" manualBreakCount="2">
    <brk id="40" max="16383" man="1"/>
    <brk id="8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3F045-FFD8-4F3E-8406-8719560C2706}">
  <dimension ref="A1:U210"/>
  <sheetViews>
    <sheetView view="pageBreakPreview" zoomScale="70" zoomScaleNormal="80" zoomScaleSheetLayoutView="70" workbookViewId="0"/>
  </sheetViews>
  <sheetFormatPr defaultColWidth="8.81640625" defaultRowHeight="15.6"/>
  <cols>
    <col min="1" max="1" width="5.1796875" style="723" customWidth="1"/>
    <col min="2" max="2" width="49.1796875" style="721" customWidth="1"/>
    <col min="3" max="3" width="22.08984375" style="723" customWidth="1"/>
    <col min="4" max="4" width="15.1796875" style="723" customWidth="1"/>
    <col min="5" max="5" width="12.54296875" style="723" customWidth="1"/>
    <col min="6" max="6" width="11.54296875" style="723" customWidth="1"/>
    <col min="7" max="7" width="14.81640625" style="723" customWidth="1"/>
    <col min="8" max="8" width="79.453125" style="723" customWidth="1"/>
    <col min="9" max="16384" width="8.81640625" style="724"/>
  </cols>
  <sheetData>
    <row r="1" spans="1:21" ht="17.399999999999999">
      <c r="A1" s="721"/>
      <c r="B1" s="1156" t="s">
        <v>766</v>
      </c>
      <c r="C1" s="1156"/>
      <c r="D1" s="1156"/>
      <c r="E1" s="1156"/>
      <c r="F1" s="1156"/>
      <c r="G1" s="1156"/>
      <c r="H1" s="1156"/>
      <c r="I1" s="727"/>
      <c r="J1" s="727"/>
    </row>
    <row r="2" spans="1:21" ht="17.399999999999999">
      <c r="B2" s="1156" t="str">
        <f>'6c- ADIT BOY'!B2</f>
        <v>Projection For the 12 months ended 12/31/2023</v>
      </c>
      <c r="C2" s="1159"/>
      <c r="D2" s="1159"/>
      <c r="E2" s="1159"/>
      <c r="F2" s="1159"/>
      <c r="G2" s="1159"/>
      <c r="H2" s="1159"/>
      <c r="I2" s="727"/>
      <c r="J2" s="727"/>
    </row>
    <row r="3" spans="1:21" ht="17.399999999999999">
      <c r="B3" s="1156" t="s">
        <v>361</v>
      </c>
      <c r="C3" s="1156"/>
      <c r="D3" s="1156"/>
      <c r="E3" s="1156"/>
      <c r="F3" s="1156"/>
      <c r="G3" s="1156"/>
      <c r="H3" s="1156"/>
      <c r="I3" s="727"/>
      <c r="J3" s="727"/>
    </row>
    <row r="4" spans="1:21" ht="17.399999999999999">
      <c r="I4" s="727"/>
      <c r="J4" s="727"/>
    </row>
    <row r="5" spans="1:21">
      <c r="D5" s="722"/>
      <c r="E5" s="722"/>
      <c r="G5" s="722"/>
    </row>
    <row r="6" spans="1:21">
      <c r="D6" s="722"/>
      <c r="E6" s="722"/>
      <c r="F6" s="722"/>
      <c r="G6" s="722"/>
      <c r="U6" s="726"/>
    </row>
    <row r="7" spans="1:21" ht="34.5" customHeight="1">
      <c r="A7" s="808" t="s">
        <v>681</v>
      </c>
      <c r="B7" s="808" t="s">
        <v>682</v>
      </c>
      <c r="C7" s="809"/>
      <c r="D7" s="810"/>
      <c r="E7" s="811" t="s">
        <v>402</v>
      </c>
      <c r="F7" s="812" t="s">
        <v>683</v>
      </c>
      <c r="G7" s="812" t="s">
        <v>684</v>
      </c>
      <c r="H7" s="809"/>
      <c r="U7" s="726"/>
    </row>
    <row r="8" spans="1:21">
      <c r="A8" s="732"/>
    </row>
    <row r="9" spans="1:21" ht="20.100000000000001" customHeight="1">
      <c r="A9" s="732">
        <v>1</v>
      </c>
      <c r="B9" s="723" t="s">
        <v>758</v>
      </c>
      <c r="E9" s="735">
        <f>+E54</f>
        <v>-4697832.8084280444</v>
      </c>
      <c r="F9" s="735">
        <f>+F54</f>
        <v>0</v>
      </c>
      <c r="G9" s="735">
        <f>+G54</f>
        <v>0</v>
      </c>
      <c r="H9" s="723" t="s">
        <v>740</v>
      </c>
    </row>
    <row r="10" spans="1:21" ht="20.100000000000001" customHeight="1">
      <c r="A10" s="732">
        <f>+A9+1</f>
        <v>2</v>
      </c>
      <c r="B10" s="723" t="s">
        <v>707</v>
      </c>
      <c r="E10" s="735">
        <f>+E78</f>
        <v>0</v>
      </c>
      <c r="F10" s="735">
        <f>+F78</f>
        <v>0</v>
      </c>
      <c r="G10" s="735">
        <f>+G78</f>
        <v>0</v>
      </c>
      <c r="H10" s="723" t="s">
        <v>741</v>
      </c>
    </row>
    <row r="11" spans="1:21" ht="20.100000000000001" customHeight="1">
      <c r="A11" s="732">
        <f>+A10+1</f>
        <v>3</v>
      </c>
      <c r="B11" s="723" t="s">
        <v>687</v>
      </c>
      <c r="E11" s="735">
        <f>E32</f>
        <v>0</v>
      </c>
      <c r="F11" s="735">
        <f>F32</f>
        <v>0</v>
      </c>
      <c r="G11" s="735">
        <f>G32</f>
        <v>0</v>
      </c>
      <c r="H11" s="723" t="s">
        <v>742</v>
      </c>
    </row>
    <row r="12" spans="1:21" ht="20.100000000000001" customHeight="1">
      <c r="A12" s="732">
        <f>+A11+1</f>
        <v>4</v>
      </c>
      <c r="B12" s="723" t="s">
        <v>688</v>
      </c>
      <c r="E12" s="735">
        <f>SUM(E9:E11)</f>
        <v>-4697832.8084280444</v>
      </c>
      <c r="F12" s="735">
        <f>SUM(F9:F11)</f>
        <v>0</v>
      </c>
      <c r="G12" s="735">
        <f>SUM(G9:G11)</f>
        <v>0</v>
      </c>
      <c r="H12" s="734" t="s">
        <v>743</v>
      </c>
    </row>
    <row r="13" spans="1:21">
      <c r="A13" s="732"/>
      <c r="B13" s="723"/>
      <c r="D13" s="734"/>
      <c r="H13" s="733"/>
    </row>
    <row r="14" spans="1:21">
      <c r="A14" s="732"/>
      <c r="B14" s="723"/>
      <c r="H14" s="736"/>
    </row>
    <row r="15" spans="1:21" ht="30" customHeight="1">
      <c r="A15" s="732"/>
      <c r="B15" s="1158" t="s">
        <v>744</v>
      </c>
      <c r="C15" s="1158"/>
      <c r="D15" s="1158"/>
      <c r="E15" s="1158"/>
      <c r="F15" s="1158"/>
      <c r="G15" s="1158"/>
      <c r="H15" s="1158"/>
    </row>
    <row r="16" spans="1:21">
      <c r="A16" s="732"/>
    </row>
    <row r="17" spans="1:8">
      <c r="A17" s="732"/>
      <c r="B17" s="722" t="s">
        <v>195</v>
      </c>
      <c r="C17" s="722" t="s">
        <v>198</v>
      </c>
      <c r="D17" s="722" t="s">
        <v>200</v>
      </c>
      <c r="E17" s="722" t="s">
        <v>203</v>
      </c>
      <c r="F17" s="722" t="s">
        <v>210</v>
      </c>
      <c r="G17" s="722" t="s">
        <v>214</v>
      </c>
      <c r="H17" s="722" t="s">
        <v>230</v>
      </c>
    </row>
    <row r="18" spans="1:8" ht="31.2">
      <c r="A18" s="732"/>
      <c r="B18" s="721" t="s">
        <v>687</v>
      </c>
      <c r="C18" s="768" t="s">
        <v>36</v>
      </c>
      <c r="D18" s="768" t="s">
        <v>745</v>
      </c>
      <c r="E18" s="768" t="s">
        <v>402</v>
      </c>
      <c r="F18" s="768" t="s">
        <v>683</v>
      </c>
      <c r="G18" s="768" t="s">
        <v>684</v>
      </c>
      <c r="H18" s="768" t="s">
        <v>746</v>
      </c>
    </row>
    <row r="19" spans="1:8" ht="30" customHeight="1">
      <c r="A19" s="732">
        <f>A12+1</f>
        <v>5</v>
      </c>
      <c r="B19" s="769"/>
      <c r="C19" s="770"/>
      <c r="D19" s="771"/>
      <c r="E19" s="771"/>
      <c r="F19" s="771"/>
      <c r="G19" s="771"/>
      <c r="H19" s="772"/>
    </row>
    <row r="20" spans="1:8" ht="30" customHeight="1">
      <c r="A20" s="732">
        <f t="shared" ref="A20:A32" si="0">+A19+1</f>
        <v>6</v>
      </c>
      <c r="B20" s="773"/>
      <c r="C20" s="770"/>
      <c r="D20" s="771"/>
      <c r="E20" s="771"/>
      <c r="F20" s="771"/>
      <c r="G20" s="771"/>
      <c r="H20" s="772"/>
    </row>
    <row r="21" spans="1:8" ht="30" customHeight="1">
      <c r="A21" s="732">
        <f t="shared" si="0"/>
        <v>7</v>
      </c>
      <c r="B21" s="773"/>
      <c r="C21" s="770"/>
      <c r="D21" s="771"/>
      <c r="E21" s="771"/>
      <c r="F21" s="771"/>
      <c r="G21" s="771"/>
      <c r="H21" s="772"/>
    </row>
    <row r="22" spans="1:8" ht="30" customHeight="1">
      <c r="A22" s="732">
        <f t="shared" si="0"/>
        <v>8</v>
      </c>
      <c r="B22" s="773"/>
      <c r="C22" s="770"/>
      <c r="D22" s="771"/>
      <c r="E22" s="771"/>
      <c r="F22" s="771"/>
      <c r="G22" s="771"/>
      <c r="H22" s="772"/>
    </row>
    <row r="23" spans="1:8" ht="30" customHeight="1">
      <c r="A23" s="732">
        <f t="shared" si="0"/>
        <v>9</v>
      </c>
      <c r="B23" s="773"/>
      <c r="C23" s="770"/>
      <c r="D23" s="771"/>
      <c r="E23" s="771"/>
      <c r="F23" s="771"/>
      <c r="G23" s="771"/>
      <c r="H23" s="772"/>
    </row>
    <row r="24" spans="1:8" ht="30" customHeight="1">
      <c r="A24" s="732">
        <f t="shared" si="0"/>
        <v>10</v>
      </c>
      <c r="B24" s="773"/>
      <c r="C24" s="770"/>
      <c r="D24" s="771"/>
      <c r="E24" s="771"/>
      <c r="F24" s="771"/>
      <c r="G24" s="771"/>
      <c r="H24" s="772"/>
    </row>
    <row r="25" spans="1:8" ht="30" customHeight="1">
      <c r="A25" s="732">
        <f t="shared" si="0"/>
        <v>11</v>
      </c>
      <c r="B25" s="773"/>
      <c r="C25" s="770"/>
      <c r="D25" s="771"/>
      <c r="E25" s="771"/>
      <c r="F25" s="771"/>
      <c r="G25" s="771"/>
      <c r="H25" s="772"/>
    </row>
    <row r="26" spans="1:8" ht="30" customHeight="1">
      <c r="A26" s="732">
        <f t="shared" si="0"/>
        <v>12</v>
      </c>
      <c r="B26" s="773"/>
      <c r="C26" s="770"/>
      <c r="D26" s="774"/>
      <c r="E26" s="771"/>
      <c r="F26" s="771"/>
      <c r="G26" s="771"/>
      <c r="H26" s="772"/>
    </row>
    <row r="27" spans="1:8" ht="30" customHeight="1">
      <c r="A27" s="732">
        <f t="shared" si="0"/>
        <v>13</v>
      </c>
      <c r="B27" s="773"/>
      <c r="C27" s="770"/>
      <c r="D27" s="771"/>
      <c r="E27" s="771"/>
      <c r="F27" s="771"/>
      <c r="G27" s="771"/>
      <c r="H27" s="772"/>
    </row>
    <row r="28" spans="1:8" ht="30" customHeight="1">
      <c r="A28" s="732">
        <f t="shared" si="0"/>
        <v>14</v>
      </c>
      <c r="B28" s="775" t="s">
        <v>747</v>
      </c>
      <c r="C28" s="776"/>
      <c r="D28" s="776"/>
      <c r="E28" s="776"/>
      <c r="F28" s="776"/>
      <c r="G28" s="776"/>
      <c r="H28" s="777" t="s">
        <v>748</v>
      </c>
    </row>
    <row r="29" spans="1:8" ht="20.100000000000001" customHeight="1">
      <c r="A29" s="732">
        <f t="shared" si="0"/>
        <v>15</v>
      </c>
      <c r="B29" s="778" t="s">
        <v>767</v>
      </c>
      <c r="C29" s="779">
        <f>SUBTOTAL(9,C19:C28)</f>
        <v>0</v>
      </c>
      <c r="D29" s="780">
        <f>SUM(D19:D28)</f>
        <v>0</v>
      </c>
      <c r="E29" s="780">
        <f>SUM(E19:E28)</f>
        <v>0</v>
      </c>
      <c r="F29" s="780">
        <f>SUM(F19:F28)</f>
        <v>0</v>
      </c>
      <c r="G29" s="780">
        <f>SUM(G19:G28)</f>
        <v>0</v>
      </c>
      <c r="H29" s="781"/>
    </row>
    <row r="30" spans="1:8" ht="20.100000000000001" customHeight="1">
      <c r="A30" s="732">
        <f t="shared" si="0"/>
        <v>16</v>
      </c>
      <c r="B30" s="782" t="s">
        <v>750</v>
      </c>
      <c r="C30" s="783"/>
      <c r="D30" s="783"/>
      <c r="E30" s="783"/>
      <c r="F30" s="784"/>
      <c r="G30" s="785"/>
      <c r="H30" s="772"/>
    </row>
    <row r="31" spans="1:8" ht="20.100000000000001" customHeight="1">
      <c r="A31" s="732">
        <f t="shared" si="0"/>
        <v>17</v>
      </c>
      <c r="B31" s="786" t="s">
        <v>751</v>
      </c>
      <c r="C31" s="787"/>
      <c r="D31" s="787"/>
      <c r="E31" s="787"/>
      <c r="F31" s="787"/>
      <c r="G31" s="787"/>
      <c r="H31" s="788"/>
    </row>
    <row r="32" spans="1:8" ht="20.100000000000001" customHeight="1" thickBot="1">
      <c r="A32" s="732">
        <f t="shared" si="0"/>
        <v>18</v>
      </c>
      <c r="B32" s="789" t="s">
        <v>36</v>
      </c>
      <c r="C32" s="790">
        <f>+C29-C30-C31</f>
        <v>0</v>
      </c>
      <c r="D32" s="790">
        <f>+D29-D30-D31</f>
        <v>0</v>
      </c>
      <c r="E32" s="790">
        <f>+E29-E30-E31</f>
        <v>0</v>
      </c>
      <c r="F32" s="790">
        <f>+F29-F30-F31</f>
        <v>0</v>
      </c>
      <c r="G32" s="790">
        <f>+G29-G30-G31</f>
        <v>0</v>
      </c>
      <c r="H32" s="791"/>
    </row>
    <row r="33" spans="1:8" ht="20.100000000000001" customHeight="1" thickTop="1">
      <c r="A33" s="732"/>
      <c r="B33" s="723" t="s">
        <v>752</v>
      </c>
      <c r="C33" s="734"/>
      <c r="D33" s="792"/>
      <c r="E33" s="722"/>
      <c r="G33" s="793"/>
    </row>
    <row r="34" spans="1:8" ht="20.100000000000001" customHeight="1">
      <c r="A34" s="732"/>
      <c r="B34" s="1157" t="s">
        <v>753</v>
      </c>
      <c r="C34" s="1157"/>
      <c r="D34" s="1157"/>
      <c r="E34" s="1157"/>
      <c r="F34" s="1157"/>
      <c r="G34" s="1157"/>
    </row>
    <row r="35" spans="1:8" ht="20.100000000000001" customHeight="1">
      <c r="A35" s="732"/>
      <c r="B35" s="721" t="s">
        <v>754</v>
      </c>
      <c r="F35" s="722"/>
      <c r="G35" s="722"/>
    </row>
    <row r="36" spans="1:8" ht="20.100000000000001" customHeight="1">
      <c r="A36" s="732"/>
      <c r="B36" s="721" t="s">
        <v>755</v>
      </c>
      <c r="F36" s="722"/>
      <c r="G36" s="722"/>
    </row>
    <row r="37" spans="1:8" ht="20.100000000000001" customHeight="1">
      <c r="A37" s="732"/>
      <c r="B37" s="721" t="s">
        <v>756</v>
      </c>
      <c r="F37" s="722"/>
      <c r="G37" s="722"/>
    </row>
    <row r="38" spans="1:8" ht="33" customHeight="1">
      <c r="A38" s="732"/>
      <c r="B38" s="1157" t="s">
        <v>768</v>
      </c>
      <c r="C38" s="1157"/>
      <c r="D38" s="1157"/>
      <c r="E38" s="1157"/>
      <c r="F38" s="1157"/>
      <c r="G38" s="1157"/>
      <c r="H38" s="794"/>
    </row>
    <row r="39" spans="1:8">
      <c r="A39" s="732"/>
      <c r="B39" s="794"/>
      <c r="C39" s="794"/>
      <c r="D39" s="794"/>
      <c r="E39" s="794"/>
      <c r="F39" s="794"/>
      <c r="G39" s="794"/>
      <c r="H39" s="794"/>
    </row>
    <row r="40" spans="1:8">
      <c r="A40" s="732"/>
      <c r="B40" s="723"/>
    </row>
    <row r="41" spans="1:8">
      <c r="A41" s="732"/>
      <c r="B41" s="722" t="s">
        <v>195</v>
      </c>
      <c r="C41" s="722" t="s">
        <v>198</v>
      </c>
      <c r="D41" s="722" t="s">
        <v>200</v>
      </c>
      <c r="E41" s="722" t="s">
        <v>203</v>
      </c>
      <c r="F41" s="722" t="s">
        <v>210</v>
      </c>
      <c r="G41" s="722" t="s">
        <v>214</v>
      </c>
      <c r="H41" s="722" t="s">
        <v>230</v>
      </c>
    </row>
    <row r="42" spans="1:8" ht="31.2">
      <c r="A42" s="732"/>
      <c r="B42" s="721" t="s">
        <v>700</v>
      </c>
      <c r="C42" s="768" t="s">
        <v>36</v>
      </c>
      <c r="D42" s="768" t="s">
        <v>745</v>
      </c>
      <c r="E42" s="768" t="s">
        <v>402</v>
      </c>
      <c r="F42" s="768" t="s">
        <v>683</v>
      </c>
      <c r="G42" s="768" t="s">
        <v>684</v>
      </c>
      <c r="H42" s="768" t="s">
        <v>746</v>
      </c>
    </row>
    <row r="43" spans="1:8" ht="30" customHeight="1">
      <c r="A43" s="732">
        <f>A32+1</f>
        <v>19</v>
      </c>
      <c r="B43" s="795" t="s">
        <v>759</v>
      </c>
      <c r="C43" s="770"/>
      <c r="D43" s="771"/>
      <c r="E43" s="771"/>
      <c r="F43" s="771"/>
      <c r="G43" s="771"/>
      <c r="H43" s="772"/>
    </row>
    <row r="44" spans="1:8" ht="30" customHeight="1">
      <c r="A44" s="732">
        <f t="shared" ref="A44:A54" si="1">+A43+1</f>
        <v>20</v>
      </c>
      <c r="B44" s="773"/>
      <c r="C44" s="770"/>
      <c r="D44" s="771"/>
      <c r="E44" s="771"/>
      <c r="F44" s="771"/>
      <c r="G44" s="771"/>
      <c r="H44" s="772"/>
    </row>
    <row r="45" spans="1:8" ht="30" customHeight="1">
      <c r="A45" s="732">
        <f t="shared" si="1"/>
        <v>21</v>
      </c>
      <c r="B45" s="773"/>
      <c r="C45" s="770"/>
      <c r="D45" s="771"/>
      <c r="E45" s="771"/>
      <c r="F45" s="771"/>
      <c r="G45" s="771"/>
      <c r="H45" s="772"/>
    </row>
    <row r="46" spans="1:8" ht="30" customHeight="1">
      <c r="A46" s="732">
        <f t="shared" si="1"/>
        <v>22</v>
      </c>
      <c r="B46" s="773"/>
      <c r="C46" s="770"/>
      <c r="D46" s="771"/>
      <c r="E46" s="771"/>
      <c r="F46" s="771"/>
      <c r="G46" s="771"/>
      <c r="H46" s="772"/>
    </row>
    <row r="47" spans="1:8" ht="30" customHeight="1">
      <c r="A47" s="732">
        <f t="shared" si="1"/>
        <v>23</v>
      </c>
      <c r="B47" s="773"/>
      <c r="C47" s="771"/>
      <c r="D47" s="771"/>
      <c r="E47" s="771"/>
      <c r="F47" s="771"/>
      <c r="G47" s="771"/>
      <c r="H47" s="772"/>
    </row>
    <row r="48" spans="1:8" ht="30" customHeight="1">
      <c r="A48" s="732">
        <f t="shared" si="1"/>
        <v>24</v>
      </c>
      <c r="B48" s="773"/>
      <c r="C48" s="771"/>
      <c r="D48" s="771"/>
      <c r="E48" s="771"/>
      <c r="F48" s="771"/>
      <c r="G48" s="771"/>
      <c r="H48" s="772"/>
    </row>
    <row r="49" spans="1:8" ht="30" customHeight="1">
      <c r="A49" s="732">
        <f t="shared" si="1"/>
        <v>25</v>
      </c>
      <c r="B49" s="796"/>
      <c r="C49" s="797"/>
      <c r="D49" s="797"/>
      <c r="E49" s="797"/>
      <c r="F49" s="797"/>
      <c r="G49" s="797"/>
      <c r="H49" s="772"/>
    </row>
    <row r="50" spans="1:8" ht="30" customHeight="1">
      <c r="A50" s="732">
        <f t="shared" si="1"/>
        <v>26</v>
      </c>
      <c r="B50" s="775" t="s">
        <v>760</v>
      </c>
      <c r="C50" s="799">
        <v>-4697832.8084280444</v>
      </c>
      <c r="D50" s="799"/>
      <c r="E50" s="799">
        <f>+C50+D50</f>
        <v>-4697832.8084280444</v>
      </c>
      <c r="F50" s="799"/>
      <c r="G50" s="799"/>
      <c r="H50" s="777" t="s">
        <v>748</v>
      </c>
    </row>
    <row r="51" spans="1:8" ht="20.100000000000001" customHeight="1">
      <c r="A51" s="732">
        <f t="shared" si="1"/>
        <v>27</v>
      </c>
      <c r="B51" s="800" t="s">
        <v>769</v>
      </c>
      <c r="C51" s="780">
        <f>SUBTOTAL(9,C43:C50)</f>
        <v>-4697832.8084280444</v>
      </c>
      <c r="D51" s="780">
        <f>SUM(D43:D50)</f>
        <v>0</v>
      </c>
      <c r="E51" s="780">
        <f>SUM(E43:E50)</f>
        <v>-4697832.8084280444</v>
      </c>
      <c r="F51" s="780">
        <f>SUM(F43:F50)</f>
        <v>0</v>
      </c>
      <c r="G51" s="780">
        <f>SUM(G43:G50)</f>
        <v>0</v>
      </c>
      <c r="H51" s="781"/>
    </row>
    <row r="52" spans="1:8" ht="20.100000000000001" customHeight="1">
      <c r="A52" s="732">
        <f t="shared" si="1"/>
        <v>28</v>
      </c>
      <c r="B52" s="800" t="s">
        <v>750</v>
      </c>
      <c r="C52" s="783"/>
      <c r="D52" s="783"/>
      <c r="E52" s="783"/>
      <c r="F52" s="783"/>
      <c r="G52" s="783"/>
      <c r="H52" s="772"/>
    </row>
    <row r="53" spans="1:8" ht="20.100000000000001" customHeight="1">
      <c r="A53" s="732">
        <f t="shared" si="1"/>
        <v>29</v>
      </c>
      <c r="B53" s="801" t="s">
        <v>751</v>
      </c>
      <c r="C53" s="787"/>
      <c r="D53" s="787"/>
      <c r="E53" s="787"/>
      <c r="F53" s="787"/>
      <c r="G53" s="787"/>
      <c r="H53" s="788"/>
    </row>
    <row r="54" spans="1:8" ht="20.100000000000001" customHeight="1" thickBot="1">
      <c r="A54" s="732">
        <f t="shared" si="1"/>
        <v>30</v>
      </c>
      <c r="B54" s="789" t="s">
        <v>36</v>
      </c>
      <c r="C54" s="790">
        <f>+C51-C52-C53</f>
        <v>-4697832.8084280444</v>
      </c>
      <c r="D54" s="790">
        <f>+D51-D52-D53</f>
        <v>0</v>
      </c>
      <c r="E54" s="790">
        <f>+E51-E52-E53</f>
        <v>-4697832.8084280444</v>
      </c>
      <c r="F54" s="790">
        <f>+F51-F52-F53</f>
        <v>0</v>
      </c>
      <c r="G54" s="790">
        <f>+G51-G52-G53</f>
        <v>0</v>
      </c>
      <c r="H54" s="791"/>
    </row>
    <row r="55" spans="1:8" ht="20.100000000000001" customHeight="1" thickTop="1">
      <c r="A55" s="732"/>
      <c r="B55" s="723" t="s">
        <v>762</v>
      </c>
      <c r="D55" s="722"/>
      <c r="E55" s="792"/>
      <c r="G55" s="794"/>
    </row>
    <row r="56" spans="1:8" ht="20.100000000000001" customHeight="1">
      <c r="A56" s="732"/>
      <c r="B56" s="1157" t="s">
        <v>753</v>
      </c>
      <c r="C56" s="1157"/>
      <c r="D56" s="1157"/>
      <c r="E56" s="1157"/>
      <c r="F56" s="1157"/>
      <c r="G56" s="1157"/>
    </row>
    <row r="57" spans="1:8" ht="20.100000000000001" customHeight="1">
      <c r="A57" s="732"/>
      <c r="B57" s="721" t="s">
        <v>754</v>
      </c>
      <c r="F57" s="722"/>
      <c r="G57" s="722"/>
    </row>
    <row r="58" spans="1:8" ht="20.100000000000001" customHeight="1">
      <c r="A58" s="732"/>
      <c r="B58" s="721" t="s">
        <v>755</v>
      </c>
      <c r="F58" s="722"/>
      <c r="G58" s="722"/>
    </row>
    <row r="59" spans="1:8" ht="20.100000000000001" customHeight="1">
      <c r="A59" s="732"/>
      <c r="B59" s="721" t="s">
        <v>756</v>
      </c>
      <c r="F59" s="722"/>
      <c r="G59" s="722"/>
    </row>
    <row r="60" spans="1:8" ht="33.75" customHeight="1">
      <c r="A60" s="732"/>
      <c r="B60" s="1157" t="s">
        <v>757</v>
      </c>
      <c r="C60" s="1157"/>
      <c r="D60" s="1157"/>
      <c r="E60" s="1157"/>
      <c r="F60" s="1157"/>
      <c r="G60" s="1157"/>
      <c r="H60" s="794"/>
    </row>
    <row r="61" spans="1:8">
      <c r="A61" s="732"/>
      <c r="H61" s="794"/>
    </row>
    <row r="62" spans="1:8">
      <c r="A62" s="732"/>
      <c r="H62" s="794"/>
    </row>
    <row r="63" spans="1:8">
      <c r="A63" s="732"/>
      <c r="B63" s="722" t="s">
        <v>195</v>
      </c>
      <c r="C63" s="722" t="s">
        <v>198</v>
      </c>
      <c r="D63" s="722" t="s">
        <v>200</v>
      </c>
      <c r="E63" s="722" t="s">
        <v>203</v>
      </c>
      <c r="F63" s="722" t="s">
        <v>210</v>
      </c>
      <c r="G63" s="722" t="s">
        <v>214</v>
      </c>
      <c r="H63" s="722" t="s">
        <v>230</v>
      </c>
    </row>
    <row r="64" spans="1:8" ht="31.2">
      <c r="A64" s="732"/>
      <c r="B64" s="721" t="s">
        <v>707</v>
      </c>
      <c r="C64" s="768" t="s">
        <v>36</v>
      </c>
      <c r="D64" s="768" t="s">
        <v>745</v>
      </c>
      <c r="E64" s="768" t="s">
        <v>402</v>
      </c>
      <c r="F64" s="768" t="s">
        <v>683</v>
      </c>
      <c r="G64" s="768" t="s">
        <v>684</v>
      </c>
      <c r="H64" s="768" t="s">
        <v>746</v>
      </c>
    </row>
    <row r="65" spans="1:8" ht="30" customHeight="1">
      <c r="A65" s="732">
        <f>A54+1</f>
        <v>31</v>
      </c>
      <c r="B65" s="802"/>
      <c r="C65" s="770"/>
      <c r="D65" s="771"/>
      <c r="E65" s="771"/>
      <c r="F65" s="771"/>
      <c r="G65" s="771"/>
      <c r="H65" s="772"/>
    </row>
    <row r="66" spans="1:8" ht="30" customHeight="1">
      <c r="A66" s="732">
        <f t="shared" ref="A66:A78" si="2">+A65+1</f>
        <v>32</v>
      </c>
      <c r="B66" s="773"/>
      <c r="C66" s="770"/>
      <c r="D66" s="771"/>
      <c r="E66" s="771"/>
      <c r="F66" s="771"/>
      <c r="G66" s="771"/>
      <c r="H66" s="772"/>
    </row>
    <row r="67" spans="1:8" ht="30" customHeight="1">
      <c r="A67" s="732">
        <f t="shared" si="2"/>
        <v>33</v>
      </c>
      <c r="B67" s="773"/>
      <c r="C67" s="770"/>
      <c r="D67" s="771"/>
      <c r="E67" s="771"/>
      <c r="F67" s="771"/>
      <c r="G67" s="771"/>
      <c r="H67" s="772"/>
    </row>
    <row r="68" spans="1:8" ht="30" customHeight="1">
      <c r="A68" s="732">
        <f t="shared" si="2"/>
        <v>34</v>
      </c>
      <c r="B68" s="773"/>
      <c r="C68" s="770"/>
      <c r="D68" s="771"/>
      <c r="E68" s="771"/>
      <c r="F68" s="771"/>
      <c r="G68" s="771"/>
      <c r="H68" s="772"/>
    </row>
    <row r="69" spans="1:8" ht="30" customHeight="1">
      <c r="A69" s="732">
        <f t="shared" si="2"/>
        <v>35</v>
      </c>
      <c r="B69" s="773"/>
      <c r="C69" s="771"/>
      <c r="D69" s="797"/>
      <c r="E69" s="771"/>
      <c r="F69" s="771"/>
      <c r="G69" s="771"/>
      <c r="H69" s="772"/>
    </row>
    <row r="70" spans="1:8" ht="30" customHeight="1">
      <c r="A70" s="732">
        <f t="shared" si="2"/>
        <v>36</v>
      </c>
      <c r="B70" s="773"/>
      <c r="C70" s="771"/>
      <c r="D70" s="797"/>
      <c r="E70" s="771"/>
      <c r="F70" s="771"/>
      <c r="G70" s="771"/>
      <c r="H70" s="772"/>
    </row>
    <row r="71" spans="1:8" ht="30" customHeight="1">
      <c r="A71" s="732">
        <f t="shared" si="2"/>
        <v>37</v>
      </c>
      <c r="B71" s="773"/>
      <c r="C71" s="771"/>
      <c r="D71" s="797"/>
      <c r="E71" s="771"/>
      <c r="F71" s="771"/>
      <c r="G71" s="771"/>
      <c r="H71" s="772"/>
    </row>
    <row r="72" spans="1:8" ht="30" customHeight="1">
      <c r="A72" s="732">
        <f t="shared" si="2"/>
        <v>38</v>
      </c>
      <c r="B72" s="773"/>
      <c r="C72" s="771"/>
      <c r="D72" s="774"/>
      <c r="E72" s="771"/>
      <c r="F72" s="771"/>
      <c r="G72" s="771"/>
      <c r="H72" s="772"/>
    </row>
    <row r="73" spans="1:8" ht="30" customHeight="1">
      <c r="A73" s="732">
        <f t="shared" si="2"/>
        <v>39</v>
      </c>
      <c r="B73" s="773"/>
      <c r="C73" s="771"/>
      <c r="D73" s="771"/>
      <c r="E73" s="771"/>
      <c r="F73" s="771"/>
      <c r="G73" s="771"/>
      <c r="H73" s="772"/>
    </row>
    <row r="74" spans="1:8" ht="30" customHeight="1">
      <c r="A74" s="732">
        <f t="shared" si="2"/>
        <v>40</v>
      </c>
      <c r="B74" s="775" t="s">
        <v>760</v>
      </c>
      <c r="C74" s="799"/>
      <c r="D74" s="799"/>
      <c r="E74" s="799"/>
      <c r="F74" s="799"/>
      <c r="G74" s="799"/>
      <c r="H74" s="777" t="s">
        <v>748</v>
      </c>
    </row>
    <row r="75" spans="1:8" ht="20.100000000000001" customHeight="1">
      <c r="A75" s="732">
        <f t="shared" si="2"/>
        <v>41</v>
      </c>
      <c r="B75" s="778" t="s">
        <v>770</v>
      </c>
      <c r="C75" s="779">
        <f>SUBTOTAL(9,C65:C74)</f>
        <v>0</v>
      </c>
      <c r="D75" s="779">
        <f>SUM(D65:D74)</f>
        <v>0</v>
      </c>
      <c r="E75" s="780">
        <f>SUM(E65:E74)</f>
        <v>0</v>
      </c>
      <c r="F75" s="779">
        <f>SUM(F65:F74)</f>
        <v>0</v>
      </c>
      <c r="G75" s="779">
        <f>SUM(G65:G74)</f>
        <v>0</v>
      </c>
      <c r="H75" s="772"/>
    </row>
    <row r="76" spans="1:8" ht="20.100000000000001" customHeight="1">
      <c r="A76" s="732">
        <f t="shared" si="2"/>
        <v>42</v>
      </c>
      <c r="B76" s="778" t="s">
        <v>750</v>
      </c>
      <c r="C76" s="784"/>
      <c r="D76" s="784"/>
      <c r="E76" s="784"/>
      <c r="F76" s="784"/>
      <c r="G76" s="784"/>
      <c r="H76" s="772"/>
    </row>
    <row r="77" spans="1:8" ht="20.100000000000001" customHeight="1">
      <c r="A77" s="732">
        <f t="shared" si="2"/>
        <v>43</v>
      </c>
      <c r="B77" s="803" t="s">
        <v>751</v>
      </c>
      <c r="C77" s="804"/>
      <c r="D77" s="804"/>
      <c r="E77" s="804"/>
      <c r="F77" s="804"/>
      <c r="G77" s="804"/>
      <c r="H77" s="788"/>
    </row>
    <row r="78" spans="1:8" ht="20.100000000000001" customHeight="1" thickBot="1">
      <c r="A78" s="732">
        <f t="shared" si="2"/>
        <v>44</v>
      </c>
      <c r="B78" s="789" t="s">
        <v>36</v>
      </c>
      <c r="C78" s="805">
        <f>+C75-C76-C77</f>
        <v>0</v>
      </c>
      <c r="D78" s="805">
        <f>+D75-D76-D77</f>
        <v>0</v>
      </c>
      <c r="E78" s="805">
        <f>+E75-E76-E77</f>
        <v>0</v>
      </c>
      <c r="F78" s="805">
        <f>+F75-F76-F77</f>
        <v>0</v>
      </c>
      <c r="G78" s="805">
        <f>+G75-G76-G77</f>
        <v>0</v>
      </c>
      <c r="H78" s="791"/>
    </row>
    <row r="79" spans="1:8" ht="20.100000000000001" customHeight="1" thickTop="1">
      <c r="A79" s="732"/>
      <c r="B79" s="723" t="s">
        <v>765</v>
      </c>
      <c r="E79" s="722"/>
      <c r="F79" s="722"/>
      <c r="H79" s="806"/>
    </row>
    <row r="80" spans="1:8" ht="20.100000000000001" customHeight="1">
      <c r="A80" s="732"/>
      <c r="B80" s="1157" t="s">
        <v>753</v>
      </c>
      <c r="C80" s="1157"/>
      <c r="D80" s="1157"/>
      <c r="E80" s="1157"/>
      <c r="F80" s="1157"/>
      <c r="G80" s="1157"/>
    </row>
    <row r="81" spans="1:9" ht="20.100000000000001" customHeight="1">
      <c r="A81" s="732"/>
      <c r="B81" s="721" t="s">
        <v>754</v>
      </c>
      <c r="F81" s="722"/>
      <c r="G81" s="722"/>
    </row>
    <row r="82" spans="1:9" ht="20.100000000000001" customHeight="1">
      <c r="A82" s="732"/>
      <c r="B82" s="721" t="s">
        <v>755</v>
      </c>
      <c r="F82" s="722"/>
      <c r="G82" s="722"/>
    </row>
    <row r="83" spans="1:9" ht="20.100000000000001" customHeight="1">
      <c r="A83" s="732"/>
      <c r="B83" s="721" t="s">
        <v>756</v>
      </c>
      <c r="F83" s="722"/>
      <c r="G83" s="722"/>
    </row>
    <row r="84" spans="1:9" ht="32.25" customHeight="1">
      <c r="A84" s="732"/>
      <c r="B84" s="1157" t="s">
        <v>757</v>
      </c>
      <c r="C84" s="1157"/>
      <c r="D84" s="1157"/>
      <c r="E84" s="1157"/>
      <c r="F84" s="1157"/>
      <c r="G84" s="1157"/>
    </row>
    <row r="86" spans="1:9" ht="15.75" customHeight="1">
      <c r="B86" s="807"/>
      <c r="C86" s="807"/>
      <c r="D86" s="807"/>
      <c r="E86" s="807"/>
      <c r="F86" s="807"/>
      <c r="G86" s="807"/>
      <c r="H86" s="807"/>
    </row>
    <row r="87" spans="1:9">
      <c r="B87" s="1156"/>
      <c r="C87" s="1156"/>
      <c r="D87" s="1156"/>
      <c r="E87" s="1156"/>
      <c r="F87" s="1156"/>
      <c r="G87" s="1156"/>
      <c r="H87" s="1156"/>
    </row>
    <row r="88" spans="1:9">
      <c r="B88" s="723"/>
    </row>
    <row r="89" spans="1:9">
      <c r="B89" s="723"/>
    </row>
    <row r="90" spans="1:9" ht="15.75" customHeight="1">
      <c r="B90" s="723"/>
    </row>
    <row r="91" spans="1:9">
      <c r="B91" s="723"/>
      <c r="D91" s="764"/>
      <c r="E91" s="764"/>
      <c r="F91" s="764"/>
      <c r="G91" s="764"/>
      <c r="H91" s="764"/>
      <c r="I91" s="765"/>
    </row>
    <row r="92" spans="1:9">
      <c r="B92" s="723"/>
      <c r="D92" s="764"/>
      <c r="E92" s="764"/>
      <c r="F92" s="764"/>
      <c r="G92" s="764"/>
      <c r="H92" s="764"/>
      <c r="I92" s="765"/>
    </row>
    <row r="93" spans="1:9">
      <c r="D93" s="722"/>
      <c r="E93" s="722"/>
    </row>
    <row r="94" spans="1:9">
      <c r="D94" s="746"/>
      <c r="E94" s="746"/>
    </row>
    <row r="95" spans="1:9">
      <c r="D95" s="746"/>
      <c r="E95" s="746"/>
    </row>
    <row r="96" spans="1:9">
      <c r="D96" s="746"/>
      <c r="E96" s="746"/>
    </row>
    <row r="97" spans="2:5">
      <c r="D97" s="746"/>
      <c r="E97" s="746"/>
    </row>
    <row r="98" spans="2:5">
      <c r="D98" s="746"/>
      <c r="E98" s="746"/>
    </row>
    <row r="99" spans="2:5">
      <c r="D99" s="746"/>
      <c r="E99" s="746"/>
    </row>
    <row r="100" spans="2:5">
      <c r="D100" s="746"/>
      <c r="E100" s="746"/>
    </row>
    <row r="101" spans="2:5">
      <c r="D101" s="746"/>
      <c r="E101" s="746"/>
    </row>
    <row r="102" spans="2:5">
      <c r="D102" s="746"/>
      <c r="E102" s="746"/>
    </row>
    <row r="103" spans="2:5">
      <c r="D103" s="746"/>
      <c r="E103" s="746"/>
    </row>
    <row r="104" spans="2:5">
      <c r="B104" s="723"/>
      <c r="D104" s="746"/>
      <c r="E104" s="746"/>
    </row>
    <row r="105" spans="2:5">
      <c r="D105" s="746"/>
      <c r="E105" s="746"/>
    </row>
    <row r="106" spans="2:5">
      <c r="B106" s="723"/>
      <c r="D106" s="746"/>
      <c r="E106" s="746"/>
    </row>
    <row r="210" spans="9:9">
      <c r="I210" s="747"/>
    </row>
  </sheetData>
  <mergeCells count="11">
    <mergeCell ref="B56:G56"/>
    <mergeCell ref="B60:G60"/>
    <mergeCell ref="B80:G80"/>
    <mergeCell ref="B84:G84"/>
    <mergeCell ref="B87:H87"/>
    <mergeCell ref="B38:G38"/>
    <mergeCell ref="B1:H1"/>
    <mergeCell ref="B2:H2"/>
    <mergeCell ref="B3:H3"/>
    <mergeCell ref="B15:H15"/>
    <mergeCell ref="B34:G34"/>
  </mergeCells>
  <printOptions horizontalCentered="1"/>
  <pageMargins left="0.5" right="0.5" top="0.5" bottom="0.5" header="0.33" footer="0.5"/>
  <pageSetup scale="49" fitToHeight="2" orientation="landscape" r:id="rId1"/>
  <headerFooter alignWithMargins="0">
    <oddFooter>&amp;R&amp;A</oddFooter>
  </headerFooter>
  <rowBreaks count="1" manualBreakCount="1">
    <brk id="40"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D782-49D8-4C15-ABDF-5170386FF928}">
  <sheetPr>
    <pageSetUpPr fitToPage="1"/>
  </sheetPr>
  <dimension ref="A1:T167"/>
  <sheetViews>
    <sheetView view="pageBreakPreview" zoomScale="70" zoomScaleNormal="90" zoomScaleSheetLayoutView="70" workbookViewId="0">
      <selection activeCell="I48" sqref="I48"/>
    </sheetView>
  </sheetViews>
  <sheetFormatPr defaultColWidth="8.81640625" defaultRowHeight="15.6"/>
  <cols>
    <col min="1" max="1" width="5.81640625" style="723" customWidth="1"/>
    <col min="2" max="2" width="54.1796875" style="721" bestFit="1" customWidth="1"/>
    <col min="3" max="3" width="10.81640625" style="723" bestFit="1" customWidth="1"/>
    <col min="4" max="4" width="9.81640625" style="723" bestFit="1" customWidth="1"/>
    <col min="5" max="5" width="16.1796875" style="723" customWidth="1"/>
    <col min="6" max="6" width="12.08984375" style="723" customWidth="1"/>
    <col min="7" max="7" width="11.81640625" style="723" customWidth="1"/>
    <col min="8" max="8" width="14.08984375" style="724" customWidth="1"/>
    <col min="9" max="9" width="33.81640625" style="724" customWidth="1"/>
    <col min="10" max="10" width="8.81640625" style="724"/>
    <col min="11" max="11" width="12.1796875" style="724" customWidth="1"/>
    <col min="12" max="12" width="12.81640625" style="724" customWidth="1"/>
    <col min="13" max="16384" width="8.81640625" style="724"/>
  </cols>
  <sheetData>
    <row r="1" spans="1:20" ht="18" customHeight="1">
      <c r="A1" s="721" t="s">
        <v>771</v>
      </c>
      <c r="B1" s="722"/>
      <c r="C1" s="722"/>
      <c r="D1" s="722"/>
      <c r="E1" s="722"/>
      <c r="F1" s="722"/>
      <c r="G1" s="722"/>
      <c r="H1" s="722"/>
      <c r="I1" s="722"/>
      <c r="J1" s="723"/>
      <c r="K1" s="723"/>
      <c r="L1" s="723"/>
    </row>
    <row r="2" spans="1:20" ht="18" customHeight="1">
      <c r="A2" s="1155" t="str">
        <f>+'5 - True-Up'!A3:J3</f>
        <v>NextEra Energy Transmission New York, Inc.</v>
      </c>
      <c r="B2" s="1155"/>
      <c r="C2" s="1155"/>
      <c r="D2" s="1155"/>
      <c r="E2" s="1155"/>
      <c r="F2" s="1155"/>
      <c r="G2" s="1155"/>
      <c r="H2" s="1155"/>
      <c r="I2" s="1155"/>
      <c r="J2" s="725"/>
      <c r="K2" s="725"/>
      <c r="L2" s="725"/>
    </row>
    <row r="3" spans="1:20" ht="18" customHeight="1">
      <c r="A3" s="1156" t="str">
        <f>'6d- ADIT EOY'!B2</f>
        <v>Projection For the 12 months ended 12/31/2023</v>
      </c>
      <c r="B3" s="1156"/>
      <c r="C3" s="1156"/>
      <c r="D3" s="1156"/>
      <c r="E3" s="1156"/>
      <c r="F3" s="1156"/>
      <c r="G3" s="1156"/>
      <c r="H3" s="1156"/>
      <c r="I3" s="1156"/>
      <c r="J3" s="723"/>
      <c r="K3" s="723"/>
      <c r="L3" s="723"/>
    </row>
    <row r="4" spans="1:20" ht="18" customHeight="1">
      <c r="A4" s="722"/>
      <c r="B4" s="722"/>
      <c r="C4" s="722"/>
      <c r="D4" s="722"/>
      <c r="E4" s="722"/>
      <c r="F4" s="722"/>
      <c r="G4" s="722"/>
      <c r="H4" s="722"/>
      <c r="I4" s="722"/>
      <c r="J4" s="723"/>
      <c r="K4" s="723"/>
      <c r="L4" s="723"/>
    </row>
    <row r="5" spans="1:20" ht="17.399999999999999">
      <c r="B5" s="722" t="s">
        <v>195</v>
      </c>
      <c r="C5" s="722"/>
      <c r="D5" s="726"/>
      <c r="E5" s="726" t="s">
        <v>198</v>
      </c>
      <c r="F5" s="726" t="s">
        <v>200</v>
      </c>
      <c r="G5" s="726" t="s">
        <v>203</v>
      </c>
      <c r="H5" s="726" t="s">
        <v>210</v>
      </c>
      <c r="I5" s="727"/>
    </row>
    <row r="6" spans="1:20">
      <c r="B6" s="724"/>
      <c r="C6" s="724"/>
      <c r="D6" s="724"/>
      <c r="E6" s="724"/>
      <c r="F6" s="724"/>
      <c r="G6" s="724"/>
      <c r="H6" s="726" t="s">
        <v>680</v>
      </c>
      <c r="I6" s="723"/>
      <c r="T6" s="726"/>
    </row>
    <row r="7" spans="1:20" ht="31.2">
      <c r="A7" s="808" t="s">
        <v>681</v>
      </c>
      <c r="B7" s="808" t="s">
        <v>682</v>
      </c>
      <c r="C7" s="809"/>
      <c r="D7" s="810"/>
      <c r="E7" s="812" t="s">
        <v>402</v>
      </c>
      <c r="F7" s="812" t="s">
        <v>683</v>
      </c>
      <c r="G7" s="812" t="s">
        <v>684</v>
      </c>
      <c r="H7" s="812" t="s">
        <v>772</v>
      </c>
      <c r="I7" s="809"/>
      <c r="T7" s="726"/>
    </row>
    <row r="8" spans="1:20">
      <c r="B8" s="732"/>
      <c r="D8" s="724"/>
      <c r="H8" s="723"/>
      <c r="I8" s="723"/>
    </row>
    <row r="9" spans="1:20" ht="20.100000000000001" customHeight="1">
      <c r="A9" s="723">
        <v>1</v>
      </c>
      <c r="B9" s="723" t="s">
        <v>700</v>
      </c>
      <c r="D9" s="724"/>
      <c r="E9" s="733">
        <f>F29</f>
        <v>1292156.129587858</v>
      </c>
      <c r="F9" s="733">
        <f>G29</f>
        <v>0</v>
      </c>
      <c r="G9" s="733">
        <f>H29</f>
        <v>0</v>
      </c>
      <c r="H9" s="733"/>
      <c r="I9" s="723" t="s">
        <v>773</v>
      </c>
    </row>
    <row r="10" spans="1:20" ht="20.100000000000001" customHeight="1">
      <c r="A10" s="723">
        <f t="shared" ref="A10:A16" si="0">+A9+1</f>
        <v>2</v>
      </c>
      <c r="B10" s="723" t="s">
        <v>707</v>
      </c>
      <c r="D10" s="724"/>
      <c r="E10" s="733">
        <f>F39</f>
        <v>0</v>
      </c>
      <c r="F10" s="733">
        <f>G39</f>
        <v>0</v>
      </c>
      <c r="G10" s="733">
        <f>H39</f>
        <v>0</v>
      </c>
      <c r="H10" s="733"/>
      <c r="I10" s="723" t="s">
        <v>774</v>
      </c>
    </row>
    <row r="11" spans="1:20" ht="20.100000000000001" customHeight="1">
      <c r="A11" s="723">
        <f t="shared" si="0"/>
        <v>3</v>
      </c>
      <c r="B11" s="723" t="s">
        <v>687</v>
      </c>
      <c r="D11" s="724"/>
      <c r="E11" s="733">
        <f>F49</f>
        <v>0</v>
      </c>
      <c r="F11" s="733">
        <f>G49</f>
        <v>0</v>
      </c>
      <c r="G11" s="733">
        <f>H49</f>
        <v>0</v>
      </c>
      <c r="H11" s="733"/>
      <c r="I11" s="723" t="s">
        <v>775</v>
      </c>
    </row>
    <row r="12" spans="1:20" ht="20.100000000000001" customHeight="1">
      <c r="A12" s="723">
        <f t="shared" si="0"/>
        <v>4</v>
      </c>
      <c r="B12" s="723" t="s">
        <v>688</v>
      </c>
      <c r="D12" s="724"/>
      <c r="E12" s="733">
        <f>SUM(E9:E11)</f>
        <v>1292156.129587858</v>
      </c>
      <c r="F12" s="733">
        <f>SUM(F9:F11)</f>
        <v>0</v>
      </c>
      <c r="G12" s="733">
        <f>SUM(G9:G11)</f>
        <v>0</v>
      </c>
      <c r="H12" s="733"/>
      <c r="I12" s="734" t="s">
        <v>689</v>
      </c>
    </row>
    <row r="13" spans="1:20" ht="20.100000000000001" customHeight="1">
      <c r="A13" s="723">
        <f t="shared" si="0"/>
        <v>5</v>
      </c>
      <c r="B13" s="723" t="s">
        <v>776</v>
      </c>
      <c r="D13" s="724"/>
      <c r="G13" s="735">
        <f>+'Appendix A'!J224</f>
        <v>1</v>
      </c>
      <c r="H13" s="723"/>
      <c r="I13" s="723" t="s">
        <v>691</v>
      </c>
    </row>
    <row r="14" spans="1:20" ht="20.100000000000001" customHeight="1">
      <c r="A14" s="723">
        <f t="shared" si="0"/>
        <v>6</v>
      </c>
      <c r="B14" s="723" t="s">
        <v>692</v>
      </c>
      <c r="D14" s="724"/>
      <c r="F14" s="736">
        <f>+'Appendix A'!H97</f>
        <v>1</v>
      </c>
      <c r="H14" s="723"/>
      <c r="I14" s="723" t="s">
        <v>693</v>
      </c>
    </row>
    <row r="15" spans="1:20" ht="20.100000000000001" customHeight="1">
      <c r="A15" s="723">
        <f t="shared" si="0"/>
        <v>7</v>
      </c>
      <c r="B15" s="723" t="s">
        <v>694</v>
      </c>
      <c r="D15" s="724"/>
      <c r="E15" s="736">
        <v>1</v>
      </c>
      <c r="F15" s="736"/>
      <c r="H15" s="723"/>
      <c r="I15" s="737">
        <v>1</v>
      </c>
    </row>
    <row r="16" spans="1:20" ht="20.100000000000001" customHeight="1">
      <c r="A16" s="723">
        <f t="shared" si="0"/>
        <v>8</v>
      </c>
      <c r="B16" s="723" t="s">
        <v>777</v>
      </c>
      <c r="D16" s="724"/>
      <c r="E16" s="733">
        <f>+E12*E15</f>
        <v>1292156.129587858</v>
      </c>
      <c r="F16" s="733">
        <f>+F14*F12</f>
        <v>0</v>
      </c>
      <c r="G16" s="733">
        <f>+G13*G12</f>
        <v>0</v>
      </c>
      <c r="H16" s="733">
        <f>+E16+F16+G16</f>
        <v>1292156.129587858</v>
      </c>
      <c r="I16" s="738" t="s">
        <v>696</v>
      </c>
    </row>
    <row r="17" spans="1:17">
      <c r="B17" s="723"/>
      <c r="D17" s="724"/>
      <c r="E17" s="733"/>
      <c r="F17" s="733"/>
      <c r="G17" s="733"/>
      <c r="H17" s="733"/>
      <c r="I17" s="738"/>
    </row>
    <row r="18" spans="1:17">
      <c r="B18" s="723"/>
      <c r="D18" s="734"/>
      <c r="G18" s="733"/>
      <c r="I18" s="726"/>
    </row>
    <row r="19" spans="1:17">
      <c r="B19" s="722" t="s">
        <v>174</v>
      </c>
      <c r="C19" s="722" t="s">
        <v>175</v>
      </c>
      <c r="D19" s="722" t="s">
        <v>176</v>
      </c>
      <c r="E19" s="722" t="s">
        <v>378</v>
      </c>
      <c r="F19" s="722" t="s">
        <v>379</v>
      </c>
      <c r="G19" s="726" t="s">
        <v>380</v>
      </c>
      <c r="H19" s="726" t="s">
        <v>381</v>
      </c>
      <c r="I19" s="726"/>
    </row>
    <row r="20" spans="1:17" ht="31.2">
      <c r="A20" s="813"/>
      <c r="B20" s="814" t="s">
        <v>697</v>
      </c>
      <c r="C20" s="814" t="s">
        <v>698</v>
      </c>
      <c r="D20" s="814" t="s">
        <v>298</v>
      </c>
      <c r="E20" s="814" t="s">
        <v>699</v>
      </c>
      <c r="F20" s="814" t="s">
        <v>402</v>
      </c>
      <c r="G20" s="814" t="s">
        <v>683</v>
      </c>
      <c r="H20" s="814" t="s">
        <v>684</v>
      </c>
      <c r="I20" s="814"/>
      <c r="Q20" s="726"/>
    </row>
    <row r="21" spans="1:17">
      <c r="A21" s="723" t="s">
        <v>700</v>
      </c>
      <c r="D21" s="722"/>
      <c r="E21" s="722"/>
      <c r="F21" s="722"/>
      <c r="G21" s="724"/>
      <c r="Q21" s="726"/>
    </row>
    <row r="22" spans="1:17" ht="20.100000000000001" customHeight="1">
      <c r="A22" s="742">
        <f>A16+1</f>
        <v>9</v>
      </c>
      <c r="B22" s="741" t="s">
        <v>701</v>
      </c>
      <c r="C22" s="724" t="s">
        <v>300</v>
      </c>
      <c r="D22" s="743" t="s">
        <v>702</v>
      </c>
      <c r="E22" s="28">
        <f t="shared" ref="E22:E29" si="1">SUM(F22:H22)</f>
        <v>-2502695.0366009716</v>
      </c>
      <c r="F22" s="28">
        <f>'6c- ADIT BOY'!E54</f>
        <v>-2502695.0366009716</v>
      </c>
      <c r="G22" s="28">
        <f>'6c- ADIT BOY'!F54</f>
        <v>0</v>
      </c>
      <c r="H22" s="28">
        <f>'6c- ADIT BOY'!G54</f>
        <v>0</v>
      </c>
      <c r="I22" s="744"/>
    </row>
    <row r="23" spans="1:17" ht="20.100000000000001" customHeight="1">
      <c r="A23" s="742">
        <f>A22+1</f>
        <v>10</v>
      </c>
      <c r="B23" s="741" t="str">
        <f>"Actual Balance, BOY, Non Prorated items (Line "&amp;A22&amp;" less Line "&amp;A24&amp;")"</f>
        <v>Actual Balance, BOY, Non Prorated items (Line 9 less Line 11)</v>
      </c>
      <c r="C23" s="724" t="s">
        <v>300</v>
      </c>
      <c r="D23" s="743" t="s">
        <v>702</v>
      </c>
      <c r="E23" s="28">
        <f t="shared" si="1"/>
        <v>-2502695.0366009716</v>
      </c>
      <c r="F23" s="28">
        <f>F22-F24</f>
        <v>-2502695.0366009716</v>
      </c>
      <c r="G23" s="28">
        <f>G22-G24</f>
        <v>0</v>
      </c>
      <c r="H23" s="28">
        <f>H22-H24</f>
        <v>0</v>
      </c>
      <c r="I23" s="744"/>
    </row>
    <row r="24" spans="1:17" ht="20.100000000000001" customHeight="1">
      <c r="A24" s="742">
        <f t="shared" ref="A24:A29" si="2">A23+1</f>
        <v>11</v>
      </c>
      <c r="B24" s="741" t="s">
        <v>703</v>
      </c>
      <c r="C24" s="724" t="s">
        <v>300</v>
      </c>
      <c r="D24" s="743" t="s">
        <v>702</v>
      </c>
      <c r="E24" s="28">
        <f t="shared" si="1"/>
        <v>0</v>
      </c>
      <c r="F24" s="28">
        <f>'6c- ADIT BOY'!E50</f>
        <v>0</v>
      </c>
      <c r="G24" s="28">
        <f>'6c- ADIT BOY'!F50</f>
        <v>0</v>
      </c>
      <c r="H24" s="28">
        <f>'6c- ADIT BOY'!G50</f>
        <v>0</v>
      </c>
      <c r="I24" s="744"/>
    </row>
    <row r="25" spans="1:17" ht="20.100000000000001" customHeight="1">
      <c r="A25" s="742">
        <f t="shared" si="2"/>
        <v>12</v>
      </c>
      <c r="B25" s="741" t="s">
        <v>704</v>
      </c>
      <c r="C25" s="724" t="s">
        <v>300</v>
      </c>
      <c r="D25" s="743" t="s">
        <v>702</v>
      </c>
      <c r="E25" s="28">
        <f t="shared" si="1"/>
        <v>-4697832.8084280444</v>
      </c>
      <c r="F25" s="28">
        <f>'6d- ADIT EOY'!E54</f>
        <v>-4697832.8084280444</v>
      </c>
      <c r="G25" s="28">
        <f>'6d- ADIT EOY'!F54</f>
        <v>0</v>
      </c>
      <c r="H25" s="28">
        <f>'6d- ADIT EOY'!G54</f>
        <v>0</v>
      </c>
      <c r="I25" s="744"/>
    </row>
    <row r="26" spans="1:17" ht="20.100000000000001" customHeight="1">
      <c r="A26" s="742">
        <f t="shared" si="2"/>
        <v>13</v>
      </c>
      <c r="B26" s="741" t="str">
        <f>"Actual Balance, EOY, Non Prorated items (Line "&amp;A25&amp;" less Line "&amp;A27&amp;")"</f>
        <v>Actual Balance, EOY, Non Prorated items (Line 12 less Line 14)</v>
      </c>
      <c r="C26" s="724" t="s">
        <v>300</v>
      </c>
      <c r="D26" s="743" t="s">
        <v>702</v>
      </c>
      <c r="E26" s="28">
        <f t="shared" si="1"/>
        <v>0</v>
      </c>
      <c r="F26" s="28">
        <f>F25-F27</f>
        <v>0</v>
      </c>
      <c r="G26" s="28">
        <f t="shared" ref="G26:H26" si="3">G25-G27</f>
        <v>0</v>
      </c>
      <c r="H26" s="28">
        <f t="shared" si="3"/>
        <v>0</v>
      </c>
      <c r="I26" s="744"/>
    </row>
    <row r="27" spans="1:17" ht="20.100000000000001" customHeight="1">
      <c r="A27" s="742">
        <f t="shared" si="2"/>
        <v>14</v>
      </c>
      <c r="B27" s="741" t="s">
        <v>705</v>
      </c>
      <c r="C27" s="724" t="s">
        <v>300</v>
      </c>
      <c r="D27" s="743" t="s">
        <v>702</v>
      </c>
      <c r="E27" s="28">
        <f t="shared" si="1"/>
        <v>-4697832.8084280444</v>
      </c>
      <c r="F27" s="28">
        <f>'6d- ADIT EOY'!E50</f>
        <v>-4697832.8084280444</v>
      </c>
      <c r="G27" s="28">
        <f>'6d- ADIT EOY'!F50</f>
        <v>0</v>
      </c>
      <c r="H27" s="28">
        <f>'6d- ADIT EOY'!G50</f>
        <v>0</v>
      </c>
      <c r="I27" s="744"/>
    </row>
    <row r="28" spans="1:17" ht="20.100000000000001" customHeight="1">
      <c r="A28" s="742">
        <v>0</v>
      </c>
      <c r="B28" s="741" t="s">
        <v>778</v>
      </c>
      <c r="C28" s="724" t="s">
        <v>300</v>
      </c>
      <c r="D28" s="743" t="s">
        <v>702</v>
      </c>
      <c r="E28" s="28">
        <f t="shared" si="1"/>
        <v>2543503.6478883438</v>
      </c>
      <c r="F28" s="28">
        <v>2543503.6478883438</v>
      </c>
      <c r="G28" s="28">
        <v>0</v>
      </c>
      <c r="H28" s="28">
        <v>0</v>
      </c>
      <c r="I28" s="744"/>
    </row>
    <row r="29" spans="1:17" ht="20.100000000000001" customHeight="1">
      <c r="A29" s="742">
        <f t="shared" si="2"/>
        <v>1</v>
      </c>
      <c r="B29" s="741" t="str">
        <f>"ADIT 282 ((Line "&amp;A23&amp;" plus Line "&amp;A26&amp;") / 2) plus Line "&amp;A28&amp;""</f>
        <v>ADIT 282 ((Line 10 plus Line 13) / 2) plus Line 0</v>
      </c>
      <c r="C29" s="724" t="s">
        <v>300</v>
      </c>
      <c r="D29" s="743" t="s">
        <v>702</v>
      </c>
      <c r="E29" s="28">
        <f t="shared" si="1"/>
        <v>1292156.129587858</v>
      </c>
      <c r="F29" s="28">
        <f>((F23+F26)/2+F28)</f>
        <v>1292156.129587858</v>
      </c>
      <c r="G29" s="28">
        <f>((G23+G26)/2+G28)</f>
        <v>0</v>
      </c>
      <c r="H29" s="28">
        <f t="shared" ref="H29" si="4">((H23+H26)/2+H28)</f>
        <v>0</v>
      </c>
      <c r="I29" s="745"/>
    </row>
    <row r="30" spans="1:17" ht="15">
      <c r="A30" s="742"/>
      <c r="B30" s="741"/>
      <c r="C30" s="724"/>
      <c r="D30" s="724"/>
      <c r="E30" s="28"/>
      <c r="F30" s="28"/>
      <c r="G30" s="28"/>
      <c r="H30" s="28"/>
    </row>
    <row r="31" spans="1:17" ht="15">
      <c r="A31" s="724" t="s">
        <v>707</v>
      </c>
      <c r="B31" s="741"/>
      <c r="C31" s="724"/>
      <c r="D31" s="724"/>
      <c r="E31" s="28"/>
      <c r="F31" s="28"/>
      <c r="G31" s="28"/>
      <c r="H31" s="28"/>
    </row>
    <row r="32" spans="1:17" ht="20.100000000000001" customHeight="1">
      <c r="A32" s="742">
        <f>A29+1</f>
        <v>2</v>
      </c>
      <c r="B32" s="741" t="s">
        <v>708</v>
      </c>
      <c r="C32" s="724" t="s">
        <v>300</v>
      </c>
      <c r="D32" s="743" t="s">
        <v>702</v>
      </c>
      <c r="E32" s="28">
        <f t="shared" ref="E32:E39" si="5">SUM(F32:H32)</f>
        <v>0</v>
      </c>
      <c r="F32" s="28">
        <f>'6c- ADIT BOY'!E78</f>
        <v>0</v>
      </c>
      <c r="G32" s="28">
        <f>'6c- ADIT BOY'!F78</f>
        <v>0</v>
      </c>
      <c r="H32" s="28">
        <f>'6c- ADIT BOY'!G78</f>
        <v>0</v>
      </c>
      <c r="I32" s="744"/>
    </row>
    <row r="33" spans="1:9" ht="20.100000000000001" customHeight="1">
      <c r="A33" s="742">
        <f>A32+1</f>
        <v>3</v>
      </c>
      <c r="B33" s="741" t="str">
        <f>"Actual Balance, BOY, Non Prorated items (Line "&amp;A32&amp;" less Line "&amp;A34&amp;")"</f>
        <v>Actual Balance, BOY, Non Prorated items (Line 2 less Line 4)</v>
      </c>
      <c r="C33" s="724" t="s">
        <v>300</v>
      </c>
      <c r="D33" s="743" t="s">
        <v>702</v>
      </c>
      <c r="E33" s="28">
        <f t="shared" si="5"/>
        <v>0</v>
      </c>
      <c r="F33" s="28">
        <f>F32-F34</f>
        <v>0</v>
      </c>
      <c r="G33" s="28">
        <f t="shared" ref="G33:H33" si="6">G32-G34</f>
        <v>0</v>
      </c>
      <c r="H33" s="28">
        <f t="shared" si="6"/>
        <v>0</v>
      </c>
      <c r="I33" s="744"/>
    </row>
    <row r="34" spans="1:9" ht="20.100000000000001" customHeight="1">
      <c r="A34" s="742">
        <f t="shared" ref="A34:A39" si="7">A33+1</f>
        <v>4</v>
      </c>
      <c r="B34" s="741" t="s">
        <v>709</v>
      </c>
      <c r="C34" s="724" t="s">
        <v>300</v>
      </c>
      <c r="D34" s="743" t="s">
        <v>702</v>
      </c>
      <c r="E34" s="28">
        <f t="shared" si="5"/>
        <v>0</v>
      </c>
      <c r="F34" s="28">
        <f>'6c- ADIT BOY'!E74</f>
        <v>0</v>
      </c>
      <c r="G34" s="28">
        <f>'6c- ADIT BOY'!F74</f>
        <v>0</v>
      </c>
      <c r="H34" s="28">
        <f>'6c- ADIT BOY'!G74</f>
        <v>0</v>
      </c>
      <c r="I34" s="744"/>
    </row>
    <row r="35" spans="1:9" ht="20.100000000000001" customHeight="1">
      <c r="A35" s="742">
        <f t="shared" si="7"/>
        <v>5</v>
      </c>
      <c r="B35" s="741" t="s">
        <v>710</v>
      </c>
      <c r="C35" s="724" t="s">
        <v>300</v>
      </c>
      <c r="D35" s="743" t="s">
        <v>702</v>
      </c>
      <c r="E35" s="28">
        <f t="shared" si="5"/>
        <v>0</v>
      </c>
      <c r="F35" s="28">
        <f>'6d- ADIT EOY'!E78</f>
        <v>0</v>
      </c>
      <c r="G35" s="28">
        <f>'6d- ADIT EOY'!F78</f>
        <v>0</v>
      </c>
      <c r="H35" s="28">
        <f>'6d- ADIT EOY'!G78</f>
        <v>0</v>
      </c>
      <c r="I35" s="744"/>
    </row>
    <row r="36" spans="1:9" ht="20.100000000000001" customHeight="1">
      <c r="A36" s="742">
        <f t="shared" si="7"/>
        <v>6</v>
      </c>
      <c r="B36" s="741" t="str">
        <f>"Actual Balance, EOY, Non Prorated items (Line "&amp;A35&amp;" less Line "&amp;A37&amp;")"</f>
        <v>Actual Balance, EOY, Non Prorated items (Line 5 less Line 7)</v>
      </c>
      <c r="C36" s="724" t="s">
        <v>300</v>
      </c>
      <c r="D36" s="743" t="s">
        <v>702</v>
      </c>
      <c r="E36" s="28">
        <f t="shared" si="5"/>
        <v>0</v>
      </c>
      <c r="F36" s="28">
        <f>F35-F37</f>
        <v>0</v>
      </c>
      <c r="G36" s="28">
        <f t="shared" ref="G36:H36" si="8">G35-G37</f>
        <v>0</v>
      </c>
      <c r="H36" s="28">
        <f t="shared" si="8"/>
        <v>0</v>
      </c>
      <c r="I36" s="744"/>
    </row>
    <row r="37" spans="1:9" ht="20.100000000000001" customHeight="1">
      <c r="A37" s="742">
        <f t="shared" si="7"/>
        <v>7</v>
      </c>
      <c r="B37" s="741" t="s">
        <v>711</v>
      </c>
      <c r="C37" s="724" t="s">
        <v>300</v>
      </c>
      <c r="D37" s="743" t="s">
        <v>702</v>
      </c>
      <c r="E37" s="28">
        <f t="shared" si="5"/>
        <v>0</v>
      </c>
      <c r="F37" s="28">
        <f>'6d- ADIT EOY'!E74</f>
        <v>0</v>
      </c>
      <c r="G37" s="28">
        <f>'6d- ADIT EOY'!F74</f>
        <v>0</v>
      </c>
      <c r="H37" s="28">
        <f>'6d- ADIT EOY'!G74</f>
        <v>0</v>
      </c>
      <c r="I37" s="744"/>
    </row>
    <row r="38" spans="1:9" ht="20.100000000000001" customHeight="1">
      <c r="A38" s="742">
        <f t="shared" si="7"/>
        <v>8</v>
      </c>
      <c r="B38" s="741" t="s">
        <v>779</v>
      </c>
      <c r="C38" s="724" t="s">
        <v>300</v>
      </c>
      <c r="D38" s="743" t="s">
        <v>702</v>
      </c>
      <c r="E38" s="28">
        <f t="shared" si="5"/>
        <v>0</v>
      </c>
      <c r="F38" s="28">
        <v>0</v>
      </c>
      <c r="G38" s="28">
        <v>0</v>
      </c>
      <c r="H38" s="28">
        <v>0</v>
      </c>
      <c r="I38" s="744"/>
    </row>
    <row r="39" spans="1:9" ht="20.100000000000001" customHeight="1">
      <c r="A39" s="742">
        <f t="shared" si="7"/>
        <v>9</v>
      </c>
      <c r="B39" s="741" t="str">
        <f>"ADIT 283 ((Line "&amp;A33&amp;" plus Line "&amp;A36&amp;") / 2) plus Line "&amp;A38&amp;""</f>
        <v>ADIT 283 ((Line 3 plus Line 6) / 2) plus Line 8</v>
      </c>
      <c r="C39" s="724" t="s">
        <v>300</v>
      </c>
      <c r="D39" s="743" t="s">
        <v>702</v>
      </c>
      <c r="E39" s="28">
        <f t="shared" si="5"/>
        <v>0</v>
      </c>
      <c r="F39" s="28">
        <f>((F33+F36)/2+F38)</f>
        <v>0</v>
      </c>
      <c r="G39" s="28">
        <f>((G33+G36)/2+G38)</f>
        <v>0</v>
      </c>
      <c r="H39" s="28">
        <f>((H33+H36)/2+H38)</f>
        <v>0</v>
      </c>
      <c r="I39" s="745"/>
    </row>
    <row r="40" spans="1:9" ht="15">
      <c r="A40" s="742"/>
      <c r="B40" s="741"/>
      <c r="C40" s="724"/>
      <c r="D40" s="724"/>
      <c r="E40" s="28"/>
      <c r="F40" s="28"/>
      <c r="G40" s="28"/>
      <c r="H40" s="28"/>
    </row>
    <row r="41" spans="1:9" ht="15">
      <c r="A41" s="724" t="s">
        <v>687</v>
      </c>
      <c r="B41" s="741"/>
      <c r="C41" s="724"/>
      <c r="D41" s="724"/>
      <c r="E41" s="28"/>
      <c r="F41" s="28"/>
      <c r="G41" s="28"/>
      <c r="H41" s="28"/>
    </row>
    <row r="42" spans="1:9" ht="20.100000000000001" customHeight="1">
      <c r="A42" s="742">
        <f>A39+1</f>
        <v>10</v>
      </c>
      <c r="B42" s="741" t="s">
        <v>713</v>
      </c>
      <c r="C42" s="724" t="s">
        <v>300</v>
      </c>
      <c r="D42" s="743" t="s">
        <v>702</v>
      </c>
      <c r="E42" s="28">
        <f t="shared" ref="E42:E49" si="9">SUM(F42:H42)</f>
        <v>0</v>
      </c>
      <c r="F42" s="28">
        <f>'6c- ADIT BOY'!E32</f>
        <v>0</v>
      </c>
      <c r="G42" s="28">
        <f>'6c- ADIT BOY'!F32</f>
        <v>0</v>
      </c>
      <c r="H42" s="28">
        <f>'6c- ADIT BOY'!G32</f>
        <v>0</v>
      </c>
      <c r="I42" s="744"/>
    </row>
    <row r="43" spans="1:9" ht="20.100000000000001" customHeight="1">
      <c r="A43" s="742">
        <f>A42+1</f>
        <v>11</v>
      </c>
      <c r="B43" s="741" t="str">
        <f>"Actual Balance, BOY, Non Prorated items (Line "&amp;A42&amp;" less Line "&amp;A44&amp;")"</f>
        <v>Actual Balance, BOY, Non Prorated items (Line 10 less Line 12)</v>
      </c>
      <c r="C43" s="724" t="s">
        <v>300</v>
      </c>
      <c r="D43" s="743" t="s">
        <v>702</v>
      </c>
      <c r="E43" s="28">
        <f t="shared" si="9"/>
        <v>0</v>
      </c>
      <c r="F43" s="28">
        <f>F42-F44</f>
        <v>0</v>
      </c>
      <c r="G43" s="28">
        <f>G42-G44</f>
        <v>0</v>
      </c>
      <c r="H43" s="28">
        <f>H42-H44</f>
        <v>0</v>
      </c>
      <c r="I43" s="744"/>
    </row>
    <row r="44" spans="1:9" ht="20.100000000000001" customHeight="1">
      <c r="A44" s="742">
        <f t="shared" ref="A44:A49" si="10">A43+1</f>
        <v>12</v>
      </c>
      <c r="B44" s="741" t="s">
        <v>714</v>
      </c>
      <c r="C44" s="724" t="s">
        <v>300</v>
      </c>
      <c r="D44" s="743" t="s">
        <v>702</v>
      </c>
      <c r="E44" s="28">
        <f t="shared" si="9"/>
        <v>0</v>
      </c>
      <c r="F44" s="28">
        <f>'6c- ADIT BOY'!E28</f>
        <v>0</v>
      </c>
      <c r="G44" s="28">
        <f>'6c- ADIT BOY'!F28</f>
        <v>0</v>
      </c>
      <c r="H44" s="28">
        <f>'6c- ADIT BOY'!G28</f>
        <v>0</v>
      </c>
      <c r="I44" s="744"/>
    </row>
    <row r="45" spans="1:9" ht="20.100000000000001" customHeight="1">
      <c r="A45" s="742">
        <f t="shared" si="10"/>
        <v>13</v>
      </c>
      <c r="B45" s="741" t="s">
        <v>715</v>
      </c>
      <c r="C45" s="724" t="s">
        <v>300</v>
      </c>
      <c r="D45" s="743" t="s">
        <v>702</v>
      </c>
      <c r="E45" s="28">
        <f t="shared" si="9"/>
        <v>0</v>
      </c>
      <c r="F45" s="28">
        <f>'6d- ADIT EOY'!E32</f>
        <v>0</v>
      </c>
      <c r="G45" s="28">
        <f>'6d- ADIT EOY'!F32</f>
        <v>0</v>
      </c>
      <c r="H45" s="28">
        <f>'6d- ADIT EOY'!G32</f>
        <v>0</v>
      </c>
      <c r="I45" s="744"/>
    </row>
    <row r="46" spans="1:9" ht="20.100000000000001" customHeight="1">
      <c r="A46" s="742">
        <f t="shared" si="10"/>
        <v>14</v>
      </c>
      <c r="B46" s="741" t="str">
        <f>"Actual Balance, EOY, Non Prorated items (Line "&amp;A45&amp;" less Line "&amp;A47&amp;")"</f>
        <v>Actual Balance, EOY, Non Prorated items (Line 13 less Line 15)</v>
      </c>
      <c r="C46" s="724" t="s">
        <v>300</v>
      </c>
      <c r="D46" s="743" t="s">
        <v>702</v>
      </c>
      <c r="E46" s="28">
        <f t="shared" si="9"/>
        <v>0</v>
      </c>
      <c r="F46" s="28">
        <f>F45-F47</f>
        <v>0</v>
      </c>
      <c r="G46" s="28">
        <f>G45-G47</f>
        <v>0</v>
      </c>
      <c r="H46" s="28">
        <f>H45-H47</f>
        <v>0</v>
      </c>
      <c r="I46" s="744"/>
    </row>
    <row r="47" spans="1:9" ht="20.100000000000001" customHeight="1">
      <c r="A47" s="742">
        <f t="shared" si="10"/>
        <v>15</v>
      </c>
      <c r="B47" s="741" t="s">
        <v>716</v>
      </c>
      <c r="C47" s="724" t="s">
        <v>300</v>
      </c>
      <c r="D47" s="743" t="s">
        <v>702</v>
      </c>
      <c r="E47" s="28">
        <f t="shared" si="9"/>
        <v>0</v>
      </c>
      <c r="F47" s="28">
        <f>'6d- ADIT EOY'!E28</f>
        <v>0</v>
      </c>
      <c r="G47" s="28">
        <f>'6d- ADIT EOY'!F28</f>
        <v>0</v>
      </c>
      <c r="H47" s="28">
        <f>'6d- ADIT EOY'!G28</f>
        <v>0</v>
      </c>
      <c r="I47" s="744"/>
    </row>
    <row r="48" spans="1:9" ht="20.100000000000001" customHeight="1">
      <c r="A48" s="742">
        <f t="shared" si="10"/>
        <v>16</v>
      </c>
      <c r="B48" s="741" t="s">
        <v>780</v>
      </c>
      <c r="C48" s="724" t="s">
        <v>300</v>
      </c>
      <c r="D48" s="743" t="s">
        <v>702</v>
      </c>
      <c r="E48" s="28">
        <f t="shared" si="9"/>
        <v>0</v>
      </c>
      <c r="F48" s="28">
        <v>0</v>
      </c>
      <c r="G48" s="28">
        <v>0</v>
      </c>
      <c r="H48" s="28">
        <v>0</v>
      </c>
      <c r="I48" s="744"/>
    </row>
    <row r="49" spans="1:9" ht="20.100000000000001" customHeight="1">
      <c r="A49" s="742">
        <f t="shared" si="10"/>
        <v>17</v>
      </c>
      <c r="B49" s="741" t="str">
        <f>"ADIT 190 ((Line "&amp;A43&amp;" plus Line "&amp;A46&amp;") / 2) plus Line "&amp;A48&amp;""</f>
        <v>ADIT 190 ((Line 11 plus Line 14) / 2) plus Line 16</v>
      </c>
      <c r="C49" s="724" t="s">
        <v>300</v>
      </c>
      <c r="D49" s="743" t="s">
        <v>702</v>
      </c>
      <c r="E49" s="28">
        <f t="shared" si="9"/>
        <v>0</v>
      </c>
      <c r="F49" s="28">
        <f>((F43+F46)/2+F48)</f>
        <v>0</v>
      </c>
      <c r="G49" s="28">
        <f t="shared" ref="G49:H49" si="11">((G43+G46)/2+G48)</f>
        <v>0</v>
      </c>
      <c r="H49" s="28">
        <f t="shared" si="11"/>
        <v>0</v>
      </c>
      <c r="I49" s="745"/>
    </row>
    <row r="50" spans="1:9">
      <c r="D50" s="722"/>
    </row>
    <row r="51" spans="1:9">
      <c r="D51" s="746"/>
    </row>
    <row r="52" spans="1:9">
      <c r="D52" s="746"/>
    </row>
    <row r="53" spans="1:9">
      <c r="D53" s="746"/>
    </row>
    <row r="54" spans="1:9">
      <c r="D54" s="746"/>
    </row>
    <row r="55" spans="1:9">
      <c r="D55" s="746"/>
    </row>
    <row r="56" spans="1:9">
      <c r="D56" s="746"/>
    </row>
    <row r="57" spans="1:9">
      <c r="D57" s="746"/>
    </row>
    <row r="58" spans="1:9">
      <c r="D58" s="746"/>
    </row>
    <row r="59" spans="1:9">
      <c r="D59" s="746"/>
    </row>
    <row r="60" spans="1:9">
      <c r="D60" s="746"/>
    </row>
    <row r="61" spans="1:9">
      <c r="B61" s="723"/>
      <c r="D61" s="746"/>
    </row>
    <row r="62" spans="1:9">
      <c r="D62" s="746"/>
    </row>
    <row r="63" spans="1:9">
      <c r="B63" s="723"/>
      <c r="D63" s="746"/>
    </row>
    <row r="167" spans="8:8">
      <c r="H167" s="747"/>
    </row>
  </sheetData>
  <mergeCells count="2">
    <mergeCell ref="A2:I2"/>
    <mergeCell ref="A3:I3"/>
  </mergeCells>
  <printOptions horizontalCentered="1"/>
  <pageMargins left="0.25" right="0.25" top="0.75" bottom="0.75" header="0.3" footer="0.3"/>
  <pageSetup scale="53"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816D-0F8B-428B-B88C-3CF4DEFF0686}">
  <dimension ref="A1:T91"/>
  <sheetViews>
    <sheetView view="pageBreakPreview" zoomScale="85" zoomScaleNormal="90" zoomScaleSheetLayoutView="85" workbookViewId="0"/>
  </sheetViews>
  <sheetFormatPr defaultColWidth="8.81640625" defaultRowHeight="15"/>
  <cols>
    <col min="1" max="1" width="7.54296875" style="815" customWidth="1"/>
    <col min="2" max="2" width="23.1796875" style="815" customWidth="1"/>
    <col min="3" max="3" width="42.453125" style="815" customWidth="1"/>
    <col min="4" max="4" width="20.453125" style="815" bestFit="1" customWidth="1"/>
    <col min="5" max="5" width="10.1796875" style="815" bestFit="1" customWidth="1"/>
    <col min="6" max="6" width="8.81640625" style="816"/>
    <col min="7" max="7" width="8.81640625" style="815"/>
    <col min="8" max="8" width="23" style="835" customWidth="1"/>
    <col min="9" max="9" width="25.81640625" style="835" customWidth="1"/>
    <col min="10" max="10" width="13.81640625" style="835" customWidth="1"/>
    <col min="11" max="11" width="8.81640625" style="815"/>
    <col min="12" max="12" width="9.81640625" style="815" bestFit="1" customWidth="1"/>
    <col min="13" max="18" width="11.453125" style="815" customWidth="1"/>
    <col min="19" max="19" width="8.81640625" style="815"/>
    <col min="20" max="20" width="10.453125" style="815" bestFit="1" customWidth="1"/>
    <col min="21" max="16384" width="8.81640625" style="815"/>
  </cols>
  <sheetData>
    <row r="1" spans="1:18" ht="15.6">
      <c r="A1" s="815" t="s">
        <v>0</v>
      </c>
      <c r="H1" s="817"/>
      <c r="I1" s="818"/>
      <c r="J1" s="819"/>
    </row>
    <row r="2" spans="1:18" ht="15.6">
      <c r="H2" s="817"/>
      <c r="I2" s="820"/>
      <c r="J2" s="821"/>
    </row>
    <row r="3" spans="1:18">
      <c r="H3" s="822"/>
      <c r="I3" s="820"/>
      <c r="J3" s="821"/>
    </row>
    <row r="4" spans="1:18">
      <c r="H4" s="822"/>
      <c r="I4" s="820"/>
      <c r="J4" s="821"/>
    </row>
    <row r="5" spans="1:18" ht="17.399999999999999">
      <c r="A5" s="1160" t="s">
        <v>781</v>
      </c>
      <c r="B5" s="1160"/>
      <c r="C5" s="1160"/>
      <c r="D5" s="1160"/>
      <c r="E5" s="1160"/>
      <c r="H5" s="822"/>
      <c r="I5" s="820"/>
      <c r="J5" s="821"/>
    </row>
    <row r="6" spans="1:18" ht="15.6">
      <c r="A6" s="1161" t="str">
        <f>+'6e-ADIT True-up'!A2:I2</f>
        <v>NextEra Energy Transmission New York, Inc.</v>
      </c>
      <c r="B6" s="1161"/>
      <c r="C6" s="1161"/>
      <c r="D6" s="1161"/>
      <c r="E6" s="1161"/>
      <c r="F6" s="823"/>
      <c r="G6" s="824"/>
      <c r="H6" s="822"/>
      <c r="I6" s="820"/>
      <c r="J6" s="821"/>
      <c r="K6" s="824"/>
      <c r="L6" s="824"/>
      <c r="M6" s="824"/>
      <c r="N6" s="824"/>
      <c r="O6" s="824"/>
    </row>
    <row r="7" spans="1:18">
      <c r="A7" s="825"/>
      <c r="B7" s="825"/>
      <c r="C7" s="825"/>
      <c r="D7" s="825"/>
      <c r="E7" s="825"/>
      <c r="H7" s="822"/>
      <c r="I7" s="820"/>
      <c r="J7" s="821"/>
    </row>
    <row r="8" spans="1:18">
      <c r="A8" s="825"/>
      <c r="B8" s="825"/>
      <c r="C8" s="826"/>
      <c r="D8" s="825"/>
      <c r="E8" s="825"/>
      <c r="H8" s="822"/>
      <c r="I8" s="820"/>
      <c r="J8" s="821"/>
    </row>
    <row r="9" spans="1:18" ht="15.6">
      <c r="A9" s="827" t="s">
        <v>29</v>
      </c>
      <c r="B9" s="828" t="s">
        <v>782</v>
      </c>
      <c r="C9" s="828" t="s">
        <v>783</v>
      </c>
      <c r="D9" s="828" t="s">
        <v>784</v>
      </c>
      <c r="E9" s="825"/>
      <c r="H9" s="822"/>
      <c r="I9" s="820"/>
      <c r="J9" s="821"/>
    </row>
    <row r="10" spans="1:18" ht="15.6">
      <c r="A10" s="827"/>
      <c r="B10" s="829" t="s">
        <v>785</v>
      </c>
      <c r="C10" s="828"/>
      <c r="D10" s="828"/>
      <c r="E10" s="825"/>
      <c r="H10" s="822"/>
      <c r="I10" s="820"/>
      <c r="J10" s="821"/>
    </row>
    <row r="11" spans="1:18" ht="15.6">
      <c r="A11" s="827">
        <v>1</v>
      </c>
      <c r="B11" s="830" t="s">
        <v>786</v>
      </c>
      <c r="C11" s="828" t="s">
        <v>787</v>
      </c>
      <c r="D11" s="831">
        <v>0</v>
      </c>
      <c r="E11" s="825"/>
      <c r="H11" s="832"/>
      <c r="I11" s="815"/>
      <c r="J11" s="815"/>
      <c r="K11" s="833"/>
      <c r="L11" s="834"/>
    </row>
    <row r="12" spans="1:18" ht="15.6">
      <c r="A12" s="827">
        <v>2</v>
      </c>
      <c r="B12" s="830" t="s">
        <v>788</v>
      </c>
      <c r="C12" s="828" t="s">
        <v>789</v>
      </c>
      <c r="D12" s="831">
        <v>1.33</v>
      </c>
      <c r="E12" s="825"/>
      <c r="H12" s="832"/>
      <c r="L12" s="836"/>
      <c r="M12" s="837"/>
      <c r="N12" s="837"/>
      <c r="O12" s="837"/>
      <c r="P12" s="837"/>
      <c r="Q12" s="838"/>
      <c r="R12" s="839"/>
    </row>
    <row r="13" spans="1:18" ht="15.6">
      <c r="A13" s="827">
        <v>3</v>
      </c>
      <c r="B13" s="830" t="s">
        <v>790</v>
      </c>
      <c r="C13" s="828" t="s">
        <v>791</v>
      </c>
      <c r="D13" s="831">
        <v>3.36</v>
      </c>
      <c r="E13" s="825"/>
      <c r="H13" s="832"/>
      <c r="L13" s="840"/>
      <c r="M13" s="837"/>
      <c r="N13" s="837"/>
      <c r="O13" s="837"/>
      <c r="P13" s="837"/>
      <c r="Q13" s="838"/>
      <c r="R13" s="839"/>
    </row>
    <row r="14" spans="1:18" ht="15.6">
      <c r="A14" s="827">
        <v>4</v>
      </c>
      <c r="B14" s="830" t="s">
        <v>792</v>
      </c>
      <c r="C14" s="828" t="s">
        <v>793</v>
      </c>
      <c r="D14" s="831">
        <v>2.92</v>
      </c>
      <c r="E14" s="825"/>
      <c r="H14" s="832"/>
      <c r="L14" s="841"/>
      <c r="M14" s="842"/>
      <c r="N14" s="842"/>
      <c r="O14" s="842"/>
      <c r="P14" s="842"/>
      <c r="Q14" s="842"/>
      <c r="R14" s="842"/>
    </row>
    <row r="15" spans="1:18" ht="15.6">
      <c r="A15" s="827">
        <v>5</v>
      </c>
      <c r="B15" s="830" t="s">
        <v>794</v>
      </c>
      <c r="C15" s="828" t="s">
        <v>795</v>
      </c>
      <c r="D15" s="831">
        <v>1.92</v>
      </c>
      <c r="E15" s="825"/>
      <c r="H15" s="832"/>
      <c r="L15" s="843"/>
      <c r="M15" s="844"/>
      <c r="N15" s="844"/>
      <c r="O15" s="844"/>
      <c r="P15" s="844"/>
      <c r="Q15" s="845"/>
      <c r="R15" s="846"/>
    </row>
    <row r="16" spans="1:18" ht="15.6">
      <c r="A16" s="827">
        <v>6</v>
      </c>
      <c r="B16" s="830" t="s">
        <v>796</v>
      </c>
      <c r="C16" s="847" t="s">
        <v>797</v>
      </c>
      <c r="D16" s="831">
        <v>2.0499999999999998</v>
      </c>
      <c r="E16" s="825"/>
      <c r="H16" s="832"/>
      <c r="I16" s="815"/>
      <c r="J16" s="815"/>
      <c r="L16" s="843"/>
      <c r="M16" s="844"/>
      <c r="N16" s="844"/>
      <c r="O16" s="844"/>
      <c r="P16" s="844"/>
      <c r="Q16" s="845"/>
      <c r="R16" s="846"/>
    </row>
    <row r="17" spans="1:20" ht="15.6">
      <c r="A17" s="827">
        <v>7</v>
      </c>
      <c r="B17" s="830" t="s">
        <v>798</v>
      </c>
      <c r="C17" s="828" t="s">
        <v>799</v>
      </c>
      <c r="D17" s="831">
        <v>3.1</v>
      </c>
      <c r="E17" s="825"/>
      <c r="H17" s="832"/>
      <c r="I17" s="815"/>
      <c r="J17" s="815"/>
      <c r="L17" s="843"/>
      <c r="M17" s="844"/>
      <c r="N17" s="844"/>
      <c r="O17" s="844"/>
      <c r="P17" s="844"/>
      <c r="Q17" s="845"/>
      <c r="R17" s="846"/>
    </row>
    <row r="18" spans="1:20" ht="15.6">
      <c r="A18" s="827">
        <v>8</v>
      </c>
      <c r="B18" s="830" t="s">
        <v>800</v>
      </c>
      <c r="C18" s="828" t="s">
        <v>801</v>
      </c>
      <c r="D18" s="831">
        <v>1.54</v>
      </c>
      <c r="E18" s="825"/>
      <c r="H18" s="832"/>
      <c r="I18" s="815"/>
      <c r="J18" s="815"/>
      <c r="L18" s="843"/>
      <c r="M18" s="844"/>
      <c r="N18" s="844"/>
      <c r="O18" s="844"/>
      <c r="P18" s="844"/>
      <c r="Q18" s="845"/>
      <c r="R18" s="846"/>
    </row>
    <row r="19" spans="1:20" ht="15.6">
      <c r="A19" s="827">
        <v>9</v>
      </c>
      <c r="B19" s="830" t="s">
        <v>802</v>
      </c>
      <c r="C19" s="828" t="s">
        <v>803</v>
      </c>
      <c r="D19" s="831">
        <v>1.85</v>
      </c>
      <c r="E19" s="825"/>
      <c r="H19" s="832"/>
      <c r="I19" s="815"/>
      <c r="J19" s="815"/>
      <c r="L19" s="843"/>
      <c r="M19" s="844"/>
      <c r="N19" s="844"/>
      <c r="O19" s="844"/>
      <c r="P19" s="844"/>
      <c r="Q19" s="845"/>
      <c r="R19" s="846"/>
    </row>
    <row r="20" spans="1:20" ht="15.6">
      <c r="A20" s="827">
        <v>10</v>
      </c>
      <c r="B20" s="830" t="s">
        <v>804</v>
      </c>
      <c r="C20" s="828" t="s">
        <v>805</v>
      </c>
      <c r="D20" s="831">
        <v>1.47</v>
      </c>
      <c r="E20" s="825"/>
      <c r="H20" s="832"/>
      <c r="I20" s="815"/>
      <c r="J20" s="815"/>
      <c r="L20" s="848"/>
      <c r="M20" s="849"/>
      <c r="N20" s="849"/>
      <c r="O20" s="849"/>
      <c r="P20" s="849"/>
      <c r="Q20" s="850"/>
      <c r="R20" s="851"/>
    </row>
    <row r="21" spans="1:20" ht="15.6">
      <c r="A21" s="827"/>
      <c r="B21" s="828"/>
      <c r="C21" s="828"/>
      <c r="D21" s="831"/>
      <c r="E21" s="825"/>
      <c r="H21" s="832"/>
      <c r="I21" s="815"/>
      <c r="J21" s="815"/>
      <c r="L21" s="848"/>
      <c r="M21" s="849"/>
      <c r="N21" s="849"/>
      <c r="O21" s="849"/>
      <c r="P21" s="849"/>
      <c r="Q21" s="850"/>
      <c r="R21" s="851"/>
    </row>
    <row r="22" spans="1:20" ht="15.6">
      <c r="A22" s="852"/>
      <c r="B22" s="830" t="s">
        <v>806</v>
      </c>
      <c r="C22" s="828"/>
      <c r="D22" s="831"/>
      <c r="E22" s="825"/>
      <c r="H22" s="832"/>
      <c r="I22" s="853"/>
      <c r="J22" s="815"/>
      <c r="L22" s="848"/>
      <c r="M22" s="849"/>
      <c r="N22" s="849"/>
      <c r="O22" s="849"/>
      <c r="P22" s="849"/>
      <c r="Q22" s="850"/>
      <c r="R22" s="851"/>
    </row>
    <row r="23" spans="1:20" ht="15.6">
      <c r="A23" s="827">
        <v>11</v>
      </c>
      <c r="B23" s="830" t="s">
        <v>807</v>
      </c>
      <c r="C23" s="828" t="s">
        <v>808</v>
      </c>
      <c r="D23" s="831">
        <v>1.75</v>
      </c>
      <c r="E23" s="825"/>
      <c r="H23" s="832"/>
      <c r="I23" s="815"/>
      <c r="J23" s="815"/>
      <c r="L23" s="848"/>
      <c r="M23" s="854"/>
      <c r="N23" s="854"/>
      <c r="O23" s="854"/>
      <c r="P23" s="854"/>
      <c r="Q23" s="855"/>
      <c r="R23" s="856"/>
    </row>
    <row r="24" spans="1:20" ht="15.6">
      <c r="A24" s="827">
        <v>12</v>
      </c>
      <c r="B24" s="830" t="s">
        <v>809</v>
      </c>
      <c r="C24" s="828" t="s">
        <v>810</v>
      </c>
      <c r="D24" s="831">
        <v>5.25</v>
      </c>
      <c r="E24" s="825"/>
      <c r="H24" s="832"/>
      <c r="J24" s="815"/>
      <c r="L24" s="848"/>
      <c r="M24" s="849"/>
      <c r="N24" s="849"/>
      <c r="O24" s="849"/>
      <c r="P24" s="849"/>
      <c r="Q24" s="850"/>
      <c r="R24" s="851"/>
    </row>
    <row r="25" spans="1:20" ht="15.6">
      <c r="A25" s="827">
        <v>13</v>
      </c>
      <c r="B25" s="857" t="s">
        <v>811</v>
      </c>
      <c r="C25" s="858" t="s">
        <v>812</v>
      </c>
      <c r="D25" s="831">
        <v>11.43</v>
      </c>
      <c r="E25" s="825"/>
      <c r="H25" s="832"/>
      <c r="I25" s="815"/>
      <c r="J25" s="815"/>
      <c r="K25" s="859"/>
      <c r="L25" s="848"/>
      <c r="M25" s="850"/>
      <c r="N25" s="850"/>
      <c r="O25" s="850"/>
      <c r="P25" s="850"/>
      <c r="Q25" s="850"/>
    </row>
    <row r="26" spans="1:20" ht="15.6">
      <c r="A26" s="827">
        <v>14</v>
      </c>
      <c r="B26" s="857" t="s">
        <v>813</v>
      </c>
      <c r="C26" s="858" t="s">
        <v>814</v>
      </c>
      <c r="D26" s="831">
        <v>8.89</v>
      </c>
      <c r="E26" s="825"/>
      <c r="H26" s="832"/>
      <c r="I26" s="815"/>
      <c r="J26" s="815"/>
      <c r="K26" s="859"/>
      <c r="L26" s="848"/>
      <c r="M26" s="860"/>
      <c r="N26" s="860"/>
      <c r="O26" s="860"/>
      <c r="P26" s="860"/>
      <c r="Q26" s="860"/>
      <c r="R26" s="860"/>
      <c r="T26" s="861"/>
    </row>
    <row r="27" spans="1:20" ht="15.6">
      <c r="A27" s="827">
        <v>15</v>
      </c>
      <c r="B27" s="857" t="s">
        <v>815</v>
      </c>
      <c r="C27" s="858" t="s">
        <v>816</v>
      </c>
      <c r="D27" s="831">
        <v>6.15</v>
      </c>
      <c r="E27" s="825"/>
      <c r="H27" s="832"/>
      <c r="I27" s="815"/>
      <c r="J27" s="815"/>
      <c r="K27" s="859"/>
      <c r="L27" s="848"/>
      <c r="M27" s="860"/>
      <c r="N27" s="860"/>
      <c r="O27" s="860"/>
      <c r="P27" s="860"/>
      <c r="Q27" s="860"/>
      <c r="R27" s="860"/>
      <c r="T27" s="861"/>
    </row>
    <row r="28" spans="1:20" ht="15.6">
      <c r="A28" s="827">
        <v>16</v>
      </c>
      <c r="B28" s="857" t="s">
        <v>817</v>
      </c>
      <c r="C28" s="858" t="s">
        <v>818</v>
      </c>
      <c r="D28" s="831">
        <v>8.89</v>
      </c>
      <c r="E28" s="825"/>
      <c r="H28" s="832"/>
      <c r="I28" s="815"/>
      <c r="J28" s="815"/>
      <c r="K28" s="859"/>
      <c r="L28" s="848"/>
      <c r="M28" s="860"/>
      <c r="N28" s="862"/>
      <c r="O28" s="860"/>
      <c r="P28" s="860"/>
      <c r="Q28" s="863"/>
      <c r="R28" s="860"/>
      <c r="T28" s="861"/>
    </row>
    <row r="29" spans="1:20" ht="15.6">
      <c r="A29" s="827">
        <v>17</v>
      </c>
      <c r="B29" s="857" t="s">
        <v>819</v>
      </c>
      <c r="C29" s="858" t="s">
        <v>820</v>
      </c>
      <c r="D29" s="831">
        <v>4</v>
      </c>
      <c r="E29" s="825"/>
      <c r="H29" s="832"/>
      <c r="I29" s="815"/>
      <c r="J29" s="815"/>
      <c r="K29" s="859"/>
      <c r="M29" s="860"/>
      <c r="N29" s="860"/>
      <c r="O29" s="860"/>
      <c r="P29" s="860"/>
      <c r="Q29" s="860"/>
      <c r="R29" s="860"/>
      <c r="T29" s="861"/>
    </row>
    <row r="30" spans="1:20" ht="15.6">
      <c r="A30" s="827">
        <v>18</v>
      </c>
      <c r="B30" s="830" t="s">
        <v>821</v>
      </c>
      <c r="C30" s="828" t="s">
        <v>822</v>
      </c>
      <c r="D30" s="831">
        <v>0</v>
      </c>
      <c r="E30" s="825"/>
      <c r="H30" s="832"/>
      <c r="I30" s="815"/>
      <c r="J30" s="815"/>
      <c r="K30" s="859"/>
      <c r="M30" s="860"/>
      <c r="N30" s="860"/>
      <c r="O30" s="860"/>
      <c r="P30" s="860"/>
      <c r="Q30" s="860"/>
      <c r="R30" s="860"/>
    </row>
    <row r="31" spans="1:20" ht="15.6">
      <c r="A31" s="827">
        <v>19</v>
      </c>
      <c r="B31" s="830" t="s">
        <v>823</v>
      </c>
      <c r="C31" s="828" t="s">
        <v>824</v>
      </c>
      <c r="D31" s="831">
        <v>0</v>
      </c>
      <c r="E31" s="825"/>
      <c r="H31" s="832"/>
      <c r="I31" s="815"/>
      <c r="J31" s="815"/>
      <c r="M31" s="860"/>
      <c r="N31" s="860"/>
      <c r="O31" s="860"/>
      <c r="P31" s="860"/>
      <c r="Q31" s="860"/>
      <c r="R31" s="860"/>
    </row>
    <row r="32" spans="1:20" ht="15.6">
      <c r="A32" s="827">
        <v>20</v>
      </c>
      <c r="B32" s="830" t="s">
        <v>825</v>
      </c>
      <c r="C32" s="828" t="s">
        <v>826</v>
      </c>
      <c r="D32" s="831">
        <v>0</v>
      </c>
      <c r="E32" s="825"/>
      <c r="H32" s="832"/>
      <c r="I32" s="815"/>
      <c r="J32" s="815"/>
      <c r="M32" s="860"/>
      <c r="N32" s="860"/>
      <c r="O32" s="860"/>
      <c r="P32" s="860"/>
      <c r="Q32" s="860"/>
      <c r="R32" s="860"/>
    </row>
    <row r="33" spans="1:20" ht="15.6">
      <c r="A33" s="827">
        <v>21</v>
      </c>
      <c r="B33" s="830" t="s">
        <v>827</v>
      </c>
      <c r="C33" s="828" t="s">
        <v>828</v>
      </c>
      <c r="D33" s="831">
        <v>25</v>
      </c>
      <c r="E33" s="825"/>
      <c r="H33" s="832"/>
      <c r="I33" s="815"/>
      <c r="J33" s="815"/>
      <c r="K33" s="859"/>
      <c r="M33" s="860"/>
      <c r="N33" s="860"/>
      <c r="O33" s="860"/>
      <c r="P33" s="860"/>
      <c r="Q33" s="860"/>
      <c r="R33" s="860"/>
    </row>
    <row r="34" spans="1:20" ht="15.6">
      <c r="A34" s="827">
        <v>22</v>
      </c>
      <c r="B34" s="830" t="s">
        <v>829</v>
      </c>
      <c r="C34" s="828" t="s">
        <v>830</v>
      </c>
      <c r="D34" s="831">
        <v>2.5</v>
      </c>
      <c r="E34" s="825"/>
      <c r="H34" s="832"/>
      <c r="I34" s="815"/>
      <c r="J34" s="815"/>
      <c r="K34" s="859"/>
      <c r="M34" s="860"/>
      <c r="N34" s="860"/>
      <c r="O34" s="860"/>
      <c r="P34" s="860"/>
      <c r="Q34" s="860"/>
      <c r="R34" s="860"/>
    </row>
    <row r="35" spans="1:20" ht="15.6">
      <c r="A35" s="827"/>
      <c r="B35" s="828"/>
      <c r="C35" s="828"/>
      <c r="D35" s="831"/>
      <c r="E35" s="825"/>
      <c r="H35" s="832"/>
      <c r="I35" s="815"/>
      <c r="J35" s="815"/>
      <c r="K35" s="859"/>
      <c r="M35" s="860"/>
      <c r="N35" s="860"/>
      <c r="O35" s="860"/>
      <c r="P35" s="860"/>
      <c r="Q35" s="860"/>
      <c r="R35" s="860"/>
    </row>
    <row r="36" spans="1:20" ht="15.6">
      <c r="A36" s="827"/>
      <c r="B36" s="830" t="s">
        <v>831</v>
      </c>
      <c r="C36" s="828"/>
      <c r="D36" s="831"/>
      <c r="E36" s="825"/>
      <c r="H36" s="832"/>
      <c r="I36" s="815"/>
      <c r="J36" s="815"/>
      <c r="K36" s="859"/>
      <c r="M36" s="860"/>
      <c r="N36" s="860"/>
      <c r="O36" s="860"/>
      <c r="P36" s="860"/>
      <c r="Q36" s="860"/>
      <c r="R36" s="860"/>
    </row>
    <row r="37" spans="1:20" ht="15.6">
      <c r="A37" s="827">
        <v>1</v>
      </c>
      <c r="B37" s="830" t="s">
        <v>832</v>
      </c>
      <c r="C37" s="828" t="s">
        <v>833</v>
      </c>
      <c r="D37" s="831">
        <v>1.85</v>
      </c>
      <c r="E37" s="825"/>
      <c r="H37" s="832"/>
      <c r="I37" s="815"/>
      <c r="J37" s="815"/>
      <c r="K37" s="859"/>
      <c r="M37" s="860"/>
      <c r="N37" s="860"/>
      <c r="O37" s="860"/>
      <c r="P37" s="860"/>
      <c r="Q37" s="860"/>
      <c r="R37" s="860"/>
    </row>
    <row r="38" spans="1:20" ht="15.6">
      <c r="A38" s="827">
        <f>+A37+1</f>
        <v>2</v>
      </c>
      <c r="B38" s="864">
        <v>302</v>
      </c>
      <c r="C38" s="828" t="s">
        <v>834</v>
      </c>
      <c r="D38" s="865">
        <v>1.85</v>
      </c>
      <c r="E38" s="825"/>
      <c r="H38" s="832"/>
      <c r="I38" s="815"/>
      <c r="J38" s="815"/>
      <c r="K38" s="859"/>
      <c r="M38" s="850"/>
      <c r="N38" s="850"/>
      <c r="O38" s="850"/>
      <c r="P38" s="850"/>
      <c r="Q38" s="850"/>
    </row>
    <row r="39" spans="1:20" ht="15.6">
      <c r="A39" s="827">
        <f t="shared" ref="A39:A42" si="0">+A38+1</f>
        <v>3</v>
      </c>
      <c r="B39" s="830" t="s">
        <v>835</v>
      </c>
      <c r="C39" s="828" t="s">
        <v>836</v>
      </c>
      <c r="D39" s="831"/>
      <c r="E39" s="825"/>
      <c r="M39" s="850"/>
      <c r="N39" s="850"/>
      <c r="O39" s="850"/>
      <c r="P39" s="850"/>
      <c r="Q39" s="850"/>
      <c r="R39" s="850"/>
      <c r="T39" s="866"/>
    </row>
    <row r="40" spans="1:20" ht="15.6">
      <c r="A40" s="827">
        <f t="shared" si="0"/>
        <v>4</v>
      </c>
      <c r="B40" s="830"/>
      <c r="C40" s="828" t="s">
        <v>837</v>
      </c>
      <c r="D40" s="831">
        <f>0.2*100</f>
        <v>20</v>
      </c>
      <c r="E40" s="825"/>
      <c r="M40" s="850"/>
      <c r="N40" s="850"/>
      <c r="O40" s="850"/>
      <c r="P40" s="850"/>
      <c r="Q40" s="850"/>
      <c r="R40" s="850"/>
      <c r="T40" s="866"/>
    </row>
    <row r="41" spans="1:20" ht="15.6">
      <c r="A41" s="827">
        <f t="shared" si="0"/>
        <v>5</v>
      </c>
      <c r="B41" s="830"/>
      <c r="C41" s="828" t="s">
        <v>838</v>
      </c>
      <c r="D41" s="831">
        <f>0.142857142857143*100</f>
        <v>14.285714285714299</v>
      </c>
      <c r="E41" s="825"/>
      <c r="H41" s="832"/>
      <c r="I41" s="815"/>
      <c r="J41" s="815"/>
      <c r="M41" s="850"/>
      <c r="N41" s="850"/>
      <c r="O41" s="850"/>
      <c r="P41" s="850"/>
      <c r="Q41" s="850"/>
      <c r="R41" s="850"/>
    </row>
    <row r="42" spans="1:20" ht="15.6">
      <c r="A42" s="827">
        <f t="shared" si="0"/>
        <v>6</v>
      </c>
      <c r="B42" s="830"/>
      <c r="C42" s="828" t="s">
        <v>839</v>
      </c>
      <c r="D42" s="831">
        <v>10</v>
      </c>
      <c r="E42" s="825"/>
      <c r="H42" s="832"/>
      <c r="I42" s="815"/>
      <c r="J42" s="815"/>
      <c r="M42" s="850"/>
      <c r="N42" s="850"/>
      <c r="O42" s="850"/>
      <c r="P42" s="850"/>
      <c r="Q42" s="850"/>
      <c r="R42" s="850"/>
    </row>
    <row r="43" spans="1:20" ht="15.6">
      <c r="A43" s="827">
        <v>7</v>
      </c>
      <c r="B43" s="867"/>
      <c r="C43" s="828" t="s">
        <v>840</v>
      </c>
      <c r="D43" s="831">
        <v>2.92</v>
      </c>
      <c r="E43" s="825"/>
      <c r="H43" s="832"/>
      <c r="I43" s="815"/>
      <c r="J43" s="815"/>
      <c r="M43" s="850"/>
      <c r="N43" s="850"/>
      <c r="O43" s="850"/>
      <c r="P43" s="850"/>
      <c r="Q43" s="850"/>
      <c r="R43" s="850"/>
    </row>
    <row r="44" spans="1:20" ht="15.6">
      <c r="A44" s="868"/>
      <c r="B44" s="828"/>
      <c r="C44" s="864" t="s">
        <v>841</v>
      </c>
      <c r="D44" s="869" t="s">
        <v>842</v>
      </c>
      <c r="E44" s="825"/>
      <c r="H44" s="832"/>
      <c r="I44" s="815"/>
      <c r="J44" s="815"/>
      <c r="M44" s="850"/>
      <c r="N44" s="850"/>
      <c r="O44" s="850"/>
      <c r="P44" s="850"/>
      <c r="Q44" s="850"/>
      <c r="R44" s="850"/>
    </row>
    <row r="45" spans="1:20" ht="15.6">
      <c r="A45" s="870"/>
      <c r="B45" s="871"/>
      <c r="C45" s="872"/>
      <c r="D45" s="872"/>
      <c r="E45" s="825"/>
    </row>
    <row r="46" spans="1:20" ht="15.6">
      <c r="A46" s="868"/>
      <c r="B46" s="827"/>
      <c r="C46" s="872"/>
      <c r="D46" s="872"/>
      <c r="E46" s="825"/>
    </row>
    <row r="47" spans="1:20" ht="15.6">
      <c r="A47" s="871"/>
      <c r="B47" s="873" t="s">
        <v>843</v>
      </c>
      <c r="C47" s="873"/>
      <c r="D47" s="874"/>
      <c r="E47" s="825"/>
      <c r="H47" s="832"/>
      <c r="I47" s="815"/>
      <c r="J47" s="815"/>
    </row>
    <row r="48" spans="1:20" ht="15.6">
      <c r="A48" s="871"/>
      <c r="B48" s="873" t="s">
        <v>844</v>
      </c>
      <c r="C48" s="873"/>
      <c r="D48" s="874"/>
      <c r="E48" s="825"/>
      <c r="H48" s="832"/>
      <c r="I48" s="815"/>
      <c r="J48" s="815"/>
    </row>
    <row r="49" spans="1:11" ht="15.6">
      <c r="A49" s="871"/>
      <c r="B49" s="873" t="s">
        <v>845</v>
      </c>
      <c r="C49" s="873"/>
      <c r="D49" s="874"/>
      <c r="E49" s="825"/>
      <c r="H49" s="832"/>
      <c r="I49" s="815"/>
      <c r="J49" s="815"/>
    </row>
    <row r="50" spans="1:11" ht="15.6">
      <c r="A50" s="871"/>
      <c r="B50" s="873" t="s">
        <v>846</v>
      </c>
      <c r="C50" s="873"/>
      <c r="D50" s="874"/>
      <c r="E50" s="825"/>
      <c r="H50" s="832"/>
      <c r="I50" s="815"/>
      <c r="J50" s="815"/>
      <c r="K50" s="815" t="s">
        <v>22</v>
      </c>
    </row>
    <row r="51" spans="1:11" ht="15.6">
      <c r="A51" s="871"/>
      <c r="B51" s="873" t="s">
        <v>847</v>
      </c>
      <c r="C51" s="873"/>
      <c r="D51" s="874"/>
      <c r="E51" s="825"/>
      <c r="H51" s="832"/>
      <c r="I51" s="815"/>
      <c r="J51" s="815"/>
      <c r="K51" s="859"/>
    </row>
    <row r="52" spans="1:11" ht="15.6">
      <c r="A52" s="871"/>
      <c r="B52" s="873" t="s">
        <v>848</v>
      </c>
      <c r="C52" s="873"/>
      <c r="D52" s="874"/>
      <c r="E52" s="825"/>
      <c r="H52" s="832"/>
      <c r="I52" s="815"/>
      <c r="J52" s="815"/>
      <c r="K52" s="859"/>
    </row>
    <row r="53" spans="1:11" ht="15.6">
      <c r="A53" s="871"/>
      <c r="B53" s="875"/>
      <c r="C53" s="876"/>
      <c r="D53" s="871"/>
      <c r="E53" s="825"/>
      <c r="H53" s="832"/>
      <c r="I53" s="815"/>
      <c r="J53" s="815"/>
      <c r="K53" s="859"/>
    </row>
    <row r="54" spans="1:11" ht="15.6">
      <c r="A54" s="871"/>
      <c r="B54" s="828" t="s">
        <v>849</v>
      </c>
      <c r="C54" s="876"/>
      <c r="D54" s="871"/>
      <c r="E54" s="825"/>
      <c r="H54" s="832"/>
      <c r="I54" s="815"/>
      <c r="J54" s="815"/>
    </row>
    <row r="55" spans="1:11">
      <c r="J55" s="877"/>
    </row>
    <row r="56" spans="1:11">
      <c r="J56" s="877"/>
    </row>
    <row r="57" spans="1:11">
      <c r="J57" s="877"/>
    </row>
    <row r="58" spans="1:11">
      <c r="J58" s="877"/>
    </row>
    <row r="59" spans="1:11">
      <c r="J59" s="877"/>
    </row>
    <row r="60" spans="1:11">
      <c r="J60" s="877"/>
    </row>
    <row r="61" spans="1:11">
      <c r="J61" s="877"/>
    </row>
    <row r="62" spans="1:11">
      <c r="J62" s="877"/>
    </row>
    <row r="63" spans="1:11">
      <c r="J63" s="877"/>
    </row>
    <row r="64" spans="1:11">
      <c r="J64" s="877"/>
    </row>
    <row r="65" spans="10:10">
      <c r="J65" s="877"/>
    </row>
    <row r="66" spans="10:10">
      <c r="J66" s="877"/>
    </row>
    <row r="67" spans="10:10">
      <c r="J67" s="877"/>
    </row>
    <row r="68" spans="10:10">
      <c r="J68" s="877"/>
    </row>
    <row r="69" spans="10:10">
      <c r="J69" s="877"/>
    </row>
    <row r="70" spans="10:10">
      <c r="J70" s="877"/>
    </row>
    <row r="71" spans="10:10">
      <c r="J71" s="877"/>
    </row>
    <row r="72" spans="10:10">
      <c r="J72" s="877"/>
    </row>
    <row r="73" spans="10:10">
      <c r="J73" s="877"/>
    </row>
    <row r="74" spans="10:10">
      <c r="J74" s="877"/>
    </row>
    <row r="75" spans="10:10">
      <c r="J75" s="877"/>
    </row>
    <row r="76" spans="10:10">
      <c r="J76" s="877"/>
    </row>
    <row r="77" spans="10:10">
      <c r="J77" s="877"/>
    </row>
    <row r="78" spans="10:10">
      <c r="J78" s="877"/>
    </row>
    <row r="79" spans="10:10">
      <c r="J79" s="877"/>
    </row>
    <row r="80" spans="10:10">
      <c r="J80" s="877"/>
    </row>
    <row r="81" spans="10:10">
      <c r="J81" s="877"/>
    </row>
    <row r="82" spans="10:10">
      <c r="J82" s="877"/>
    </row>
    <row r="83" spans="10:10">
      <c r="J83" s="877"/>
    </row>
    <row r="84" spans="10:10">
      <c r="J84" s="877"/>
    </row>
    <row r="85" spans="10:10">
      <c r="J85" s="877"/>
    </row>
    <row r="86" spans="10:10">
      <c r="J86" s="877"/>
    </row>
    <row r="87" spans="10:10">
      <c r="J87" s="877"/>
    </row>
    <row r="88" spans="10:10">
      <c r="J88" s="877"/>
    </row>
    <row r="89" spans="10:10">
      <c r="J89" s="877"/>
    </row>
    <row r="90" spans="10:10">
      <c r="J90" s="877"/>
    </row>
    <row r="91" spans="10:10">
      <c r="J91" s="877"/>
    </row>
  </sheetData>
  <mergeCells count="2">
    <mergeCell ref="A5:E5"/>
    <mergeCell ref="A6:E6"/>
  </mergeCells>
  <pageMargins left="0.7" right="0.7" top="0.75" bottom="0.75" header="0.3" footer="0.3"/>
  <pageSetup scale="6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40D6D-7589-4493-96CA-546582140733}">
  <dimension ref="A1:AD135"/>
  <sheetViews>
    <sheetView view="pageBreakPreview" zoomScale="80" zoomScaleNormal="100" zoomScaleSheetLayoutView="80" workbookViewId="0"/>
  </sheetViews>
  <sheetFormatPr defaultRowHeight="15"/>
  <cols>
    <col min="1" max="1" width="5.81640625" customWidth="1"/>
    <col min="4" max="4" width="10.81640625" customWidth="1"/>
    <col min="5" max="5" width="10.54296875" customWidth="1"/>
    <col min="10" max="10" width="10.1796875" customWidth="1"/>
    <col min="11" max="11" width="10.453125" customWidth="1"/>
    <col min="12" max="12" width="9.81640625" customWidth="1"/>
    <col min="20" max="20" width="9.81640625" customWidth="1"/>
    <col min="23" max="23" width="10.54296875" customWidth="1"/>
    <col min="25" max="25" width="10.81640625" customWidth="1"/>
  </cols>
  <sheetData>
    <row r="1" spans="1:30" ht="15.6">
      <c r="A1" s="878" t="s">
        <v>0</v>
      </c>
      <c r="B1" s="879"/>
      <c r="C1" s="879"/>
      <c r="D1" s="879"/>
      <c r="E1" s="879"/>
      <c r="F1" s="879"/>
      <c r="G1" s="879"/>
      <c r="H1" s="879"/>
      <c r="I1" s="879"/>
      <c r="J1" s="879"/>
      <c r="K1" s="879"/>
      <c r="L1" s="879"/>
      <c r="M1" s="879"/>
      <c r="N1" s="879"/>
      <c r="O1" s="879"/>
      <c r="P1" s="879"/>
      <c r="Q1" s="879"/>
      <c r="R1" s="879"/>
      <c r="S1" s="879"/>
      <c r="T1" s="879"/>
      <c r="U1" s="879"/>
      <c r="V1" s="879"/>
      <c r="W1" s="879"/>
      <c r="X1" s="879"/>
      <c r="Y1" s="879"/>
      <c r="Z1" s="879"/>
      <c r="AA1" s="879"/>
      <c r="AB1" s="879"/>
      <c r="AC1" s="879"/>
      <c r="AD1" s="879"/>
    </row>
    <row r="2" spans="1:30" ht="15.6">
      <c r="A2" s="1162" t="s">
        <v>982</v>
      </c>
      <c r="B2" s="1162"/>
      <c r="C2" s="1162"/>
      <c r="D2" s="1162"/>
      <c r="E2" s="1162"/>
      <c r="F2" s="1162"/>
      <c r="G2" s="1162"/>
      <c r="H2" s="1162"/>
      <c r="I2" s="1162"/>
      <c r="J2" s="1162"/>
      <c r="K2" s="1162"/>
      <c r="L2" s="1162"/>
      <c r="M2" s="1162"/>
      <c r="N2" s="1162"/>
      <c r="O2" s="1162"/>
      <c r="P2" s="1162"/>
      <c r="Q2" s="1162"/>
      <c r="R2" s="1162"/>
      <c r="S2" s="1162"/>
      <c r="T2" s="1162"/>
      <c r="U2" s="1162"/>
      <c r="V2" s="1162"/>
      <c r="W2" s="1162"/>
      <c r="X2" s="1162"/>
      <c r="Y2" s="1162"/>
      <c r="Z2" s="1162"/>
      <c r="AA2" s="1162"/>
      <c r="AB2" s="1162"/>
      <c r="AC2" s="879"/>
      <c r="AD2" s="879"/>
    </row>
    <row r="3" spans="1:30" ht="15.6">
      <c r="A3" s="1163" t="str">
        <f>+'1 - Revenue Credits'!A2:D2</f>
        <v>NextEra Energy Transmission New York, Inc.</v>
      </c>
      <c r="B3" s="1163"/>
      <c r="C3" s="1163"/>
      <c r="D3" s="1163"/>
      <c r="E3" s="1163"/>
      <c r="F3" s="1163"/>
      <c r="G3" s="1163"/>
      <c r="H3" s="1163"/>
      <c r="I3" s="1163"/>
      <c r="J3" s="1163"/>
      <c r="K3" s="1163"/>
      <c r="L3" s="1163"/>
      <c r="M3" s="1163"/>
      <c r="N3" s="1163"/>
      <c r="O3" s="1163"/>
      <c r="P3" s="1163"/>
      <c r="Q3" s="1163"/>
      <c r="R3" s="1163"/>
      <c r="S3" s="1163"/>
      <c r="T3" s="1163"/>
      <c r="U3" s="1163"/>
      <c r="V3" s="1163"/>
      <c r="W3" s="1163"/>
      <c r="X3" s="1163"/>
      <c r="Y3" s="1163"/>
      <c r="Z3" s="1163"/>
      <c r="AA3" s="1163"/>
      <c r="AB3" s="1163"/>
      <c r="AC3" s="879"/>
      <c r="AD3" s="879"/>
    </row>
    <row r="4" spans="1:30" ht="15.6">
      <c r="A4" s="878"/>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9"/>
      <c r="AD4" s="879"/>
    </row>
    <row r="5" spans="1:30" ht="15.6">
      <c r="A5" s="879"/>
      <c r="B5" s="878"/>
      <c r="C5" s="878"/>
      <c r="D5" s="878"/>
      <c r="E5" s="878"/>
      <c r="F5" s="878"/>
      <c r="G5" s="878"/>
      <c r="H5" s="878"/>
      <c r="I5" s="878"/>
      <c r="J5" s="878"/>
      <c r="K5" s="878"/>
      <c r="L5" s="878"/>
      <c r="M5" s="878"/>
      <c r="N5" s="878"/>
      <c r="O5" s="878"/>
      <c r="P5" s="878"/>
      <c r="Q5" s="878"/>
      <c r="R5" s="878"/>
      <c r="S5" s="878"/>
      <c r="T5" s="878"/>
      <c r="U5" s="878"/>
      <c r="V5" s="878"/>
      <c r="W5" s="878"/>
      <c r="X5" s="878"/>
      <c r="Y5" s="878"/>
      <c r="Z5" s="878"/>
      <c r="AA5" s="878"/>
      <c r="AB5" s="878"/>
      <c r="AC5" s="879"/>
      <c r="AD5" s="879"/>
    </row>
    <row r="6" spans="1:30" ht="15.6">
      <c r="A6" s="880" t="s">
        <v>850</v>
      </c>
      <c r="B6" s="878"/>
      <c r="C6" s="878"/>
      <c r="D6" s="878"/>
      <c r="E6" s="878"/>
      <c r="F6" s="878"/>
      <c r="G6" s="878"/>
      <c r="H6" s="878"/>
      <c r="I6" s="878"/>
      <c r="J6" s="878"/>
      <c r="K6" s="878"/>
      <c r="L6" s="878"/>
      <c r="M6" s="878"/>
      <c r="N6" s="878"/>
      <c r="O6" s="878"/>
      <c r="P6" s="878"/>
      <c r="Q6" s="878"/>
      <c r="R6" s="878"/>
      <c r="S6" s="878"/>
      <c r="T6" s="878"/>
      <c r="U6" s="878"/>
      <c r="V6" s="878"/>
      <c r="W6" s="878"/>
      <c r="X6" s="878"/>
      <c r="Y6" s="878"/>
      <c r="Z6" s="878"/>
      <c r="AA6" s="878"/>
      <c r="AB6" s="878"/>
      <c r="AC6" s="879"/>
      <c r="AD6" s="879"/>
    </row>
    <row r="7" spans="1:30" ht="15.6">
      <c r="A7" s="878"/>
      <c r="B7" s="881" t="s">
        <v>174</v>
      </c>
      <c r="C7" s="881" t="s">
        <v>175</v>
      </c>
      <c r="D7" s="882" t="s">
        <v>176</v>
      </c>
      <c r="E7" s="881" t="s">
        <v>378</v>
      </c>
      <c r="F7" s="882" t="s">
        <v>379</v>
      </c>
      <c r="G7" s="881" t="s">
        <v>380</v>
      </c>
      <c r="H7" s="882" t="s">
        <v>381</v>
      </c>
      <c r="I7" s="881" t="s">
        <v>382</v>
      </c>
      <c r="J7" s="882" t="s">
        <v>574</v>
      </c>
      <c r="K7" s="881" t="s">
        <v>575</v>
      </c>
      <c r="L7" s="882" t="s">
        <v>576</v>
      </c>
      <c r="M7" s="881" t="s">
        <v>577</v>
      </c>
      <c r="N7" s="882" t="s">
        <v>578</v>
      </c>
      <c r="O7" s="881" t="s">
        <v>579</v>
      </c>
      <c r="P7" s="882" t="s">
        <v>580</v>
      </c>
      <c r="Q7" s="881" t="s">
        <v>581</v>
      </c>
      <c r="R7" s="881" t="s">
        <v>582</v>
      </c>
      <c r="S7" s="882" t="s">
        <v>851</v>
      </c>
      <c r="T7" s="882" t="s">
        <v>852</v>
      </c>
      <c r="U7" s="882" t="s">
        <v>853</v>
      </c>
      <c r="V7" s="882" t="s">
        <v>854</v>
      </c>
      <c r="W7" s="882" t="s">
        <v>855</v>
      </c>
      <c r="X7" s="882" t="s">
        <v>856</v>
      </c>
      <c r="Y7" s="882" t="s">
        <v>857</v>
      </c>
      <c r="Z7" s="882" t="s">
        <v>858</v>
      </c>
      <c r="AA7" s="882" t="s">
        <v>859</v>
      </c>
      <c r="AB7" s="882" t="s">
        <v>860</v>
      </c>
      <c r="AC7" s="879"/>
      <c r="AD7" s="879"/>
    </row>
    <row r="8" spans="1:30" ht="15.6">
      <c r="A8" s="878"/>
      <c r="B8" s="879"/>
      <c r="C8" s="879"/>
      <c r="D8" s="879"/>
      <c r="E8" s="879"/>
      <c r="F8" s="879"/>
      <c r="G8" s="879"/>
      <c r="H8" s="879"/>
      <c r="I8" s="879"/>
      <c r="J8" s="883" t="s">
        <v>861</v>
      </c>
      <c r="K8" s="884" t="s">
        <v>862</v>
      </c>
      <c r="L8" s="884" t="s">
        <v>863</v>
      </c>
      <c r="M8" s="884" t="s">
        <v>864</v>
      </c>
      <c r="N8" s="884" t="s">
        <v>865</v>
      </c>
      <c r="O8" s="884" t="s">
        <v>866</v>
      </c>
      <c r="P8" s="884" t="s">
        <v>867</v>
      </c>
      <c r="Q8" s="884" t="s">
        <v>868</v>
      </c>
      <c r="R8" s="884" t="s">
        <v>869</v>
      </c>
      <c r="S8" s="884" t="s">
        <v>870</v>
      </c>
      <c r="T8" s="884" t="s">
        <v>871</v>
      </c>
      <c r="U8" s="884" t="s">
        <v>872</v>
      </c>
      <c r="V8" s="884" t="s">
        <v>861</v>
      </c>
      <c r="W8" s="879"/>
      <c r="X8" s="879"/>
      <c r="Y8" s="879"/>
      <c r="Z8" s="879"/>
      <c r="AA8" s="879"/>
      <c r="AB8" s="879"/>
      <c r="AC8" s="879"/>
      <c r="AD8" s="879"/>
    </row>
    <row r="9" spans="1:30" ht="73.5" customHeight="1">
      <c r="A9" s="885" t="s">
        <v>31</v>
      </c>
      <c r="B9" s="886" t="s">
        <v>649</v>
      </c>
      <c r="C9" s="887" t="s">
        <v>873</v>
      </c>
      <c r="D9" s="887" t="s">
        <v>874</v>
      </c>
      <c r="E9" s="887" t="s">
        <v>875</v>
      </c>
      <c r="F9" s="887" t="s">
        <v>876</v>
      </c>
      <c r="G9" s="888" t="s">
        <v>877</v>
      </c>
      <c r="H9" s="888" t="s">
        <v>878</v>
      </c>
      <c r="I9" s="888" t="s">
        <v>879</v>
      </c>
      <c r="J9" s="889" t="s">
        <v>880</v>
      </c>
      <c r="K9" s="890" t="s">
        <v>881</v>
      </c>
      <c r="L9" s="890" t="s">
        <v>881</v>
      </c>
      <c r="M9" s="890" t="s">
        <v>881</v>
      </c>
      <c r="N9" s="890" t="s">
        <v>881</v>
      </c>
      <c r="O9" s="890" t="s">
        <v>881</v>
      </c>
      <c r="P9" s="890" t="s">
        <v>881</v>
      </c>
      <c r="Q9" s="890" t="s">
        <v>881</v>
      </c>
      <c r="R9" s="890" t="s">
        <v>881</v>
      </c>
      <c r="S9" s="890" t="s">
        <v>881</v>
      </c>
      <c r="T9" s="890" t="s">
        <v>881</v>
      </c>
      <c r="U9" s="890" t="s">
        <v>881</v>
      </c>
      <c r="V9" s="890" t="s">
        <v>881</v>
      </c>
      <c r="W9" s="888" t="s">
        <v>882</v>
      </c>
      <c r="X9" s="888" t="s">
        <v>883</v>
      </c>
      <c r="Y9" s="888" t="s">
        <v>884</v>
      </c>
      <c r="Z9" s="888" t="s">
        <v>885</v>
      </c>
      <c r="AA9" s="888" t="s">
        <v>886</v>
      </c>
      <c r="AB9" s="891" t="s">
        <v>887</v>
      </c>
      <c r="AC9" s="879"/>
      <c r="AD9" s="879"/>
    </row>
    <row r="10" spans="1:30" ht="15.6">
      <c r="A10" s="892" t="s">
        <v>276</v>
      </c>
      <c r="B10" s="893"/>
      <c r="C10" s="894"/>
      <c r="D10" s="895"/>
      <c r="E10" s="896">
        <f>IF(D10=0,0,C10/D10)</f>
        <v>0</v>
      </c>
      <c r="F10" s="895"/>
      <c r="G10" s="896">
        <f>+E10*F10</f>
        <v>0</v>
      </c>
      <c r="H10" s="897"/>
      <c r="I10" s="896">
        <f>+G10*H10</f>
        <v>0</v>
      </c>
      <c r="J10" s="894"/>
      <c r="K10" s="894"/>
      <c r="L10" s="894"/>
      <c r="M10" s="894"/>
      <c r="N10" s="894"/>
      <c r="O10" s="894"/>
      <c r="P10" s="894"/>
      <c r="Q10" s="894"/>
      <c r="R10" s="894"/>
      <c r="S10" s="894"/>
      <c r="T10" s="894"/>
      <c r="U10" s="894"/>
      <c r="V10" s="894"/>
      <c r="W10" s="898">
        <f>SUM(J10:V10)/13</f>
        <v>0</v>
      </c>
      <c r="X10" s="899"/>
      <c r="Y10" s="900">
        <f>+H10</f>
        <v>0</v>
      </c>
      <c r="Z10" s="901">
        <f>+W10*X10*Y10</f>
        <v>0</v>
      </c>
      <c r="AA10" s="895"/>
      <c r="AB10" s="902"/>
      <c r="AC10" s="879"/>
      <c r="AD10" s="879"/>
    </row>
    <row r="11" spans="1:30" ht="15.6">
      <c r="A11" s="892" t="s">
        <v>888</v>
      </c>
      <c r="B11" s="903"/>
      <c r="C11" s="904"/>
      <c r="D11" s="904"/>
      <c r="E11" s="905">
        <f t="shared" ref="E11:E20" si="0">IF(D11=0,0,C11/D11)</f>
        <v>0</v>
      </c>
      <c r="F11" s="904"/>
      <c r="G11" s="905">
        <f t="shared" ref="G11:G20" si="1">+E11*F11</f>
        <v>0</v>
      </c>
      <c r="H11" s="904"/>
      <c r="I11" s="905">
        <f t="shared" ref="I11:I20" si="2">+G11*H11</f>
        <v>0</v>
      </c>
      <c r="J11" s="904"/>
      <c r="K11" s="904"/>
      <c r="L11" s="904"/>
      <c r="M11" s="904"/>
      <c r="N11" s="904"/>
      <c r="O11" s="904"/>
      <c r="P11" s="904"/>
      <c r="Q11" s="904"/>
      <c r="R11" s="904"/>
      <c r="S11" s="904"/>
      <c r="T11" s="904"/>
      <c r="U11" s="904"/>
      <c r="V11" s="904"/>
      <c r="W11" s="906">
        <f t="shared" ref="W11:W20" si="3">SUM(J11:V11)/13</f>
        <v>0</v>
      </c>
      <c r="X11" s="907"/>
      <c r="Y11" s="906">
        <f t="shared" ref="Y11:Y20" si="4">+H11</f>
        <v>0</v>
      </c>
      <c r="Z11" s="908">
        <f t="shared" ref="Z11:Z19" si="5">+W11*X11*Y11</f>
        <v>0</v>
      </c>
      <c r="AA11" s="904"/>
      <c r="AB11" s="909"/>
      <c r="AC11" s="879"/>
      <c r="AD11" s="879"/>
    </row>
    <row r="12" spans="1:30" ht="15.6">
      <c r="A12" s="892" t="s">
        <v>889</v>
      </c>
      <c r="B12" s="903"/>
      <c r="C12" s="904"/>
      <c r="D12" s="904"/>
      <c r="E12" s="905">
        <f t="shared" si="0"/>
        <v>0</v>
      </c>
      <c r="F12" s="904"/>
      <c r="G12" s="905">
        <f t="shared" si="1"/>
        <v>0</v>
      </c>
      <c r="H12" s="904"/>
      <c r="I12" s="905">
        <f t="shared" si="2"/>
        <v>0</v>
      </c>
      <c r="J12" s="904"/>
      <c r="K12" s="904"/>
      <c r="L12" s="904"/>
      <c r="M12" s="904"/>
      <c r="N12" s="904"/>
      <c r="O12" s="904"/>
      <c r="P12" s="904"/>
      <c r="Q12" s="904"/>
      <c r="R12" s="904"/>
      <c r="S12" s="904"/>
      <c r="T12" s="904"/>
      <c r="U12" s="904"/>
      <c r="V12" s="904"/>
      <c r="W12" s="906">
        <f t="shared" si="3"/>
        <v>0</v>
      </c>
      <c r="X12" s="907"/>
      <c r="Y12" s="906">
        <f t="shared" si="4"/>
        <v>0</v>
      </c>
      <c r="Z12" s="908">
        <f t="shared" si="5"/>
        <v>0</v>
      </c>
      <c r="AA12" s="904"/>
      <c r="AB12" s="909"/>
      <c r="AC12" s="879"/>
      <c r="AD12" s="879"/>
    </row>
    <row r="13" spans="1:30" ht="15.6">
      <c r="A13" s="892"/>
      <c r="B13" s="903"/>
      <c r="C13" s="904"/>
      <c r="D13" s="904"/>
      <c r="E13" s="905">
        <f t="shared" si="0"/>
        <v>0</v>
      </c>
      <c r="F13" s="904"/>
      <c r="G13" s="905">
        <f t="shared" si="1"/>
        <v>0</v>
      </c>
      <c r="H13" s="904"/>
      <c r="I13" s="905">
        <f t="shared" si="2"/>
        <v>0</v>
      </c>
      <c r="J13" s="904"/>
      <c r="K13" s="904"/>
      <c r="L13" s="904"/>
      <c r="M13" s="904"/>
      <c r="N13" s="904"/>
      <c r="O13" s="904"/>
      <c r="P13" s="904"/>
      <c r="Q13" s="904"/>
      <c r="R13" s="904"/>
      <c r="S13" s="904"/>
      <c r="T13" s="904"/>
      <c r="U13" s="904"/>
      <c r="V13" s="904"/>
      <c r="W13" s="906">
        <f t="shared" si="3"/>
        <v>0</v>
      </c>
      <c r="X13" s="907"/>
      <c r="Y13" s="906">
        <f t="shared" si="4"/>
        <v>0</v>
      </c>
      <c r="Z13" s="908">
        <f t="shared" si="5"/>
        <v>0</v>
      </c>
      <c r="AA13" s="904"/>
      <c r="AB13" s="909"/>
      <c r="AC13" s="879"/>
      <c r="AD13" s="879"/>
    </row>
    <row r="14" spans="1:30" ht="15.6">
      <c r="A14" s="892" t="s">
        <v>277</v>
      </c>
      <c r="B14" s="903"/>
      <c r="C14" s="904"/>
      <c r="D14" s="904"/>
      <c r="E14" s="905">
        <f t="shared" si="0"/>
        <v>0</v>
      </c>
      <c r="F14" s="904"/>
      <c r="G14" s="905">
        <f t="shared" si="1"/>
        <v>0</v>
      </c>
      <c r="H14" s="904"/>
      <c r="I14" s="905">
        <f t="shared" si="2"/>
        <v>0</v>
      </c>
      <c r="J14" s="904"/>
      <c r="K14" s="904"/>
      <c r="L14" s="904"/>
      <c r="M14" s="904"/>
      <c r="N14" s="904"/>
      <c r="O14" s="904"/>
      <c r="P14" s="904"/>
      <c r="Q14" s="904"/>
      <c r="R14" s="904"/>
      <c r="S14" s="904"/>
      <c r="T14" s="904"/>
      <c r="U14" s="904"/>
      <c r="V14" s="904"/>
      <c r="W14" s="906">
        <f t="shared" si="3"/>
        <v>0</v>
      </c>
      <c r="X14" s="907"/>
      <c r="Y14" s="906">
        <f t="shared" si="4"/>
        <v>0</v>
      </c>
      <c r="Z14" s="908">
        <f t="shared" si="5"/>
        <v>0</v>
      </c>
      <c r="AA14" s="904"/>
      <c r="AB14" s="909"/>
      <c r="AC14" s="879"/>
      <c r="AD14" s="879"/>
    </row>
    <row r="15" spans="1:30" ht="15.6">
      <c r="A15" s="892"/>
      <c r="B15" s="903"/>
      <c r="C15" s="904"/>
      <c r="D15" s="904"/>
      <c r="E15" s="905">
        <f t="shared" si="0"/>
        <v>0</v>
      </c>
      <c r="F15" s="904"/>
      <c r="G15" s="905">
        <f t="shared" si="1"/>
        <v>0</v>
      </c>
      <c r="H15" s="904"/>
      <c r="I15" s="905">
        <f t="shared" si="2"/>
        <v>0</v>
      </c>
      <c r="J15" s="904"/>
      <c r="K15" s="904"/>
      <c r="L15" s="904"/>
      <c r="M15" s="904"/>
      <c r="N15" s="904"/>
      <c r="O15" s="904"/>
      <c r="P15" s="904"/>
      <c r="Q15" s="904"/>
      <c r="R15" s="904"/>
      <c r="S15" s="904"/>
      <c r="T15" s="904"/>
      <c r="U15" s="904"/>
      <c r="V15" s="904"/>
      <c r="W15" s="906">
        <f t="shared" si="3"/>
        <v>0</v>
      </c>
      <c r="X15" s="907"/>
      <c r="Y15" s="906">
        <f t="shared" si="4"/>
        <v>0</v>
      </c>
      <c r="Z15" s="908">
        <f t="shared" si="5"/>
        <v>0</v>
      </c>
      <c r="AA15" s="904"/>
      <c r="AB15" s="909"/>
      <c r="AC15" s="879"/>
      <c r="AD15" s="879"/>
    </row>
    <row r="16" spans="1:30" ht="15.6">
      <c r="A16" s="892" t="s">
        <v>277</v>
      </c>
      <c r="B16" s="903"/>
      <c r="C16" s="904"/>
      <c r="D16" s="904"/>
      <c r="E16" s="905">
        <f t="shared" si="0"/>
        <v>0</v>
      </c>
      <c r="F16" s="904"/>
      <c r="G16" s="905">
        <f t="shared" si="1"/>
        <v>0</v>
      </c>
      <c r="H16" s="904"/>
      <c r="I16" s="905">
        <f t="shared" si="2"/>
        <v>0</v>
      </c>
      <c r="J16" s="904"/>
      <c r="K16" s="904"/>
      <c r="L16" s="904"/>
      <c r="M16" s="904"/>
      <c r="N16" s="904"/>
      <c r="O16" s="904"/>
      <c r="P16" s="904"/>
      <c r="Q16" s="904"/>
      <c r="R16" s="904"/>
      <c r="S16" s="904"/>
      <c r="T16" s="904"/>
      <c r="U16" s="904"/>
      <c r="V16" s="904"/>
      <c r="W16" s="906">
        <f t="shared" si="3"/>
        <v>0</v>
      </c>
      <c r="X16" s="907"/>
      <c r="Y16" s="906">
        <f t="shared" si="4"/>
        <v>0</v>
      </c>
      <c r="Z16" s="908">
        <f t="shared" si="5"/>
        <v>0</v>
      </c>
      <c r="AA16" s="904"/>
      <c r="AB16" s="909"/>
      <c r="AC16" s="879"/>
      <c r="AD16" s="879"/>
    </row>
    <row r="17" spans="1:30" ht="15.6">
      <c r="A17" s="892"/>
      <c r="B17" s="903"/>
      <c r="C17" s="904"/>
      <c r="D17" s="904"/>
      <c r="E17" s="905">
        <f t="shared" si="0"/>
        <v>0</v>
      </c>
      <c r="F17" s="904"/>
      <c r="G17" s="905">
        <f t="shared" si="1"/>
        <v>0</v>
      </c>
      <c r="H17" s="904"/>
      <c r="I17" s="905">
        <f t="shared" si="2"/>
        <v>0</v>
      </c>
      <c r="J17" s="904"/>
      <c r="K17" s="904"/>
      <c r="L17" s="904"/>
      <c r="M17" s="904"/>
      <c r="N17" s="904"/>
      <c r="O17" s="904"/>
      <c r="P17" s="904"/>
      <c r="Q17" s="904"/>
      <c r="R17" s="904"/>
      <c r="S17" s="904"/>
      <c r="T17" s="904"/>
      <c r="U17" s="904"/>
      <c r="V17" s="904"/>
      <c r="W17" s="906">
        <f t="shared" si="3"/>
        <v>0</v>
      </c>
      <c r="X17" s="907"/>
      <c r="Y17" s="906">
        <f t="shared" si="4"/>
        <v>0</v>
      </c>
      <c r="Z17" s="908">
        <f t="shared" si="5"/>
        <v>0</v>
      </c>
      <c r="AA17" s="904"/>
      <c r="AB17" s="909"/>
      <c r="AC17" s="879"/>
      <c r="AD17" s="879"/>
    </row>
    <row r="18" spans="1:30" ht="15.6">
      <c r="A18" s="892" t="s">
        <v>277</v>
      </c>
      <c r="B18" s="903"/>
      <c r="C18" s="904"/>
      <c r="D18" s="904"/>
      <c r="E18" s="905">
        <f t="shared" si="0"/>
        <v>0</v>
      </c>
      <c r="F18" s="904"/>
      <c r="G18" s="905">
        <f t="shared" si="1"/>
        <v>0</v>
      </c>
      <c r="H18" s="904"/>
      <c r="I18" s="905">
        <f t="shared" si="2"/>
        <v>0</v>
      </c>
      <c r="J18" s="904"/>
      <c r="K18" s="904"/>
      <c r="L18" s="904"/>
      <c r="M18" s="904"/>
      <c r="N18" s="904"/>
      <c r="O18" s="904"/>
      <c r="P18" s="904"/>
      <c r="Q18" s="904"/>
      <c r="R18" s="904"/>
      <c r="S18" s="904"/>
      <c r="T18" s="904"/>
      <c r="U18" s="904"/>
      <c r="V18" s="904"/>
      <c r="W18" s="906">
        <f t="shared" si="3"/>
        <v>0</v>
      </c>
      <c r="X18" s="907"/>
      <c r="Y18" s="906">
        <f t="shared" si="4"/>
        <v>0</v>
      </c>
      <c r="Z18" s="908">
        <f t="shared" si="5"/>
        <v>0</v>
      </c>
      <c r="AA18" s="904"/>
      <c r="AB18" s="909"/>
      <c r="AC18" s="879"/>
      <c r="AD18" s="879"/>
    </row>
    <row r="19" spans="1:30" ht="15.6">
      <c r="A19" s="892"/>
      <c r="B19" s="903"/>
      <c r="C19" s="904"/>
      <c r="D19" s="904"/>
      <c r="E19" s="905">
        <f t="shared" si="0"/>
        <v>0</v>
      </c>
      <c r="F19" s="904"/>
      <c r="G19" s="905">
        <f t="shared" si="1"/>
        <v>0</v>
      </c>
      <c r="H19" s="904"/>
      <c r="I19" s="905">
        <f t="shared" si="2"/>
        <v>0</v>
      </c>
      <c r="J19" s="904"/>
      <c r="K19" s="904"/>
      <c r="L19" s="904"/>
      <c r="M19" s="904"/>
      <c r="N19" s="904"/>
      <c r="O19" s="904"/>
      <c r="P19" s="904"/>
      <c r="Q19" s="904"/>
      <c r="R19" s="904"/>
      <c r="S19" s="904"/>
      <c r="T19" s="904"/>
      <c r="U19" s="904"/>
      <c r="V19" s="904"/>
      <c r="W19" s="906">
        <f t="shared" si="3"/>
        <v>0</v>
      </c>
      <c r="X19" s="907"/>
      <c r="Y19" s="906">
        <f t="shared" si="4"/>
        <v>0</v>
      </c>
      <c r="Z19" s="908">
        <f t="shared" si="5"/>
        <v>0</v>
      </c>
      <c r="AA19" s="904"/>
      <c r="AB19" s="909"/>
      <c r="AC19" s="879"/>
      <c r="AD19" s="879"/>
    </row>
    <row r="20" spans="1:30" ht="15.6">
      <c r="A20" s="892" t="s">
        <v>278</v>
      </c>
      <c r="B20" s="910"/>
      <c r="C20" s="911"/>
      <c r="D20" s="911"/>
      <c r="E20" s="912">
        <f t="shared" si="0"/>
        <v>0</v>
      </c>
      <c r="F20" s="911"/>
      <c r="G20" s="912">
        <f t="shared" si="1"/>
        <v>0</v>
      </c>
      <c r="H20" s="911"/>
      <c r="I20" s="912">
        <f t="shared" si="2"/>
        <v>0</v>
      </c>
      <c r="J20" s="911"/>
      <c r="K20" s="911"/>
      <c r="L20" s="911"/>
      <c r="M20" s="911"/>
      <c r="N20" s="911"/>
      <c r="O20" s="911"/>
      <c r="P20" s="911"/>
      <c r="Q20" s="911"/>
      <c r="R20" s="911"/>
      <c r="S20" s="911"/>
      <c r="T20" s="911"/>
      <c r="U20" s="911"/>
      <c r="V20" s="911"/>
      <c r="W20" s="913">
        <f t="shared" si="3"/>
        <v>0</v>
      </c>
      <c r="X20" s="914"/>
      <c r="Y20" s="913">
        <f t="shared" si="4"/>
        <v>0</v>
      </c>
      <c r="Z20" s="915">
        <f t="shared" ref="Z20" si="6">+W20+X20+Y20</f>
        <v>0</v>
      </c>
      <c r="AA20" s="914"/>
      <c r="AB20" s="916"/>
      <c r="AC20" s="879"/>
      <c r="AD20" s="879"/>
    </row>
    <row r="21" spans="1:30" ht="15.6">
      <c r="A21" s="917">
        <v>2</v>
      </c>
      <c r="B21" s="878" t="s">
        <v>890</v>
      </c>
      <c r="C21" s="878"/>
      <c r="D21" s="878"/>
      <c r="E21" s="878"/>
      <c r="F21" s="878"/>
      <c r="G21" s="878"/>
      <c r="H21" s="878"/>
      <c r="I21" s="918">
        <f>SUM(I10:I20)</f>
        <v>0</v>
      </c>
      <c r="J21" s="878"/>
      <c r="K21" s="878"/>
      <c r="L21" s="878"/>
      <c r="M21" s="878"/>
      <c r="N21" s="878"/>
      <c r="O21" s="878"/>
      <c r="P21" s="878"/>
      <c r="Q21" s="878"/>
      <c r="R21" s="878"/>
      <c r="S21" s="878"/>
      <c r="T21" s="878"/>
      <c r="U21" s="879"/>
      <c r="V21" s="878"/>
      <c r="W21" s="878"/>
      <c r="X21" s="878"/>
      <c r="Y21" s="881"/>
      <c r="Z21" s="919">
        <f>SUM(Z10:Z20)</f>
        <v>0</v>
      </c>
      <c r="AA21" s="881"/>
      <c r="AB21" s="881"/>
      <c r="AC21" s="879"/>
      <c r="AD21" s="879"/>
    </row>
    <row r="22" spans="1:30" ht="15.6">
      <c r="A22" s="878"/>
      <c r="B22" s="878"/>
      <c r="C22" s="878"/>
      <c r="D22" s="878"/>
      <c r="E22" s="878"/>
      <c r="F22" s="878"/>
      <c r="G22" s="878"/>
      <c r="H22" s="878"/>
      <c r="I22" s="878"/>
      <c r="J22" s="878"/>
      <c r="K22" s="878"/>
      <c r="L22" s="878"/>
      <c r="M22" s="878"/>
      <c r="N22" s="878"/>
      <c r="O22" s="878"/>
      <c r="P22" s="878"/>
      <c r="Q22" s="878"/>
      <c r="R22" s="878"/>
      <c r="S22" s="878"/>
      <c r="T22" s="878"/>
      <c r="U22" s="878"/>
      <c r="V22" s="878"/>
      <c r="W22" s="878"/>
      <c r="X22" s="878"/>
      <c r="Y22" s="878"/>
      <c r="Z22" s="878"/>
      <c r="AA22" s="878"/>
      <c r="AB22" s="878"/>
      <c r="AC22" s="879"/>
      <c r="AD22" s="879"/>
    </row>
    <row r="23" spans="1:30" ht="15.6">
      <c r="A23" s="878" t="s">
        <v>891</v>
      </c>
      <c r="B23" s="878"/>
      <c r="C23" s="878"/>
      <c r="D23" s="878"/>
      <c r="E23" s="878"/>
      <c r="F23" s="878"/>
      <c r="L23" s="879"/>
      <c r="M23" s="879"/>
      <c r="N23" s="879"/>
      <c r="O23" s="879"/>
      <c r="P23" s="879"/>
      <c r="Q23" s="879"/>
      <c r="R23" s="879"/>
      <c r="S23" s="879"/>
      <c r="T23" s="879"/>
      <c r="U23" s="879"/>
      <c r="V23" s="879"/>
      <c r="W23" s="878"/>
      <c r="X23" s="878"/>
      <c r="Y23" s="878"/>
      <c r="Z23" s="878"/>
      <c r="AA23" s="878"/>
      <c r="AB23" s="878"/>
      <c r="AC23" s="879"/>
      <c r="AD23" s="879"/>
    </row>
    <row r="24" spans="1:30" ht="15" customHeight="1">
      <c r="A24" s="275" t="s">
        <v>892</v>
      </c>
      <c r="B24" s="275"/>
      <c r="C24" s="275"/>
      <c r="D24" s="275"/>
      <c r="E24" s="920"/>
      <c r="F24" s="878"/>
      <c r="G24" s="878"/>
      <c r="H24" s="878"/>
      <c r="I24" s="878"/>
      <c r="J24" s="879"/>
      <c r="K24" s="879"/>
      <c r="L24" s="879"/>
      <c r="M24" s="879"/>
      <c r="N24" s="879"/>
      <c r="O24" s="879"/>
      <c r="P24" s="879"/>
      <c r="Q24" s="879"/>
      <c r="R24" s="879"/>
      <c r="S24" s="879"/>
      <c r="T24" s="879"/>
      <c r="U24" s="879"/>
      <c r="V24" s="879"/>
      <c r="W24" s="878"/>
      <c r="X24" s="878"/>
      <c r="Y24" s="878"/>
      <c r="Z24" s="878"/>
      <c r="AA24" s="878"/>
      <c r="AB24" s="878"/>
      <c r="AC24" s="879"/>
      <c r="AD24" s="879"/>
    </row>
    <row r="25" spans="1:30" ht="15.6">
      <c r="A25" s="879"/>
      <c r="B25" s="879"/>
      <c r="C25" s="879"/>
      <c r="D25" s="879"/>
      <c r="E25" s="879"/>
      <c r="F25" s="879"/>
      <c r="G25" s="879"/>
      <c r="H25" s="879"/>
      <c r="I25" s="879"/>
      <c r="J25" s="879"/>
      <c r="K25" s="879"/>
      <c r="L25" s="879"/>
      <c r="M25" s="879"/>
      <c r="N25" s="879"/>
      <c r="O25" s="879"/>
      <c r="P25" s="879"/>
      <c r="Q25" s="879"/>
      <c r="R25" s="879"/>
      <c r="S25" s="879"/>
      <c r="T25" s="879"/>
      <c r="U25" s="879"/>
      <c r="V25" s="879"/>
      <c r="W25" s="879"/>
      <c r="X25" s="879"/>
      <c r="Y25" s="879"/>
      <c r="Z25" s="879"/>
      <c r="AA25" s="879"/>
      <c r="AB25" s="879"/>
      <c r="AC25" s="879"/>
      <c r="AD25" s="879"/>
    </row>
    <row r="26" spans="1:30" ht="15.6">
      <c r="A26" s="880" t="s">
        <v>893</v>
      </c>
      <c r="B26" s="878"/>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9"/>
      <c r="AD26" s="879"/>
    </row>
    <row r="27" spans="1:30" ht="15.6">
      <c r="A27" s="878"/>
      <c r="B27" s="881" t="s">
        <v>174</v>
      </c>
      <c r="C27" s="881" t="s">
        <v>175</v>
      </c>
      <c r="D27" s="882" t="s">
        <v>176</v>
      </c>
      <c r="E27" s="881" t="s">
        <v>378</v>
      </c>
      <c r="F27" s="882" t="s">
        <v>379</v>
      </c>
      <c r="G27" s="881" t="s">
        <v>380</v>
      </c>
      <c r="H27" s="882" t="s">
        <v>381</v>
      </c>
      <c r="I27" s="881" t="s">
        <v>382</v>
      </c>
      <c r="J27" s="882" t="s">
        <v>574</v>
      </c>
      <c r="K27" s="881" t="s">
        <v>575</v>
      </c>
      <c r="L27" s="882" t="s">
        <v>576</v>
      </c>
      <c r="M27" s="881" t="s">
        <v>577</v>
      </c>
      <c r="N27" s="882" t="s">
        <v>578</v>
      </c>
      <c r="O27" s="881" t="s">
        <v>579</v>
      </c>
      <c r="P27" s="882" t="s">
        <v>580</v>
      </c>
      <c r="Q27" s="881" t="s">
        <v>581</v>
      </c>
      <c r="R27" s="881" t="s">
        <v>582</v>
      </c>
      <c r="S27" s="882" t="s">
        <v>851</v>
      </c>
      <c r="T27" s="882" t="s">
        <v>852</v>
      </c>
      <c r="U27" s="882" t="s">
        <v>853</v>
      </c>
      <c r="V27" s="882" t="s">
        <v>854</v>
      </c>
      <c r="W27" s="882" t="s">
        <v>855</v>
      </c>
      <c r="X27" s="882" t="s">
        <v>856</v>
      </c>
      <c r="Y27" s="882" t="s">
        <v>857</v>
      </c>
      <c r="Z27" s="882" t="s">
        <v>858</v>
      </c>
      <c r="AA27" s="882" t="s">
        <v>859</v>
      </c>
      <c r="AB27" s="882" t="s">
        <v>860</v>
      </c>
      <c r="AC27" s="879"/>
      <c r="AD27" s="879"/>
    </row>
    <row r="28" spans="1:30" ht="15.6">
      <c r="A28" s="878"/>
      <c r="B28" s="879"/>
      <c r="C28" s="879"/>
      <c r="D28" s="879"/>
      <c r="E28" s="879"/>
      <c r="F28" s="879"/>
      <c r="G28" s="879"/>
      <c r="H28" s="879"/>
      <c r="I28" s="879"/>
      <c r="J28" s="883" t="s">
        <v>861</v>
      </c>
      <c r="K28" s="884" t="s">
        <v>862</v>
      </c>
      <c r="L28" s="884" t="s">
        <v>863</v>
      </c>
      <c r="M28" s="884" t="s">
        <v>864</v>
      </c>
      <c r="N28" s="884" t="s">
        <v>865</v>
      </c>
      <c r="O28" s="884" t="s">
        <v>866</v>
      </c>
      <c r="P28" s="884" t="s">
        <v>867</v>
      </c>
      <c r="Q28" s="884" t="s">
        <v>868</v>
      </c>
      <c r="R28" s="884" t="s">
        <v>869</v>
      </c>
      <c r="S28" s="884" t="s">
        <v>870</v>
      </c>
      <c r="T28" s="884" t="s">
        <v>871</v>
      </c>
      <c r="U28" s="884" t="s">
        <v>872</v>
      </c>
      <c r="V28" s="884" t="s">
        <v>861</v>
      </c>
      <c r="W28" s="879"/>
      <c r="X28" s="879"/>
      <c r="Y28" s="879"/>
      <c r="Z28" s="879"/>
      <c r="AA28" s="879"/>
      <c r="AB28" s="879"/>
      <c r="AC28" s="879"/>
      <c r="AD28" s="879"/>
    </row>
    <row r="29" spans="1:30" ht="73.5" customHeight="1">
      <c r="A29" s="885" t="s">
        <v>31</v>
      </c>
      <c r="B29" s="886" t="s">
        <v>649</v>
      </c>
      <c r="C29" s="887" t="s">
        <v>873</v>
      </c>
      <c r="D29" s="887" t="s">
        <v>874</v>
      </c>
      <c r="E29" s="887" t="s">
        <v>875</v>
      </c>
      <c r="F29" s="887" t="s">
        <v>876</v>
      </c>
      <c r="G29" s="888" t="s">
        <v>877</v>
      </c>
      <c r="H29" s="888" t="s">
        <v>878</v>
      </c>
      <c r="I29" s="888" t="s">
        <v>894</v>
      </c>
      <c r="J29" s="889" t="s">
        <v>895</v>
      </c>
      <c r="K29" s="890" t="s">
        <v>880</v>
      </c>
      <c r="L29" s="890" t="s">
        <v>880</v>
      </c>
      <c r="M29" s="890" t="s">
        <v>880</v>
      </c>
      <c r="N29" s="890" t="s">
        <v>880</v>
      </c>
      <c r="O29" s="890" t="s">
        <v>880</v>
      </c>
      <c r="P29" s="890" t="s">
        <v>880</v>
      </c>
      <c r="Q29" s="890" t="s">
        <v>880</v>
      </c>
      <c r="R29" s="890" t="s">
        <v>880</v>
      </c>
      <c r="S29" s="890" t="s">
        <v>880</v>
      </c>
      <c r="T29" s="890" t="s">
        <v>880</v>
      </c>
      <c r="U29" s="890" t="s">
        <v>880</v>
      </c>
      <c r="V29" s="890" t="s">
        <v>880</v>
      </c>
      <c r="W29" s="888" t="s">
        <v>882</v>
      </c>
      <c r="X29" s="888" t="s">
        <v>883</v>
      </c>
      <c r="Y29" s="888" t="s">
        <v>884</v>
      </c>
      <c r="Z29" s="888" t="s">
        <v>885</v>
      </c>
      <c r="AA29" s="888" t="s">
        <v>886</v>
      </c>
      <c r="AB29" s="891" t="s">
        <v>887</v>
      </c>
      <c r="AC29" s="879"/>
      <c r="AD29" s="879"/>
    </row>
    <row r="30" spans="1:30" ht="15.6">
      <c r="A30" s="892" t="s">
        <v>896</v>
      </c>
      <c r="B30" s="893"/>
      <c r="C30" s="895"/>
      <c r="D30" s="895"/>
      <c r="E30" s="896">
        <f t="shared" ref="E30:E40" si="7">IF(D30=0,0,C30/D30)</f>
        <v>0</v>
      </c>
      <c r="F30" s="895"/>
      <c r="G30" s="896">
        <f>+E30*F30</f>
        <v>0</v>
      </c>
      <c r="H30" s="895"/>
      <c r="I30" s="896">
        <f>+G30*H30</f>
        <v>0</v>
      </c>
      <c r="J30" s="895"/>
      <c r="K30" s="895"/>
      <c r="L30" s="895"/>
      <c r="M30" s="895"/>
      <c r="N30" s="895"/>
      <c r="O30" s="895"/>
      <c r="P30" s="895"/>
      <c r="Q30" s="895"/>
      <c r="R30" s="895"/>
      <c r="S30" s="895"/>
      <c r="T30" s="895"/>
      <c r="U30" s="895"/>
      <c r="V30" s="895"/>
      <c r="W30" s="898">
        <f>SUM(J30:V30)/13</f>
        <v>0</v>
      </c>
      <c r="X30" s="921"/>
      <c r="Y30" s="898">
        <f>+H30</f>
        <v>0</v>
      </c>
      <c r="Z30" s="901">
        <f>+W30+X30+Y30</f>
        <v>0</v>
      </c>
      <c r="AA30" s="895"/>
      <c r="AB30" s="902"/>
      <c r="AC30" s="879"/>
      <c r="AD30" s="879"/>
    </row>
    <row r="31" spans="1:30" ht="15.6">
      <c r="A31" s="892" t="s">
        <v>897</v>
      </c>
      <c r="B31" s="903"/>
      <c r="C31" s="904"/>
      <c r="D31" s="904"/>
      <c r="E31" s="905">
        <f t="shared" si="7"/>
        <v>0</v>
      </c>
      <c r="F31" s="904"/>
      <c r="G31" s="905">
        <f t="shared" ref="G31:G40" si="8">+E31*F31</f>
        <v>0</v>
      </c>
      <c r="H31" s="904"/>
      <c r="I31" s="905">
        <f t="shared" ref="I31:I40" si="9">+G31*H31</f>
        <v>0</v>
      </c>
      <c r="J31" s="904"/>
      <c r="K31" s="904"/>
      <c r="L31" s="904"/>
      <c r="M31" s="904"/>
      <c r="N31" s="904"/>
      <c r="O31" s="904"/>
      <c r="P31" s="904"/>
      <c r="Q31" s="904"/>
      <c r="R31" s="904"/>
      <c r="S31" s="904"/>
      <c r="T31" s="904"/>
      <c r="U31" s="904"/>
      <c r="V31" s="904"/>
      <c r="W31" s="906">
        <f t="shared" ref="W31:W40" si="10">SUM(J31:V31)/13</f>
        <v>0</v>
      </c>
      <c r="X31" s="907"/>
      <c r="Y31" s="906">
        <f t="shared" ref="Y31:Y40" si="11">+H31</f>
        <v>0</v>
      </c>
      <c r="Z31" s="908">
        <f t="shared" ref="Z31:Z40" si="12">+W31+X31+Y31</f>
        <v>0</v>
      </c>
      <c r="AA31" s="904"/>
      <c r="AB31" s="909"/>
      <c r="AC31" s="879"/>
      <c r="AD31" s="879"/>
    </row>
    <row r="32" spans="1:30" ht="15.6">
      <c r="A32" s="892" t="s">
        <v>898</v>
      </c>
      <c r="B32" s="903"/>
      <c r="C32" s="904"/>
      <c r="D32" s="904"/>
      <c r="E32" s="905">
        <f t="shared" si="7"/>
        <v>0</v>
      </c>
      <c r="F32" s="904"/>
      <c r="G32" s="905">
        <f t="shared" si="8"/>
        <v>0</v>
      </c>
      <c r="H32" s="904"/>
      <c r="I32" s="905">
        <f t="shared" si="9"/>
        <v>0</v>
      </c>
      <c r="J32" s="904"/>
      <c r="K32" s="904"/>
      <c r="L32" s="904"/>
      <c r="M32" s="904"/>
      <c r="N32" s="904"/>
      <c r="O32" s="904"/>
      <c r="P32" s="904"/>
      <c r="Q32" s="904"/>
      <c r="R32" s="904"/>
      <c r="S32" s="904"/>
      <c r="T32" s="904"/>
      <c r="U32" s="904"/>
      <c r="V32" s="904"/>
      <c r="W32" s="906">
        <f t="shared" si="10"/>
        <v>0</v>
      </c>
      <c r="X32" s="907"/>
      <c r="Y32" s="906">
        <f t="shared" si="11"/>
        <v>0</v>
      </c>
      <c r="Z32" s="908">
        <f t="shared" si="12"/>
        <v>0</v>
      </c>
      <c r="AA32" s="904"/>
      <c r="AB32" s="909"/>
      <c r="AC32" s="879"/>
      <c r="AD32" s="879"/>
    </row>
    <row r="33" spans="1:30" ht="15.6">
      <c r="A33" s="892"/>
      <c r="B33" s="903"/>
      <c r="C33" s="904"/>
      <c r="D33" s="904"/>
      <c r="E33" s="905">
        <f t="shared" si="7"/>
        <v>0</v>
      </c>
      <c r="F33" s="904"/>
      <c r="G33" s="905">
        <f t="shared" si="8"/>
        <v>0</v>
      </c>
      <c r="H33" s="904"/>
      <c r="I33" s="905">
        <f t="shared" si="9"/>
        <v>0</v>
      </c>
      <c r="J33" s="904"/>
      <c r="K33" s="904"/>
      <c r="L33" s="904"/>
      <c r="M33" s="904"/>
      <c r="N33" s="904"/>
      <c r="O33" s="904"/>
      <c r="P33" s="904"/>
      <c r="Q33" s="904"/>
      <c r="R33" s="904"/>
      <c r="S33" s="904"/>
      <c r="T33" s="904"/>
      <c r="U33" s="904"/>
      <c r="V33" s="904"/>
      <c r="W33" s="906">
        <f t="shared" si="10"/>
        <v>0</v>
      </c>
      <c r="X33" s="907"/>
      <c r="Y33" s="906">
        <f t="shared" si="11"/>
        <v>0</v>
      </c>
      <c r="Z33" s="908">
        <f t="shared" si="12"/>
        <v>0</v>
      </c>
      <c r="AA33" s="904"/>
      <c r="AB33" s="909"/>
      <c r="AC33" s="879"/>
      <c r="AD33" s="879"/>
    </row>
    <row r="34" spans="1:30" ht="15.6">
      <c r="A34" s="892" t="s">
        <v>277</v>
      </c>
      <c r="B34" s="903"/>
      <c r="C34" s="904"/>
      <c r="D34" s="904"/>
      <c r="E34" s="905">
        <f t="shared" si="7"/>
        <v>0</v>
      </c>
      <c r="F34" s="904"/>
      <c r="G34" s="905">
        <f t="shared" si="8"/>
        <v>0</v>
      </c>
      <c r="H34" s="904"/>
      <c r="I34" s="905">
        <f t="shared" si="9"/>
        <v>0</v>
      </c>
      <c r="J34" s="904"/>
      <c r="K34" s="904"/>
      <c r="L34" s="904"/>
      <c r="M34" s="904"/>
      <c r="N34" s="904"/>
      <c r="O34" s="904"/>
      <c r="P34" s="904"/>
      <c r="Q34" s="904"/>
      <c r="R34" s="904"/>
      <c r="S34" s="904"/>
      <c r="T34" s="904"/>
      <c r="U34" s="904"/>
      <c r="V34" s="904"/>
      <c r="W34" s="906">
        <f t="shared" si="10"/>
        <v>0</v>
      </c>
      <c r="X34" s="907"/>
      <c r="Y34" s="906">
        <f t="shared" si="11"/>
        <v>0</v>
      </c>
      <c r="Z34" s="908">
        <f t="shared" si="12"/>
        <v>0</v>
      </c>
      <c r="AA34" s="904"/>
      <c r="AB34" s="909"/>
      <c r="AC34" s="879"/>
      <c r="AD34" s="879"/>
    </row>
    <row r="35" spans="1:30" ht="15.6">
      <c r="A35" s="892"/>
      <c r="B35" s="903"/>
      <c r="C35" s="904"/>
      <c r="D35" s="904"/>
      <c r="E35" s="905">
        <f t="shared" si="7"/>
        <v>0</v>
      </c>
      <c r="F35" s="904"/>
      <c r="G35" s="905">
        <f t="shared" si="8"/>
        <v>0</v>
      </c>
      <c r="H35" s="904"/>
      <c r="I35" s="905">
        <f t="shared" si="9"/>
        <v>0</v>
      </c>
      <c r="J35" s="904"/>
      <c r="K35" s="904"/>
      <c r="L35" s="904"/>
      <c r="M35" s="904"/>
      <c r="N35" s="904"/>
      <c r="O35" s="904"/>
      <c r="P35" s="904"/>
      <c r="Q35" s="904"/>
      <c r="R35" s="904"/>
      <c r="S35" s="904"/>
      <c r="T35" s="904"/>
      <c r="U35" s="904"/>
      <c r="V35" s="904"/>
      <c r="W35" s="906">
        <f t="shared" si="10"/>
        <v>0</v>
      </c>
      <c r="X35" s="907"/>
      <c r="Y35" s="906">
        <f t="shared" si="11"/>
        <v>0</v>
      </c>
      <c r="Z35" s="908">
        <f t="shared" si="12"/>
        <v>0</v>
      </c>
      <c r="AA35" s="904"/>
      <c r="AB35" s="909"/>
      <c r="AC35" s="879"/>
      <c r="AD35" s="879"/>
    </row>
    <row r="36" spans="1:30" ht="15.6">
      <c r="A36" s="892"/>
      <c r="B36" s="903"/>
      <c r="C36" s="904"/>
      <c r="D36" s="904"/>
      <c r="E36" s="905">
        <f t="shared" si="7"/>
        <v>0</v>
      </c>
      <c r="F36" s="904"/>
      <c r="G36" s="905">
        <f t="shared" si="8"/>
        <v>0</v>
      </c>
      <c r="H36" s="904"/>
      <c r="I36" s="905">
        <f t="shared" si="9"/>
        <v>0</v>
      </c>
      <c r="J36" s="904"/>
      <c r="K36" s="904"/>
      <c r="L36" s="904"/>
      <c r="M36" s="904"/>
      <c r="N36" s="904"/>
      <c r="O36" s="904"/>
      <c r="P36" s="904"/>
      <c r="Q36" s="904"/>
      <c r="R36" s="904"/>
      <c r="S36" s="904"/>
      <c r="T36" s="904"/>
      <c r="U36" s="904"/>
      <c r="V36" s="904"/>
      <c r="W36" s="906">
        <f t="shared" si="10"/>
        <v>0</v>
      </c>
      <c r="X36" s="907"/>
      <c r="Y36" s="906">
        <f t="shared" si="11"/>
        <v>0</v>
      </c>
      <c r="Z36" s="908">
        <f t="shared" si="12"/>
        <v>0</v>
      </c>
      <c r="AA36" s="904"/>
      <c r="AB36" s="909"/>
      <c r="AC36" s="879"/>
      <c r="AD36" s="879"/>
    </row>
    <row r="37" spans="1:30" ht="15.6">
      <c r="A37" s="892"/>
      <c r="B37" s="903"/>
      <c r="C37" s="904"/>
      <c r="D37" s="904"/>
      <c r="E37" s="905">
        <f t="shared" si="7"/>
        <v>0</v>
      </c>
      <c r="F37" s="904"/>
      <c r="G37" s="905">
        <f t="shared" si="8"/>
        <v>0</v>
      </c>
      <c r="H37" s="904"/>
      <c r="I37" s="905">
        <f t="shared" si="9"/>
        <v>0</v>
      </c>
      <c r="J37" s="904"/>
      <c r="K37" s="904"/>
      <c r="L37" s="904"/>
      <c r="M37" s="904"/>
      <c r="N37" s="904"/>
      <c r="O37" s="904"/>
      <c r="P37" s="904"/>
      <c r="Q37" s="904"/>
      <c r="R37" s="904"/>
      <c r="S37" s="904"/>
      <c r="T37" s="904"/>
      <c r="U37" s="904"/>
      <c r="V37" s="904"/>
      <c r="W37" s="906">
        <f t="shared" si="10"/>
        <v>0</v>
      </c>
      <c r="X37" s="907"/>
      <c r="Y37" s="906">
        <f t="shared" si="11"/>
        <v>0</v>
      </c>
      <c r="Z37" s="908">
        <f t="shared" si="12"/>
        <v>0</v>
      </c>
      <c r="AA37" s="904"/>
      <c r="AB37" s="909"/>
      <c r="AC37" s="879"/>
      <c r="AD37" s="879"/>
    </row>
    <row r="38" spans="1:30" ht="15.6">
      <c r="A38" s="892" t="s">
        <v>277</v>
      </c>
      <c r="B38" s="903"/>
      <c r="C38" s="904"/>
      <c r="D38" s="904"/>
      <c r="E38" s="905">
        <f t="shared" si="7"/>
        <v>0</v>
      </c>
      <c r="F38" s="904"/>
      <c r="G38" s="905">
        <f t="shared" si="8"/>
        <v>0</v>
      </c>
      <c r="H38" s="904"/>
      <c r="I38" s="905">
        <f t="shared" si="9"/>
        <v>0</v>
      </c>
      <c r="J38" s="904"/>
      <c r="K38" s="904"/>
      <c r="L38" s="904"/>
      <c r="M38" s="904"/>
      <c r="N38" s="904"/>
      <c r="O38" s="904"/>
      <c r="P38" s="904"/>
      <c r="Q38" s="904"/>
      <c r="R38" s="904"/>
      <c r="S38" s="904"/>
      <c r="T38" s="904"/>
      <c r="U38" s="904"/>
      <c r="V38" s="904"/>
      <c r="W38" s="906">
        <f t="shared" si="10"/>
        <v>0</v>
      </c>
      <c r="X38" s="907"/>
      <c r="Y38" s="906">
        <f t="shared" si="11"/>
        <v>0</v>
      </c>
      <c r="Z38" s="908">
        <f t="shared" si="12"/>
        <v>0</v>
      </c>
      <c r="AA38" s="904"/>
      <c r="AB38" s="909"/>
      <c r="AC38" s="879"/>
      <c r="AD38" s="879"/>
    </row>
    <row r="39" spans="1:30" ht="15.6">
      <c r="A39" s="892"/>
      <c r="B39" s="903"/>
      <c r="C39" s="904"/>
      <c r="D39" s="904"/>
      <c r="E39" s="905">
        <f t="shared" si="7"/>
        <v>0</v>
      </c>
      <c r="F39" s="904"/>
      <c r="G39" s="905">
        <f t="shared" si="8"/>
        <v>0</v>
      </c>
      <c r="H39" s="904"/>
      <c r="I39" s="905">
        <f t="shared" si="9"/>
        <v>0</v>
      </c>
      <c r="J39" s="904"/>
      <c r="K39" s="904"/>
      <c r="L39" s="904"/>
      <c r="M39" s="904"/>
      <c r="N39" s="904"/>
      <c r="O39" s="904"/>
      <c r="P39" s="904"/>
      <c r="Q39" s="904"/>
      <c r="R39" s="904"/>
      <c r="S39" s="904"/>
      <c r="T39" s="904"/>
      <c r="U39" s="904"/>
      <c r="V39" s="904"/>
      <c r="W39" s="906">
        <f t="shared" si="10"/>
        <v>0</v>
      </c>
      <c r="X39" s="907"/>
      <c r="Y39" s="906">
        <f t="shared" si="11"/>
        <v>0</v>
      </c>
      <c r="Z39" s="908">
        <f t="shared" si="12"/>
        <v>0</v>
      </c>
      <c r="AA39" s="904"/>
      <c r="AB39" s="909"/>
      <c r="AC39" s="879"/>
      <c r="AD39" s="879"/>
    </row>
    <row r="40" spans="1:30" ht="15.6">
      <c r="A40" s="892" t="s">
        <v>899</v>
      </c>
      <c r="B40" s="910"/>
      <c r="C40" s="911"/>
      <c r="D40" s="911"/>
      <c r="E40" s="912">
        <f t="shared" si="7"/>
        <v>0</v>
      </c>
      <c r="F40" s="911"/>
      <c r="G40" s="912">
        <f t="shared" si="8"/>
        <v>0</v>
      </c>
      <c r="H40" s="911"/>
      <c r="I40" s="912">
        <f t="shared" si="9"/>
        <v>0</v>
      </c>
      <c r="J40" s="911"/>
      <c r="K40" s="911"/>
      <c r="L40" s="911"/>
      <c r="M40" s="911"/>
      <c r="N40" s="911"/>
      <c r="O40" s="911"/>
      <c r="P40" s="911"/>
      <c r="Q40" s="911"/>
      <c r="R40" s="911"/>
      <c r="S40" s="911"/>
      <c r="T40" s="911"/>
      <c r="U40" s="911"/>
      <c r="V40" s="911"/>
      <c r="W40" s="913">
        <f t="shared" si="10"/>
        <v>0</v>
      </c>
      <c r="X40" s="914"/>
      <c r="Y40" s="913">
        <f t="shared" si="11"/>
        <v>0</v>
      </c>
      <c r="Z40" s="915">
        <f t="shared" si="12"/>
        <v>0</v>
      </c>
      <c r="AA40" s="914"/>
      <c r="AB40" s="916"/>
      <c r="AC40" s="879"/>
      <c r="AD40" s="879"/>
    </row>
    <row r="41" spans="1:30" ht="15.6">
      <c r="A41" s="917">
        <v>4</v>
      </c>
      <c r="B41" s="878" t="s">
        <v>900</v>
      </c>
      <c r="C41" s="878"/>
      <c r="D41" s="878"/>
      <c r="E41" s="878"/>
      <c r="F41" s="878"/>
      <c r="G41" s="878"/>
      <c r="H41" s="878"/>
      <c r="I41" s="922">
        <f>SUM(I30:I40)</f>
        <v>0</v>
      </c>
      <c r="J41" s="878"/>
      <c r="K41" s="878"/>
      <c r="L41" s="878"/>
      <c r="M41" s="878"/>
      <c r="N41" s="878"/>
      <c r="O41" s="878"/>
      <c r="P41" s="878"/>
      <c r="Q41" s="878"/>
      <c r="R41" s="878"/>
      <c r="S41" s="878"/>
      <c r="T41" s="878"/>
      <c r="U41" s="879"/>
      <c r="V41" s="878"/>
      <c r="W41" s="878"/>
      <c r="X41" s="878"/>
      <c r="Y41" s="881"/>
      <c r="Z41" s="923">
        <f>SUM(Z30:Z40)</f>
        <v>0</v>
      </c>
      <c r="AA41" s="881"/>
      <c r="AB41" s="881"/>
      <c r="AC41" s="879"/>
      <c r="AD41" s="879"/>
    </row>
    <row r="42" spans="1:30" ht="15.6">
      <c r="A42" s="878"/>
      <c r="B42" s="878"/>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9"/>
      <c r="AD42" s="879"/>
    </row>
    <row r="43" spans="1:30" ht="15.6">
      <c r="A43" s="878" t="s">
        <v>891</v>
      </c>
      <c r="B43" s="878"/>
      <c r="C43" s="878"/>
      <c r="D43" s="878"/>
      <c r="E43" s="878"/>
      <c r="F43" s="878"/>
      <c r="G43" s="878"/>
      <c r="H43" s="878"/>
      <c r="I43" s="878"/>
      <c r="J43" s="878"/>
      <c r="K43" s="878"/>
      <c r="L43" s="878"/>
      <c r="M43" s="878"/>
      <c r="N43" s="878"/>
      <c r="O43" s="878"/>
      <c r="P43" s="878"/>
      <c r="Q43" s="878"/>
      <c r="R43" s="878"/>
      <c r="S43" s="878"/>
      <c r="T43" s="878"/>
      <c r="U43" s="878"/>
      <c r="V43" s="878"/>
      <c r="W43" s="878"/>
      <c r="X43" s="878"/>
      <c r="Y43" s="878"/>
      <c r="Z43" s="878"/>
      <c r="AA43" s="878"/>
      <c r="AB43" s="878"/>
      <c r="AC43" s="879"/>
      <c r="AD43" s="879"/>
    </row>
    <row r="44" spans="1:30" ht="15.6">
      <c r="A44" s="879"/>
      <c r="B44" s="878"/>
      <c r="C44" s="878"/>
      <c r="D44" s="878"/>
      <c r="E44" s="878"/>
      <c r="F44" s="878"/>
      <c r="G44" s="878"/>
      <c r="H44" s="878"/>
      <c r="I44" s="878"/>
      <c r="J44" s="878"/>
      <c r="K44" s="878"/>
      <c r="L44" s="878"/>
      <c r="M44" s="878"/>
      <c r="N44" s="878"/>
      <c r="O44" s="878"/>
      <c r="P44" s="878"/>
      <c r="Q44" s="878"/>
      <c r="R44" s="878"/>
      <c r="S44" s="878"/>
      <c r="T44" s="878"/>
      <c r="U44" s="878"/>
      <c r="V44" s="878"/>
      <c r="W44" s="878"/>
      <c r="X44" s="878"/>
      <c r="Y44" s="878"/>
      <c r="Z44" s="878"/>
      <c r="AA44" s="878"/>
      <c r="AB44" s="878"/>
      <c r="AC44" s="879"/>
      <c r="AD44" s="879"/>
    </row>
    <row r="45" spans="1:30" ht="15.6">
      <c r="F45" s="1162"/>
      <c r="G45" s="1162"/>
      <c r="H45" s="1162"/>
      <c r="I45" s="1162"/>
      <c r="J45" s="1162"/>
      <c r="K45" s="1162"/>
      <c r="L45" s="1162"/>
      <c r="M45" s="1162"/>
      <c r="N45" s="1162"/>
      <c r="O45" s="1162"/>
      <c r="P45" s="1162"/>
      <c r="Q45" s="1162"/>
      <c r="R45" s="1162"/>
      <c r="S45" s="879"/>
      <c r="T45" s="879"/>
      <c r="U45" s="879"/>
      <c r="V45" s="879"/>
      <c r="W45" s="879"/>
      <c r="X45" s="879"/>
      <c r="Y45" s="879"/>
      <c r="Z45" s="879"/>
      <c r="AA45" s="879"/>
      <c r="AB45" s="879"/>
      <c r="AC45" s="879"/>
      <c r="AD45" s="879"/>
    </row>
    <row r="46" spans="1:30" ht="15.6">
      <c r="A46" s="924" t="s">
        <v>901</v>
      </c>
      <c r="B46" s="879"/>
      <c r="C46" s="879"/>
      <c r="D46" s="879"/>
      <c r="E46" s="879"/>
      <c r="F46" s="1164"/>
      <c r="G46" s="1164"/>
      <c r="H46" s="1164"/>
      <c r="I46" s="1164"/>
      <c r="J46" s="1164"/>
      <c r="K46" s="1164"/>
      <c r="L46" s="1164"/>
      <c r="M46" s="1164"/>
      <c r="N46" s="1164"/>
      <c r="O46" s="1164"/>
      <c r="P46" s="1164"/>
      <c r="Q46" s="1164"/>
      <c r="R46" s="1164"/>
      <c r="S46" s="879"/>
      <c r="T46" s="879"/>
      <c r="U46" s="879"/>
      <c r="V46" s="879"/>
      <c r="W46" s="879"/>
      <c r="X46" s="879"/>
      <c r="Y46" s="879"/>
      <c r="Z46" s="879"/>
      <c r="AA46" s="879"/>
      <c r="AB46" s="879"/>
      <c r="AC46" s="879"/>
      <c r="AD46" s="879"/>
    </row>
    <row r="47" spans="1:30" ht="15.6">
      <c r="A47" s="925"/>
      <c r="B47" s="926"/>
      <c r="C47" s="926"/>
      <c r="D47" s="926"/>
      <c r="E47" s="927"/>
      <c r="F47" s="926"/>
      <c r="G47" s="927"/>
      <c r="H47" s="927"/>
      <c r="I47" s="927"/>
      <c r="J47" s="927"/>
      <c r="K47" s="927"/>
      <c r="L47" s="927"/>
      <c r="M47" s="927"/>
      <c r="N47" s="927"/>
      <c r="O47" s="927"/>
      <c r="P47" s="927"/>
      <c r="Q47" s="927"/>
      <c r="R47" s="927"/>
      <c r="S47" s="879"/>
      <c r="T47" s="879"/>
      <c r="U47" s="879"/>
      <c r="V47" s="879"/>
      <c r="W47" s="879"/>
      <c r="X47" s="879"/>
      <c r="Y47" s="879"/>
      <c r="Z47" s="879"/>
      <c r="AA47" s="879"/>
      <c r="AB47" s="879"/>
      <c r="AC47" s="879"/>
      <c r="AD47" s="879"/>
    </row>
    <row r="48" spans="1:30" ht="15.6">
      <c r="A48" s="928"/>
      <c r="B48" s="929" t="s">
        <v>174</v>
      </c>
      <c r="C48" s="930" t="s">
        <v>175</v>
      </c>
      <c r="D48" s="931" t="s">
        <v>902</v>
      </c>
      <c r="E48" s="931" t="s">
        <v>378</v>
      </c>
      <c r="F48" s="931" t="s">
        <v>903</v>
      </c>
      <c r="G48" s="931" t="s">
        <v>380</v>
      </c>
      <c r="H48" s="931" t="s">
        <v>381</v>
      </c>
      <c r="I48" s="931" t="s">
        <v>382</v>
      </c>
      <c r="J48" s="931" t="s">
        <v>574</v>
      </c>
      <c r="K48" s="931" t="s">
        <v>575</v>
      </c>
      <c r="L48" s="931" t="s">
        <v>576</v>
      </c>
      <c r="M48" s="931" t="s">
        <v>577</v>
      </c>
      <c r="N48" s="931" t="s">
        <v>578</v>
      </c>
      <c r="O48" s="931" t="s">
        <v>579</v>
      </c>
      <c r="P48" s="931" t="s">
        <v>580</v>
      </c>
      <c r="Q48" s="930" t="s">
        <v>581</v>
      </c>
      <c r="R48" s="928" t="s">
        <v>582</v>
      </c>
      <c r="S48" s="879"/>
      <c r="T48" s="879"/>
      <c r="U48" s="879"/>
      <c r="V48" s="879"/>
      <c r="W48" s="879"/>
      <c r="X48" s="879"/>
      <c r="Y48" s="879"/>
      <c r="Z48" s="879"/>
      <c r="AA48" s="879"/>
      <c r="AB48" s="879"/>
      <c r="AC48" s="879"/>
      <c r="AD48" s="879"/>
    </row>
    <row r="49" spans="1:30" ht="15.6">
      <c r="A49" s="1165" t="s">
        <v>31</v>
      </c>
      <c r="B49" s="1167" t="s">
        <v>904</v>
      </c>
      <c r="C49" s="1168" t="s">
        <v>905</v>
      </c>
      <c r="D49" s="1168" t="s">
        <v>906</v>
      </c>
      <c r="E49" s="932" t="s">
        <v>861</v>
      </c>
      <c r="F49" s="933" t="s">
        <v>862</v>
      </c>
      <c r="G49" s="933" t="s">
        <v>863</v>
      </c>
      <c r="H49" s="933" t="s">
        <v>864</v>
      </c>
      <c r="I49" s="933" t="s">
        <v>865</v>
      </c>
      <c r="J49" s="933" t="s">
        <v>866</v>
      </c>
      <c r="K49" s="933" t="s">
        <v>867</v>
      </c>
      <c r="L49" s="933" t="s">
        <v>868</v>
      </c>
      <c r="M49" s="933" t="s">
        <v>869</v>
      </c>
      <c r="N49" s="933" t="s">
        <v>870</v>
      </c>
      <c r="O49" s="933" t="s">
        <v>871</v>
      </c>
      <c r="P49" s="933" t="s">
        <v>872</v>
      </c>
      <c r="Q49" s="933" t="s">
        <v>861</v>
      </c>
      <c r="R49" s="1170" t="s">
        <v>907</v>
      </c>
      <c r="T49" s="879"/>
      <c r="U49" s="879"/>
      <c r="V49" s="879"/>
      <c r="W49" s="879"/>
      <c r="X49" s="879"/>
      <c r="Y49" s="879"/>
      <c r="Z49" s="879"/>
      <c r="AA49" s="879"/>
      <c r="AB49" s="879"/>
      <c r="AC49" s="879"/>
      <c r="AD49" s="879"/>
    </row>
    <row r="50" spans="1:30" ht="24" customHeight="1">
      <c r="A50" s="1166"/>
      <c r="B50" s="1166"/>
      <c r="C50" s="1169"/>
      <c r="D50" s="1169"/>
      <c r="E50" s="934" t="s">
        <v>895</v>
      </c>
      <c r="F50" s="935" t="s">
        <v>880</v>
      </c>
      <c r="G50" s="935" t="s">
        <v>880</v>
      </c>
      <c r="H50" s="935" t="s">
        <v>880</v>
      </c>
      <c r="I50" s="935" t="s">
        <v>880</v>
      </c>
      <c r="J50" s="935" t="s">
        <v>880</v>
      </c>
      <c r="K50" s="935" t="s">
        <v>880</v>
      </c>
      <c r="L50" s="935" t="s">
        <v>880</v>
      </c>
      <c r="M50" s="935" t="s">
        <v>880</v>
      </c>
      <c r="N50" s="935" t="s">
        <v>880</v>
      </c>
      <c r="O50" s="935" t="s">
        <v>880</v>
      </c>
      <c r="P50" s="935" t="s">
        <v>880</v>
      </c>
      <c r="Q50" s="935" t="s">
        <v>880</v>
      </c>
      <c r="R50" s="1171"/>
      <c r="T50" s="879"/>
      <c r="U50" s="879"/>
      <c r="V50" s="879"/>
      <c r="W50" s="879"/>
      <c r="X50" s="879"/>
      <c r="Y50" s="879"/>
      <c r="Z50" s="879"/>
      <c r="AA50" s="879"/>
      <c r="AB50" s="879"/>
      <c r="AC50" s="879"/>
      <c r="AD50" s="879"/>
    </row>
    <row r="51" spans="1:30" ht="15.6">
      <c r="A51" s="936" t="s">
        <v>908</v>
      </c>
      <c r="B51" s="937"/>
      <c r="C51" s="938"/>
      <c r="D51" s="938"/>
      <c r="E51" s="938"/>
      <c r="F51" s="938"/>
      <c r="G51" s="938"/>
      <c r="H51" s="938"/>
      <c r="I51" s="938"/>
      <c r="J51" s="938"/>
      <c r="K51" s="938"/>
      <c r="L51" s="938"/>
      <c r="M51" s="938"/>
      <c r="N51" s="938"/>
      <c r="O51" s="938"/>
      <c r="P51" s="938"/>
      <c r="Q51" s="938"/>
      <c r="R51" s="939">
        <f t="shared" ref="R51:R60" si="13">IFERROR(SUM(E51:Q51)/13,0)</f>
        <v>0</v>
      </c>
      <c r="T51" s="879"/>
      <c r="U51" s="879"/>
      <c r="V51" s="879"/>
      <c r="W51" s="879"/>
      <c r="X51" s="879"/>
      <c r="Y51" s="879"/>
      <c r="Z51" s="879"/>
      <c r="AA51" s="879"/>
      <c r="AB51" s="879"/>
      <c r="AC51" s="879"/>
      <c r="AD51" s="879"/>
    </row>
    <row r="52" spans="1:30" ht="15.6">
      <c r="A52" s="940" t="s">
        <v>909</v>
      </c>
      <c r="B52" s="941"/>
      <c r="C52" s="938"/>
      <c r="D52" s="938"/>
      <c r="E52" s="938"/>
      <c r="F52" s="938"/>
      <c r="G52" s="938"/>
      <c r="H52" s="938"/>
      <c r="I52" s="938"/>
      <c r="J52" s="938"/>
      <c r="K52" s="938"/>
      <c r="L52" s="938"/>
      <c r="M52" s="938"/>
      <c r="N52" s="938"/>
      <c r="O52" s="938"/>
      <c r="P52" s="938"/>
      <c r="Q52" s="938"/>
      <c r="R52" s="939">
        <f t="shared" si="13"/>
        <v>0</v>
      </c>
      <c r="T52" s="879"/>
      <c r="U52" s="879"/>
      <c r="V52" s="879"/>
      <c r="W52" s="879"/>
      <c r="X52" s="879"/>
      <c r="Y52" s="879"/>
      <c r="Z52" s="879"/>
      <c r="AA52" s="879"/>
      <c r="AB52" s="879"/>
      <c r="AC52" s="879"/>
      <c r="AD52" s="879"/>
    </row>
    <row r="53" spans="1:30" ht="15.6">
      <c r="A53" s="940" t="s">
        <v>910</v>
      </c>
      <c r="B53" s="941"/>
      <c r="C53" s="938"/>
      <c r="D53" s="938"/>
      <c r="E53" s="938"/>
      <c r="F53" s="938"/>
      <c r="G53" s="938"/>
      <c r="H53" s="938"/>
      <c r="I53" s="938"/>
      <c r="J53" s="938"/>
      <c r="K53" s="938"/>
      <c r="L53" s="938"/>
      <c r="M53" s="938"/>
      <c r="N53" s="938"/>
      <c r="O53" s="938"/>
      <c r="P53" s="938"/>
      <c r="Q53" s="938"/>
      <c r="R53" s="939">
        <f t="shared" si="13"/>
        <v>0</v>
      </c>
      <c r="T53" s="879"/>
      <c r="U53" s="879"/>
      <c r="V53" s="879"/>
      <c r="W53" s="879"/>
      <c r="X53" s="879"/>
      <c r="Y53" s="879"/>
      <c r="Z53" s="879"/>
      <c r="AA53" s="879"/>
      <c r="AB53" s="879"/>
      <c r="AC53" s="879"/>
      <c r="AD53" s="879"/>
    </row>
    <row r="54" spans="1:30" ht="15.6">
      <c r="A54" s="940" t="s">
        <v>277</v>
      </c>
      <c r="B54" s="941"/>
      <c r="C54" s="938"/>
      <c r="D54" s="938"/>
      <c r="E54" s="938"/>
      <c r="F54" s="938"/>
      <c r="G54" s="938"/>
      <c r="H54" s="938"/>
      <c r="I54" s="938"/>
      <c r="J54" s="938"/>
      <c r="K54" s="938"/>
      <c r="L54" s="938"/>
      <c r="M54" s="938"/>
      <c r="N54" s="938"/>
      <c r="O54" s="938"/>
      <c r="P54" s="938"/>
      <c r="Q54" s="938"/>
      <c r="R54" s="939">
        <f t="shared" si="13"/>
        <v>0</v>
      </c>
      <c r="T54" s="879"/>
      <c r="U54" s="879"/>
      <c r="V54" s="879"/>
      <c r="W54" s="879"/>
      <c r="X54" s="879"/>
      <c r="Y54" s="879"/>
      <c r="Z54" s="879"/>
      <c r="AA54" s="879"/>
      <c r="AB54" s="879"/>
      <c r="AC54" s="879"/>
      <c r="AD54" s="879"/>
    </row>
    <row r="55" spans="1:30" ht="15.6">
      <c r="A55" s="940" t="s">
        <v>277</v>
      </c>
      <c r="B55" s="941"/>
      <c r="C55" s="938"/>
      <c r="D55" s="938"/>
      <c r="E55" s="938"/>
      <c r="F55" s="938"/>
      <c r="G55" s="938"/>
      <c r="H55" s="938"/>
      <c r="I55" s="938"/>
      <c r="J55" s="938"/>
      <c r="K55" s="938"/>
      <c r="L55" s="938"/>
      <c r="M55" s="938"/>
      <c r="N55" s="938"/>
      <c r="O55" s="938"/>
      <c r="P55" s="938"/>
      <c r="Q55" s="938"/>
      <c r="R55" s="939">
        <f t="shared" si="13"/>
        <v>0</v>
      </c>
      <c r="T55" s="879"/>
      <c r="U55" s="879"/>
      <c r="V55" s="879"/>
      <c r="W55" s="879"/>
      <c r="X55" s="879"/>
      <c r="Y55" s="879"/>
      <c r="Z55" s="879"/>
      <c r="AA55" s="879"/>
      <c r="AB55" s="879"/>
      <c r="AC55" s="879"/>
      <c r="AD55" s="879"/>
    </row>
    <row r="56" spans="1:30" ht="15.6">
      <c r="A56" s="940" t="s">
        <v>277</v>
      </c>
      <c r="B56" s="941"/>
      <c r="C56" s="938"/>
      <c r="D56" s="938"/>
      <c r="E56" s="938"/>
      <c r="F56" s="938"/>
      <c r="G56" s="938"/>
      <c r="H56" s="938"/>
      <c r="I56" s="938"/>
      <c r="J56" s="938"/>
      <c r="K56" s="938"/>
      <c r="L56" s="938"/>
      <c r="M56" s="938"/>
      <c r="N56" s="938"/>
      <c r="O56" s="938"/>
      <c r="P56" s="938"/>
      <c r="Q56" s="938"/>
      <c r="R56" s="939">
        <f t="shared" si="13"/>
        <v>0</v>
      </c>
      <c r="T56" s="879"/>
      <c r="U56" s="879"/>
      <c r="V56" s="879"/>
      <c r="W56" s="879"/>
      <c r="X56" s="879"/>
      <c r="Y56" s="879"/>
      <c r="Z56" s="879"/>
      <c r="AA56" s="879"/>
      <c r="AB56" s="879"/>
      <c r="AC56" s="879"/>
      <c r="AD56" s="879"/>
    </row>
    <row r="57" spans="1:30" ht="15.6">
      <c r="A57" s="940" t="s">
        <v>277</v>
      </c>
      <c r="B57" s="941"/>
      <c r="C57" s="938"/>
      <c r="D57" s="938"/>
      <c r="E57" s="938"/>
      <c r="F57" s="938"/>
      <c r="G57" s="938"/>
      <c r="H57" s="938"/>
      <c r="I57" s="938"/>
      <c r="J57" s="938"/>
      <c r="K57" s="938"/>
      <c r="L57" s="938"/>
      <c r="M57" s="938"/>
      <c r="N57" s="938"/>
      <c r="O57" s="938"/>
      <c r="P57" s="938"/>
      <c r="Q57" s="938"/>
      <c r="R57" s="939">
        <f t="shared" si="13"/>
        <v>0</v>
      </c>
      <c r="T57" s="879"/>
      <c r="U57" s="879"/>
      <c r="V57" s="879"/>
      <c r="W57" s="879"/>
      <c r="X57" s="879"/>
      <c r="Y57" s="879"/>
      <c r="Z57" s="879"/>
      <c r="AA57" s="879"/>
      <c r="AB57" s="879"/>
      <c r="AC57" s="879"/>
      <c r="AD57" s="879"/>
    </row>
    <row r="58" spans="1:30" ht="15.6">
      <c r="A58" s="940" t="s">
        <v>277</v>
      </c>
      <c r="B58" s="941"/>
      <c r="C58" s="938"/>
      <c r="D58" s="938"/>
      <c r="E58" s="938"/>
      <c r="F58" s="938"/>
      <c r="G58" s="938"/>
      <c r="H58" s="938"/>
      <c r="I58" s="938"/>
      <c r="J58" s="938"/>
      <c r="K58" s="938"/>
      <c r="L58" s="938"/>
      <c r="M58" s="938"/>
      <c r="N58" s="938"/>
      <c r="O58" s="938"/>
      <c r="P58" s="938"/>
      <c r="Q58" s="938"/>
      <c r="R58" s="939">
        <f>IFERROR(SUM(E58:Q58)/13,0)</f>
        <v>0</v>
      </c>
      <c r="T58" s="879"/>
      <c r="U58" s="879"/>
      <c r="V58" s="879"/>
      <c r="W58" s="879"/>
      <c r="X58" s="879"/>
      <c r="Y58" s="879"/>
      <c r="Z58" s="879"/>
      <c r="AA58" s="879"/>
      <c r="AB58" s="879"/>
      <c r="AC58" s="879"/>
      <c r="AD58" s="879"/>
    </row>
    <row r="59" spans="1:30" ht="15.6">
      <c r="A59" s="940" t="s">
        <v>277</v>
      </c>
      <c r="B59" s="941"/>
      <c r="C59" s="938"/>
      <c r="D59" s="938"/>
      <c r="E59" s="938"/>
      <c r="F59" s="938"/>
      <c r="G59" s="938"/>
      <c r="H59" s="938"/>
      <c r="I59" s="938"/>
      <c r="J59" s="938"/>
      <c r="K59" s="938"/>
      <c r="L59" s="938"/>
      <c r="M59" s="938"/>
      <c r="N59" s="938"/>
      <c r="O59" s="938"/>
      <c r="P59" s="938"/>
      <c r="Q59" s="938"/>
      <c r="R59" s="939">
        <f t="shared" si="13"/>
        <v>0</v>
      </c>
      <c r="T59" s="879"/>
      <c r="U59" s="879"/>
      <c r="V59" s="879"/>
      <c r="W59" s="879"/>
      <c r="X59" s="879"/>
      <c r="Y59" s="879"/>
      <c r="Z59" s="879"/>
      <c r="AA59" s="879"/>
      <c r="AB59" s="879"/>
      <c r="AC59" s="879"/>
      <c r="AD59" s="879"/>
    </row>
    <row r="60" spans="1:30" ht="15.6">
      <c r="A60" s="942" t="s">
        <v>911</v>
      </c>
      <c r="B60" s="943"/>
      <c r="C60" s="944"/>
      <c r="D60" s="944"/>
      <c r="E60" s="944"/>
      <c r="F60" s="944"/>
      <c r="G60" s="944"/>
      <c r="H60" s="944"/>
      <c r="I60" s="944"/>
      <c r="J60" s="944"/>
      <c r="K60" s="944"/>
      <c r="L60" s="944"/>
      <c r="M60" s="944"/>
      <c r="N60" s="944"/>
      <c r="O60" s="944"/>
      <c r="P60" s="944"/>
      <c r="Q60" s="944"/>
      <c r="R60" s="945">
        <f t="shared" si="13"/>
        <v>0</v>
      </c>
      <c r="T60" s="879"/>
      <c r="U60" s="879"/>
      <c r="V60" s="879"/>
      <c r="W60" s="879"/>
      <c r="X60" s="879"/>
      <c r="Y60" s="879"/>
      <c r="Z60" s="879"/>
      <c r="AA60" s="879"/>
      <c r="AB60" s="879"/>
      <c r="AC60" s="879"/>
      <c r="AD60" s="879"/>
    </row>
    <row r="61" spans="1:30" ht="15.6">
      <c r="A61" s="946">
        <v>6</v>
      </c>
      <c r="B61" s="947"/>
      <c r="C61" s="948"/>
      <c r="D61" s="948" t="s">
        <v>912</v>
      </c>
      <c r="F61" s="949"/>
      <c r="G61" s="949"/>
      <c r="H61" s="949"/>
      <c r="I61" s="949"/>
      <c r="J61" s="949"/>
      <c r="K61" s="949"/>
      <c r="L61" s="949"/>
      <c r="M61" s="949"/>
      <c r="N61" s="925"/>
      <c r="O61" s="925"/>
      <c r="P61" s="925"/>
      <c r="Q61" s="925"/>
      <c r="R61" s="950">
        <f>SUM(R51:R60)</f>
        <v>0</v>
      </c>
      <c r="T61" s="879"/>
      <c r="U61" s="879"/>
      <c r="V61" s="879"/>
      <c r="W61" s="879"/>
      <c r="X61" s="879"/>
      <c r="Y61" s="879"/>
      <c r="Z61" s="879"/>
      <c r="AA61" s="879"/>
      <c r="AB61" s="879"/>
      <c r="AC61" s="879"/>
      <c r="AD61" s="879"/>
    </row>
    <row r="62" spans="1:30" ht="15.6">
      <c r="A62" s="879"/>
      <c r="B62" s="879"/>
      <c r="C62" s="879"/>
      <c r="D62" s="879"/>
      <c r="F62" s="879"/>
      <c r="G62" s="879"/>
      <c r="H62" s="879"/>
      <c r="I62" s="879"/>
      <c r="J62" s="879"/>
      <c r="K62" s="879"/>
      <c r="L62" s="879"/>
      <c r="M62" s="879"/>
      <c r="N62" s="879"/>
      <c r="O62" s="879"/>
      <c r="P62" s="879"/>
      <c r="Q62" s="879"/>
      <c r="R62" s="879"/>
      <c r="S62" s="879"/>
      <c r="T62" s="879"/>
      <c r="U62" s="879"/>
      <c r="V62" s="879"/>
      <c r="W62" s="879"/>
      <c r="X62" s="879"/>
      <c r="Y62" s="879"/>
      <c r="Z62" s="879"/>
      <c r="AA62" s="879"/>
      <c r="AB62" s="879"/>
      <c r="AC62" s="879"/>
      <c r="AD62" s="879"/>
    </row>
    <row r="63" spans="1:30" ht="15.6">
      <c r="A63" s="878"/>
      <c r="B63" s="878"/>
      <c r="C63" s="878"/>
      <c r="D63" s="878"/>
      <c r="E63" s="878"/>
      <c r="F63" s="878"/>
      <c r="G63" s="878"/>
      <c r="H63" s="878"/>
      <c r="I63" s="878"/>
      <c r="J63" s="878"/>
      <c r="K63" s="878"/>
      <c r="L63" s="878"/>
      <c r="M63" s="878"/>
      <c r="N63" s="878"/>
      <c r="O63" s="878"/>
      <c r="P63" s="878"/>
      <c r="Q63" s="878"/>
      <c r="R63" s="878"/>
      <c r="S63" s="878"/>
      <c r="T63" s="878"/>
      <c r="U63" s="878"/>
      <c r="V63" s="878"/>
      <c r="W63" s="879"/>
      <c r="X63" s="879"/>
      <c r="Y63" s="879"/>
      <c r="Z63" s="879"/>
      <c r="AA63" s="879"/>
      <c r="AB63" s="879"/>
      <c r="AC63" s="879"/>
      <c r="AD63" s="879"/>
    </row>
    <row r="64" spans="1:30" ht="15.6">
      <c r="A64" s="878"/>
      <c r="B64" s="878"/>
      <c r="C64" s="878"/>
      <c r="D64" s="878"/>
      <c r="E64" s="878"/>
      <c r="F64" s="878"/>
      <c r="G64" s="878"/>
      <c r="H64" s="878"/>
      <c r="I64" s="878"/>
      <c r="J64" s="878"/>
      <c r="K64" s="878"/>
      <c r="L64" s="878"/>
      <c r="M64" s="878"/>
      <c r="N64" s="878"/>
      <c r="O64" s="878"/>
      <c r="P64" s="878"/>
      <c r="Q64" s="878"/>
      <c r="R64" s="878"/>
      <c r="S64" s="878"/>
      <c r="T64" s="878"/>
      <c r="U64" s="878"/>
      <c r="V64" s="878"/>
      <c r="W64" s="879"/>
      <c r="X64" s="879"/>
      <c r="Y64" s="879"/>
      <c r="Z64" s="879"/>
      <c r="AA64" s="879"/>
      <c r="AB64" s="879"/>
      <c r="AC64" s="879"/>
      <c r="AD64" s="879"/>
    </row>
    <row r="65" spans="1:30" ht="15.6">
      <c r="A65" s="880" t="s">
        <v>181</v>
      </c>
      <c r="B65" s="878"/>
      <c r="C65" s="878"/>
      <c r="D65" s="878"/>
      <c r="E65" s="878"/>
      <c r="F65" s="878"/>
      <c r="G65" s="879"/>
      <c r="H65" s="879"/>
      <c r="I65" s="879"/>
      <c r="J65" s="879"/>
      <c r="K65" s="879"/>
      <c r="L65" s="879"/>
      <c r="M65" s="879"/>
      <c r="N65" s="879"/>
      <c r="O65" s="879"/>
      <c r="P65" s="879"/>
      <c r="Q65" s="879"/>
      <c r="R65" s="879"/>
      <c r="S65" s="879"/>
      <c r="T65" s="878"/>
      <c r="U65" s="878"/>
      <c r="V65" s="878"/>
      <c r="W65" s="879"/>
      <c r="X65" s="879"/>
      <c r="Y65" s="879"/>
      <c r="Z65" s="879"/>
      <c r="AA65" s="879"/>
      <c r="AB65" s="879"/>
      <c r="AC65" s="879"/>
      <c r="AD65" s="879"/>
    </row>
    <row r="66" spans="1:30" ht="15.6">
      <c r="A66" s="878"/>
      <c r="B66" s="878"/>
      <c r="C66" s="878"/>
      <c r="D66" s="878"/>
      <c r="E66" s="878"/>
      <c r="F66" s="878"/>
      <c r="G66" s="879"/>
      <c r="H66" s="879"/>
      <c r="I66" s="879"/>
      <c r="J66" s="879"/>
      <c r="K66" s="879"/>
      <c r="L66" s="879"/>
      <c r="M66" s="879"/>
      <c r="N66" s="879"/>
      <c r="O66" s="879"/>
      <c r="P66" s="879"/>
      <c r="Q66" s="879"/>
      <c r="R66" s="879"/>
      <c r="S66" s="879"/>
      <c r="T66" s="878"/>
      <c r="U66" s="878"/>
      <c r="V66" s="878"/>
      <c r="W66" s="879"/>
      <c r="X66" s="879"/>
      <c r="Y66" s="879"/>
      <c r="Z66" s="879"/>
      <c r="AA66" s="879"/>
      <c r="AB66" s="879"/>
      <c r="AC66" s="879"/>
      <c r="AD66" s="879"/>
    </row>
    <row r="67" spans="1:30" ht="15.6">
      <c r="A67" s="878"/>
      <c r="B67" s="881" t="s">
        <v>174</v>
      </c>
      <c r="C67" s="881" t="s">
        <v>175</v>
      </c>
      <c r="D67" s="882" t="s">
        <v>176</v>
      </c>
      <c r="E67" s="881" t="s">
        <v>378</v>
      </c>
      <c r="F67" s="882" t="s">
        <v>379</v>
      </c>
      <c r="G67" s="881" t="s">
        <v>380</v>
      </c>
      <c r="H67" s="882" t="s">
        <v>381</v>
      </c>
      <c r="I67" s="881" t="s">
        <v>382</v>
      </c>
      <c r="J67" s="882" t="s">
        <v>574</v>
      </c>
      <c r="K67" s="881" t="s">
        <v>575</v>
      </c>
      <c r="L67" s="882" t="s">
        <v>576</v>
      </c>
      <c r="M67" s="881" t="s">
        <v>577</v>
      </c>
      <c r="N67" s="882" t="s">
        <v>578</v>
      </c>
      <c r="O67" s="881" t="s">
        <v>579</v>
      </c>
      <c r="P67" s="882" t="s">
        <v>580</v>
      </c>
      <c r="Q67" s="881" t="s">
        <v>581</v>
      </c>
      <c r="R67" s="881" t="s">
        <v>582</v>
      </c>
      <c r="S67" s="882" t="s">
        <v>851</v>
      </c>
      <c r="T67" s="882" t="s">
        <v>852</v>
      </c>
      <c r="U67" s="882" t="s">
        <v>853</v>
      </c>
      <c r="V67" s="882" t="s">
        <v>854</v>
      </c>
      <c r="W67" s="879"/>
      <c r="X67" s="879"/>
      <c r="Y67" s="879"/>
      <c r="Z67" s="879"/>
      <c r="AA67" s="879"/>
      <c r="AB67" s="879"/>
      <c r="AC67" s="879"/>
      <c r="AD67" s="879"/>
    </row>
    <row r="68" spans="1:30" ht="15.6">
      <c r="A68" s="951"/>
      <c r="B68" s="1178" t="s">
        <v>649</v>
      </c>
      <c r="C68" s="1180" t="s">
        <v>913</v>
      </c>
      <c r="D68" s="1180" t="s">
        <v>914</v>
      </c>
      <c r="E68" s="1180" t="s">
        <v>915</v>
      </c>
      <c r="F68" s="1180" t="s">
        <v>916</v>
      </c>
      <c r="G68" s="932" t="s">
        <v>861</v>
      </c>
      <c r="H68" s="933" t="s">
        <v>862</v>
      </c>
      <c r="I68" s="933" t="s">
        <v>863</v>
      </c>
      <c r="J68" s="933" t="s">
        <v>864</v>
      </c>
      <c r="K68" s="933" t="s">
        <v>865</v>
      </c>
      <c r="L68" s="933" t="s">
        <v>866</v>
      </c>
      <c r="M68" s="933" t="s">
        <v>867</v>
      </c>
      <c r="N68" s="933" t="s">
        <v>868</v>
      </c>
      <c r="O68" s="933" t="s">
        <v>869</v>
      </c>
      <c r="P68" s="933" t="s">
        <v>870</v>
      </c>
      <c r="Q68" s="933" t="s">
        <v>871</v>
      </c>
      <c r="R68" s="933" t="s">
        <v>872</v>
      </c>
      <c r="S68" s="933" t="s">
        <v>861</v>
      </c>
      <c r="T68" s="1172" t="s">
        <v>917</v>
      </c>
      <c r="U68" s="1172" t="s">
        <v>918</v>
      </c>
      <c r="V68" s="1174" t="s">
        <v>919</v>
      </c>
      <c r="W68" s="879"/>
      <c r="X68" s="879"/>
      <c r="Y68" s="879"/>
      <c r="Z68" s="879"/>
      <c r="AA68" s="879"/>
      <c r="AB68" s="879"/>
      <c r="AC68" s="879"/>
      <c r="AD68" s="879"/>
    </row>
    <row r="69" spans="1:30" ht="25.5" customHeight="1">
      <c r="A69" s="952" t="s">
        <v>31</v>
      </c>
      <c r="B69" s="1179"/>
      <c r="C69" s="1181"/>
      <c r="D69" s="1181"/>
      <c r="E69" s="1181"/>
      <c r="F69" s="1181"/>
      <c r="G69" s="934" t="s">
        <v>880</v>
      </c>
      <c r="H69" s="935" t="s">
        <v>881</v>
      </c>
      <c r="I69" s="935" t="s">
        <v>881</v>
      </c>
      <c r="J69" s="935" t="s">
        <v>881</v>
      </c>
      <c r="K69" s="935" t="s">
        <v>920</v>
      </c>
      <c r="L69" s="935" t="s">
        <v>881</v>
      </c>
      <c r="M69" s="935" t="s">
        <v>881</v>
      </c>
      <c r="N69" s="935" t="s">
        <v>881</v>
      </c>
      <c r="O69" s="935" t="s">
        <v>881</v>
      </c>
      <c r="P69" s="935" t="s">
        <v>881</v>
      </c>
      <c r="Q69" s="935" t="s">
        <v>881</v>
      </c>
      <c r="R69" s="935" t="s">
        <v>881</v>
      </c>
      <c r="S69" s="935" t="s">
        <v>881</v>
      </c>
      <c r="T69" s="1173"/>
      <c r="U69" s="1173"/>
      <c r="V69" s="1175"/>
      <c r="W69" s="879"/>
      <c r="X69" s="879"/>
      <c r="Y69" s="879"/>
      <c r="Z69" s="879"/>
      <c r="AA69" s="879"/>
      <c r="AB69" s="879"/>
      <c r="AC69" s="879"/>
      <c r="AD69" s="879"/>
    </row>
    <row r="70" spans="1:30" ht="15.6">
      <c r="A70" s="892" t="s">
        <v>921</v>
      </c>
      <c r="B70" s="895"/>
      <c r="C70" s="895"/>
      <c r="D70" s="895"/>
      <c r="E70" s="895"/>
      <c r="F70" s="895"/>
      <c r="G70" s="895"/>
      <c r="H70" s="895"/>
      <c r="I70" s="895"/>
      <c r="J70" s="895"/>
      <c r="K70" s="895"/>
      <c r="L70" s="894"/>
      <c r="M70" s="895"/>
      <c r="N70" s="895"/>
      <c r="O70" s="895"/>
      <c r="P70" s="895"/>
      <c r="Q70" s="895"/>
      <c r="R70" s="895"/>
      <c r="S70" s="895"/>
      <c r="T70" s="953">
        <f>SUM(G70:S70)/13</f>
        <v>0</v>
      </c>
      <c r="U70" s="954">
        <v>0</v>
      </c>
      <c r="V70" s="955">
        <f>T70*U70</f>
        <v>0</v>
      </c>
      <c r="W70" s="879"/>
      <c r="X70" s="879"/>
      <c r="Y70" s="879"/>
      <c r="Z70" s="879"/>
      <c r="AA70" s="879"/>
      <c r="AB70" s="879"/>
      <c r="AC70" s="879"/>
      <c r="AD70" s="879"/>
    </row>
    <row r="71" spans="1:30" ht="15.6">
      <c r="A71" s="892" t="s">
        <v>922</v>
      </c>
      <c r="B71" s="904"/>
      <c r="C71" s="904"/>
      <c r="D71" s="904"/>
      <c r="E71" s="904"/>
      <c r="F71" s="904"/>
      <c r="G71" s="904"/>
      <c r="H71" s="904"/>
      <c r="I71" s="904"/>
      <c r="J71" s="904"/>
      <c r="K71" s="904"/>
      <c r="L71" s="904"/>
      <c r="M71" s="904"/>
      <c r="N71" s="904"/>
      <c r="O71" s="904"/>
      <c r="P71" s="904"/>
      <c r="Q71" s="904"/>
      <c r="R71" s="904"/>
      <c r="S71" s="904"/>
      <c r="T71" s="956">
        <f t="shared" ref="T71:T80" si="14">SUM(G71:S71)/13</f>
        <v>0</v>
      </c>
      <c r="U71" s="957">
        <v>0</v>
      </c>
      <c r="V71" s="958">
        <f t="shared" ref="V71:V80" si="15">T71*U71</f>
        <v>0</v>
      </c>
      <c r="W71" s="879"/>
      <c r="X71" s="879"/>
      <c r="Y71" s="879"/>
      <c r="Z71" s="879"/>
      <c r="AA71" s="879"/>
      <c r="AB71" s="879"/>
      <c r="AC71" s="879"/>
      <c r="AD71" s="879"/>
    </row>
    <row r="72" spans="1:30" ht="15.6">
      <c r="A72" s="892" t="s">
        <v>923</v>
      </c>
      <c r="B72" s="904"/>
      <c r="C72" s="904"/>
      <c r="D72" s="904"/>
      <c r="E72" s="904"/>
      <c r="F72" s="904"/>
      <c r="G72" s="904"/>
      <c r="H72" s="904"/>
      <c r="I72" s="904"/>
      <c r="J72" s="904"/>
      <c r="K72" s="904"/>
      <c r="L72" s="904"/>
      <c r="M72" s="904"/>
      <c r="N72" s="904"/>
      <c r="O72" s="904"/>
      <c r="P72" s="904"/>
      <c r="Q72" s="904"/>
      <c r="R72" s="904"/>
      <c r="S72" s="904"/>
      <c r="T72" s="956">
        <f t="shared" si="14"/>
        <v>0</v>
      </c>
      <c r="U72" s="957">
        <v>0</v>
      </c>
      <c r="V72" s="958">
        <f t="shared" si="15"/>
        <v>0</v>
      </c>
      <c r="W72" s="879"/>
      <c r="X72" s="879"/>
      <c r="Y72" s="879"/>
      <c r="Z72" s="879"/>
      <c r="AA72" s="879"/>
      <c r="AB72" s="879"/>
      <c r="AC72" s="879"/>
      <c r="AD72" s="879"/>
    </row>
    <row r="73" spans="1:30" ht="15.6">
      <c r="A73" s="892"/>
      <c r="B73" s="904"/>
      <c r="C73" s="904"/>
      <c r="D73" s="904"/>
      <c r="E73" s="904"/>
      <c r="F73" s="904"/>
      <c r="G73" s="904"/>
      <c r="H73" s="904"/>
      <c r="I73" s="904"/>
      <c r="J73" s="904"/>
      <c r="K73" s="904"/>
      <c r="L73" s="904"/>
      <c r="M73" s="904"/>
      <c r="N73" s="904"/>
      <c r="O73" s="904"/>
      <c r="P73" s="904"/>
      <c r="Q73" s="904"/>
      <c r="R73" s="904"/>
      <c r="S73" s="904"/>
      <c r="T73" s="956">
        <f t="shared" si="14"/>
        <v>0</v>
      </c>
      <c r="U73" s="957">
        <v>0</v>
      </c>
      <c r="V73" s="958">
        <f t="shared" si="15"/>
        <v>0</v>
      </c>
      <c r="W73" s="879"/>
      <c r="X73" s="879"/>
      <c r="Y73" s="879"/>
      <c r="Z73" s="879"/>
      <c r="AA73" s="879"/>
      <c r="AB73" s="879"/>
      <c r="AC73" s="879"/>
      <c r="AD73" s="879"/>
    </row>
    <row r="74" spans="1:30" ht="15.6">
      <c r="A74" s="892" t="s">
        <v>277</v>
      </c>
      <c r="B74" s="904"/>
      <c r="C74" s="904"/>
      <c r="D74" s="904"/>
      <c r="E74" s="904"/>
      <c r="F74" s="904"/>
      <c r="G74" s="904"/>
      <c r="H74" s="904"/>
      <c r="I74" s="904"/>
      <c r="J74" s="904"/>
      <c r="K74" s="904"/>
      <c r="L74" s="904"/>
      <c r="M74" s="904"/>
      <c r="N74" s="904"/>
      <c r="O74" s="904"/>
      <c r="P74" s="904"/>
      <c r="Q74" s="904"/>
      <c r="R74" s="904"/>
      <c r="S74" s="904"/>
      <c r="T74" s="956">
        <f t="shared" si="14"/>
        <v>0</v>
      </c>
      <c r="U74" s="957">
        <v>0</v>
      </c>
      <c r="V74" s="958">
        <f t="shared" si="15"/>
        <v>0</v>
      </c>
      <c r="W74" s="879"/>
      <c r="X74" s="879"/>
      <c r="Y74" s="879"/>
      <c r="Z74" s="879"/>
      <c r="AA74" s="879"/>
      <c r="AB74" s="879"/>
      <c r="AC74" s="879"/>
      <c r="AD74" s="879"/>
    </row>
    <row r="75" spans="1:30" ht="15.6">
      <c r="A75" s="892"/>
      <c r="B75" s="904"/>
      <c r="C75" s="904"/>
      <c r="D75" s="904"/>
      <c r="E75" s="904"/>
      <c r="F75" s="904"/>
      <c r="G75" s="904"/>
      <c r="H75" s="904"/>
      <c r="I75" s="904"/>
      <c r="J75" s="904"/>
      <c r="K75" s="904"/>
      <c r="L75" s="904"/>
      <c r="M75" s="904"/>
      <c r="N75" s="904"/>
      <c r="O75" s="904"/>
      <c r="P75" s="904"/>
      <c r="Q75" s="904"/>
      <c r="R75" s="904"/>
      <c r="S75" s="904"/>
      <c r="T75" s="956">
        <f t="shared" si="14"/>
        <v>0</v>
      </c>
      <c r="U75" s="957">
        <v>0</v>
      </c>
      <c r="V75" s="958">
        <f t="shared" si="15"/>
        <v>0</v>
      </c>
      <c r="W75" s="879"/>
      <c r="X75" s="879"/>
      <c r="Y75" s="879"/>
      <c r="Z75" s="879"/>
      <c r="AA75" s="879"/>
      <c r="AB75" s="879"/>
      <c r="AC75" s="879"/>
      <c r="AD75" s="879"/>
    </row>
    <row r="76" spans="1:30" ht="15.6">
      <c r="A76" s="892"/>
      <c r="B76" s="904"/>
      <c r="C76" s="904"/>
      <c r="D76" s="904"/>
      <c r="E76" s="904"/>
      <c r="F76" s="904"/>
      <c r="G76" s="904"/>
      <c r="H76" s="904"/>
      <c r="I76" s="904"/>
      <c r="J76" s="904"/>
      <c r="K76" s="904"/>
      <c r="L76" s="904"/>
      <c r="M76" s="904"/>
      <c r="N76" s="904"/>
      <c r="O76" s="904"/>
      <c r="P76" s="904"/>
      <c r="Q76" s="904"/>
      <c r="R76" s="904"/>
      <c r="S76" s="904"/>
      <c r="T76" s="956">
        <f t="shared" si="14"/>
        <v>0</v>
      </c>
      <c r="U76" s="957">
        <v>0</v>
      </c>
      <c r="V76" s="958">
        <f t="shared" si="15"/>
        <v>0</v>
      </c>
      <c r="W76" s="879"/>
      <c r="X76" s="879"/>
      <c r="Y76" s="879"/>
      <c r="Z76" s="879"/>
      <c r="AA76" s="879"/>
      <c r="AB76" s="879"/>
      <c r="AC76" s="879"/>
      <c r="AD76" s="879"/>
    </row>
    <row r="77" spans="1:30" ht="15.6">
      <c r="A77" s="892"/>
      <c r="B77" s="904"/>
      <c r="C77" s="904"/>
      <c r="D77" s="904"/>
      <c r="E77" s="904"/>
      <c r="F77" s="904"/>
      <c r="G77" s="904"/>
      <c r="H77" s="904"/>
      <c r="I77" s="904"/>
      <c r="J77" s="904"/>
      <c r="K77" s="904"/>
      <c r="L77" s="904"/>
      <c r="M77" s="904"/>
      <c r="N77" s="904"/>
      <c r="O77" s="904"/>
      <c r="P77" s="904"/>
      <c r="Q77" s="904"/>
      <c r="R77" s="904"/>
      <c r="S77" s="904"/>
      <c r="T77" s="956">
        <f t="shared" si="14"/>
        <v>0</v>
      </c>
      <c r="U77" s="957">
        <v>0</v>
      </c>
      <c r="V77" s="958">
        <f t="shared" si="15"/>
        <v>0</v>
      </c>
      <c r="W77" s="879"/>
      <c r="X77" s="879"/>
      <c r="Y77" s="879"/>
      <c r="Z77" s="879"/>
      <c r="AA77" s="879"/>
      <c r="AB77" s="879"/>
      <c r="AC77" s="879"/>
      <c r="AD77" s="879"/>
    </row>
    <row r="78" spans="1:30" ht="15.6">
      <c r="A78" s="892" t="s">
        <v>277</v>
      </c>
      <c r="B78" s="904"/>
      <c r="C78" s="904"/>
      <c r="D78" s="904"/>
      <c r="E78" s="904"/>
      <c r="F78" s="904"/>
      <c r="G78" s="904"/>
      <c r="H78" s="904"/>
      <c r="I78" s="904"/>
      <c r="J78" s="904"/>
      <c r="K78" s="904"/>
      <c r="L78" s="904"/>
      <c r="M78" s="904"/>
      <c r="N78" s="904"/>
      <c r="O78" s="904"/>
      <c r="P78" s="904"/>
      <c r="Q78" s="904"/>
      <c r="R78" s="904"/>
      <c r="S78" s="904"/>
      <c r="T78" s="956">
        <f t="shared" si="14"/>
        <v>0</v>
      </c>
      <c r="U78" s="957">
        <v>0</v>
      </c>
      <c r="V78" s="958">
        <f t="shared" si="15"/>
        <v>0</v>
      </c>
      <c r="W78" s="879"/>
      <c r="X78" s="879"/>
      <c r="Y78" s="879"/>
      <c r="Z78" s="879"/>
      <c r="AA78" s="879"/>
      <c r="AB78" s="879"/>
      <c r="AC78" s="879"/>
      <c r="AD78" s="879"/>
    </row>
    <row r="79" spans="1:30" ht="15.6">
      <c r="A79" s="892"/>
      <c r="B79" s="904"/>
      <c r="C79" s="904"/>
      <c r="D79" s="904"/>
      <c r="E79" s="904"/>
      <c r="F79" s="904"/>
      <c r="G79" s="904"/>
      <c r="H79" s="904"/>
      <c r="I79" s="904"/>
      <c r="J79" s="904"/>
      <c r="K79" s="904"/>
      <c r="L79" s="904"/>
      <c r="M79" s="904"/>
      <c r="N79" s="904"/>
      <c r="O79" s="904"/>
      <c r="P79" s="904"/>
      <c r="Q79" s="904"/>
      <c r="R79" s="904"/>
      <c r="S79" s="904"/>
      <c r="T79" s="956">
        <f t="shared" si="14"/>
        <v>0</v>
      </c>
      <c r="U79" s="957">
        <v>0</v>
      </c>
      <c r="V79" s="958">
        <f t="shared" si="15"/>
        <v>0</v>
      </c>
      <c r="W79" s="879"/>
      <c r="X79" s="879"/>
      <c r="Y79" s="879"/>
      <c r="Z79" s="879"/>
      <c r="AA79" s="879"/>
      <c r="AB79" s="879"/>
      <c r="AC79" s="879"/>
      <c r="AD79" s="879"/>
    </row>
    <row r="80" spans="1:30" ht="15.6">
      <c r="A80" s="959" t="s">
        <v>924</v>
      </c>
      <c r="B80" s="911"/>
      <c r="C80" s="911"/>
      <c r="D80" s="911"/>
      <c r="E80" s="911"/>
      <c r="F80" s="911"/>
      <c r="G80" s="911"/>
      <c r="H80" s="911"/>
      <c r="I80" s="911"/>
      <c r="J80" s="911"/>
      <c r="K80" s="911"/>
      <c r="L80" s="911"/>
      <c r="M80" s="911"/>
      <c r="N80" s="911"/>
      <c r="O80" s="911"/>
      <c r="P80" s="911"/>
      <c r="Q80" s="911"/>
      <c r="R80" s="911"/>
      <c r="S80" s="911"/>
      <c r="T80" s="960">
        <f t="shared" si="14"/>
        <v>0</v>
      </c>
      <c r="U80" s="961">
        <v>0</v>
      </c>
      <c r="V80" s="962">
        <f t="shared" si="15"/>
        <v>0</v>
      </c>
      <c r="W80" s="879"/>
      <c r="X80" s="879"/>
      <c r="Y80" s="879"/>
      <c r="Z80" s="879"/>
      <c r="AA80" s="879"/>
      <c r="AB80" s="879"/>
      <c r="AC80" s="879"/>
      <c r="AD80" s="879"/>
    </row>
    <row r="81" spans="1:30" ht="15.6">
      <c r="A81" s="917">
        <v>8</v>
      </c>
      <c r="B81" s="963" t="s">
        <v>925</v>
      </c>
      <c r="C81" s="964"/>
      <c r="D81" s="964"/>
      <c r="E81" s="964"/>
      <c r="F81" s="964"/>
      <c r="G81" s="964"/>
      <c r="H81" s="964"/>
      <c r="I81" s="964"/>
      <c r="J81" s="964"/>
      <c r="K81" s="964"/>
      <c r="L81" s="964"/>
      <c r="M81" s="964"/>
      <c r="N81" s="964"/>
      <c r="O81" s="964"/>
      <c r="P81" s="964"/>
      <c r="Q81" s="964"/>
      <c r="R81" s="964"/>
      <c r="S81" s="964"/>
      <c r="T81" s="964" t="s">
        <v>926</v>
      </c>
      <c r="U81" s="964"/>
      <c r="V81" s="965">
        <f>SUM(V70:V80)</f>
        <v>0</v>
      </c>
      <c r="W81" s="879"/>
      <c r="X81" s="879"/>
      <c r="Y81" s="879"/>
      <c r="Z81" s="879"/>
      <c r="AA81" s="879"/>
      <c r="AB81" s="879"/>
      <c r="AC81" s="879"/>
      <c r="AD81" s="879"/>
    </row>
    <row r="82" spans="1:30" ht="15.6">
      <c r="A82" s="878"/>
      <c r="B82" s="878"/>
      <c r="C82" s="878"/>
      <c r="D82" s="878"/>
      <c r="E82" s="878"/>
      <c r="F82" s="878"/>
      <c r="G82" s="878"/>
      <c r="H82" s="878"/>
      <c r="I82" s="878"/>
      <c r="J82" s="878"/>
      <c r="K82" s="878"/>
      <c r="L82" s="878"/>
      <c r="M82" s="878"/>
      <c r="N82" s="878"/>
      <c r="O82" s="878"/>
      <c r="P82" s="878"/>
      <c r="Q82" s="878"/>
      <c r="R82" s="878"/>
      <c r="S82" s="878"/>
      <c r="T82" s="878"/>
      <c r="U82" s="878"/>
      <c r="V82" s="878"/>
      <c r="W82" s="879"/>
      <c r="X82" s="879"/>
      <c r="Y82" s="879"/>
      <c r="Z82" s="879"/>
      <c r="AA82" s="879"/>
      <c r="AB82" s="879"/>
      <c r="AC82" s="879"/>
      <c r="AD82" s="879"/>
    </row>
    <row r="83" spans="1:30" ht="15.6">
      <c r="A83" s="878" t="s">
        <v>927</v>
      </c>
      <c r="B83" s="878"/>
      <c r="C83" s="878"/>
      <c r="D83" s="878"/>
      <c r="E83" s="878"/>
      <c r="F83" s="878"/>
      <c r="G83" s="878"/>
      <c r="H83" s="878"/>
      <c r="I83" s="878"/>
      <c r="J83" s="878"/>
      <c r="K83" s="878"/>
      <c r="L83" s="878"/>
      <c r="M83" s="878"/>
      <c r="N83" s="878"/>
      <c r="O83" s="878"/>
      <c r="P83" s="878"/>
      <c r="Q83" s="878"/>
      <c r="R83" s="878"/>
      <c r="S83" s="878"/>
      <c r="T83" s="878"/>
      <c r="U83" s="878"/>
      <c r="V83" s="878"/>
      <c r="W83" s="879"/>
      <c r="X83" s="879"/>
      <c r="Y83" s="879"/>
      <c r="Z83" s="879"/>
      <c r="AA83" s="879"/>
      <c r="AB83" s="879"/>
      <c r="AC83" s="879"/>
      <c r="AD83" s="879"/>
    </row>
    <row r="84" spans="1:30" ht="15.6">
      <c r="A84" s="878"/>
      <c r="B84" s="878"/>
      <c r="C84" s="878"/>
      <c r="D84" s="878"/>
      <c r="E84" s="878"/>
      <c r="F84" s="878"/>
      <c r="G84" s="878"/>
      <c r="H84" s="878"/>
      <c r="I84" s="878"/>
      <c r="J84" s="878"/>
      <c r="K84" s="878"/>
      <c r="L84" s="878"/>
      <c r="M84" s="878"/>
      <c r="N84" s="878"/>
      <c r="O84" s="878"/>
      <c r="P84" s="878"/>
      <c r="Q84" s="878"/>
      <c r="R84" s="878"/>
      <c r="S84" s="878"/>
      <c r="T84" s="878"/>
      <c r="U84" s="878"/>
      <c r="V84" s="878"/>
      <c r="W84" s="879"/>
      <c r="X84" s="879"/>
      <c r="Y84" s="879"/>
      <c r="Z84" s="879"/>
      <c r="AA84" s="879"/>
      <c r="AB84" s="879"/>
      <c r="AC84" s="879"/>
      <c r="AD84" s="879"/>
    </row>
    <row r="85" spans="1:30" ht="15.6">
      <c r="A85" s="966"/>
      <c r="B85" s="967"/>
      <c r="C85" s="967"/>
      <c r="D85" s="968"/>
      <c r="E85" s="968"/>
      <c r="F85" s="968"/>
      <c r="G85" s="967"/>
      <c r="H85" s="967"/>
      <c r="I85" s="968"/>
      <c r="J85" s="968"/>
      <c r="K85" s="968"/>
      <c r="L85" s="968"/>
      <c r="M85" s="968"/>
      <c r="N85" s="879"/>
      <c r="O85" s="879"/>
      <c r="P85" s="879"/>
      <c r="Q85" s="879"/>
      <c r="R85" s="879"/>
      <c r="S85" s="879"/>
      <c r="T85" s="879"/>
      <c r="U85" s="879"/>
      <c r="V85" s="879"/>
      <c r="W85" s="879"/>
      <c r="X85" s="879"/>
      <c r="Y85" s="879"/>
      <c r="Z85" s="879"/>
      <c r="AA85" s="879"/>
      <c r="AB85" s="879"/>
      <c r="AC85" s="879"/>
      <c r="AD85" s="879"/>
    </row>
    <row r="86" spans="1:30" ht="15.6">
      <c r="A86" s="966"/>
      <c r="B86" s="967"/>
      <c r="C86" s="967"/>
      <c r="D86" s="967"/>
      <c r="E86" s="967"/>
      <c r="F86" s="967"/>
      <c r="G86" s="967"/>
      <c r="H86" s="967"/>
      <c r="I86" s="967"/>
      <c r="J86" s="967"/>
      <c r="K86" s="967"/>
      <c r="L86" s="967"/>
      <c r="M86" s="967"/>
      <c r="N86" s="879"/>
      <c r="O86" s="879"/>
      <c r="P86" s="879"/>
      <c r="Q86" s="879"/>
      <c r="R86" s="879"/>
      <c r="S86" s="879"/>
      <c r="T86" s="879"/>
      <c r="U86" s="879"/>
      <c r="V86" s="879"/>
      <c r="W86" s="879"/>
      <c r="X86" s="879"/>
      <c r="Y86" s="879"/>
      <c r="Z86" s="879"/>
      <c r="AA86" s="879"/>
      <c r="AB86" s="879"/>
      <c r="AC86" s="879"/>
      <c r="AD86" s="879"/>
    </row>
    <row r="87" spans="1:30" ht="15.6">
      <c r="A87" s="969" t="s">
        <v>928</v>
      </c>
      <c r="B87" s="969"/>
      <c r="C87" s="969"/>
      <c r="D87" s="967"/>
      <c r="E87" s="967"/>
      <c r="F87" s="967"/>
      <c r="G87" s="967"/>
      <c r="H87" s="967"/>
      <c r="I87" s="967"/>
      <c r="J87" s="967"/>
      <c r="K87" s="967"/>
      <c r="L87" s="967"/>
      <c r="M87" s="967"/>
      <c r="N87" s="879"/>
      <c r="O87" s="879"/>
      <c r="P87" s="879"/>
      <c r="Q87" s="879"/>
      <c r="R87" s="879"/>
      <c r="S87" s="879"/>
      <c r="T87" s="879"/>
      <c r="U87" s="879"/>
      <c r="V87" s="879"/>
      <c r="W87" s="879"/>
      <c r="X87" s="879"/>
      <c r="Y87" s="879"/>
      <c r="Z87" s="879"/>
      <c r="AA87" s="879"/>
      <c r="AB87" s="879"/>
      <c r="AC87" s="879"/>
      <c r="AD87" s="879"/>
    </row>
    <row r="88" spans="1:30" ht="15.6">
      <c r="A88" s="966"/>
      <c r="B88" s="967" t="s">
        <v>929</v>
      </c>
      <c r="C88" s="967"/>
      <c r="D88" s="967"/>
      <c r="E88" s="967"/>
      <c r="F88" s="967"/>
      <c r="G88" s="967"/>
      <c r="H88" s="967"/>
      <c r="I88" s="967"/>
      <c r="J88" s="967"/>
      <c r="K88" s="967"/>
      <c r="L88" s="967"/>
      <c r="M88" s="967"/>
      <c r="N88" s="879"/>
      <c r="O88" s="879"/>
      <c r="P88" s="879"/>
      <c r="Q88" s="879"/>
      <c r="R88" s="879"/>
      <c r="S88" s="879"/>
      <c r="T88" s="879"/>
      <c r="U88" s="879"/>
      <c r="V88" s="879"/>
      <c r="W88" s="879"/>
      <c r="X88" s="879"/>
      <c r="Y88" s="879"/>
      <c r="Z88" s="879"/>
      <c r="AA88" s="879"/>
      <c r="AB88" s="879"/>
      <c r="AC88" s="879"/>
      <c r="AD88" s="879"/>
    </row>
    <row r="89" spans="1:30" ht="15.6">
      <c r="A89" s="966"/>
      <c r="B89" s="967"/>
      <c r="C89" s="967"/>
      <c r="D89" s="967"/>
      <c r="E89" s="967"/>
      <c r="F89" s="967"/>
      <c r="G89" s="967"/>
      <c r="H89" s="967"/>
      <c r="I89" s="967"/>
      <c r="J89" s="967"/>
      <c r="K89" s="967"/>
      <c r="L89" s="967"/>
      <c r="M89" s="967"/>
      <c r="N89" s="879"/>
      <c r="O89" s="879"/>
      <c r="P89" s="879"/>
      <c r="Q89" s="879"/>
      <c r="R89" s="879"/>
      <c r="S89" s="879"/>
      <c r="T89" s="879"/>
      <c r="U89" s="879"/>
      <c r="V89" s="879"/>
      <c r="W89" s="879"/>
      <c r="X89" s="879"/>
      <c r="Y89" s="879"/>
      <c r="Z89" s="879"/>
      <c r="AA89" s="879"/>
      <c r="AB89" s="879"/>
      <c r="AC89" s="879"/>
      <c r="AD89" s="879"/>
    </row>
    <row r="90" spans="1:30" ht="15.6">
      <c r="A90" s="970"/>
      <c r="B90" s="971" t="s">
        <v>614</v>
      </c>
      <c r="C90" s="972">
        <v>350</v>
      </c>
      <c r="D90" s="972">
        <v>352</v>
      </c>
      <c r="E90" s="972">
        <v>352</v>
      </c>
      <c r="F90" s="972">
        <v>353</v>
      </c>
      <c r="G90" s="972">
        <v>354</v>
      </c>
      <c r="H90" s="972">
        <v>355</v>
      </c>
      <c r="I90" s="972">
        <v>356</v>
      </c>
      <c r="J90" s="972">
        <v>357</v>
      </c>
      <c r="K90" s="972">
        <v>358</v>
      </c>
      <c r="L90" s="972">
        <v>359</v>
      </c>
      <c r="M90" s="973"/>
      <c r="N90" s="879"/>
      <c r="O90" s="879"/>
      <c r="P90" s="879"/>
      <c r="Q90" s="879"/>
      <c r="R90" s="879"/>
      <c r="S90" s="879"/>
      <c r="T90" s="879"/>
      <c r="U90" s="879"/>
      <c r="V90" s="879"/>
      <c r="W90" s="879"/>
      <c r="X90" s="879"/>
      <c r="Y90" s="879"/>
      <c r="Z90" s="879"/>
      <c r="AA90" s="879"/>
      <c r="AB90" s="879"/>
      <c r="AC90" s="879"/>
      <c r="AD90" s="879"/>
    </row>
    <row r="91" spans="1:30" ht="58.5" customHeight="1">
      <c r="A91" s="974"/>
      <c r="B91" s="975"/>
      <c r="C91" s="976" t="s">
        <v>930</v>
      </c>
      <c r="D91" s="976" t="s">
        <v>931</v>
      </c>
      <c r="E91" s="976" t="s">
        <v>932</v>
      </c>
      <c r="F91" s="976" t="s">
        <v>933</v>
      </c>
      <c r="G91" s="976" t="s">
        <v>934</v>
      </c>
      <c r="H91" s="976" t="s">
        <v>935</v>
      </c>
      <c r="I91" s="976" t="s">
        <v>936</v>
      </c>
      <c r="J91" s="976" t="s">
        <v>937</v>
      </c>
      <c r="K91" s="976" t="s">
        <v>938</v>
      </c>
      <c r="L91" s="976" t="s">
        <v>939</v>
      </c>
      <c r="M91" s="977" t="s">
        <v>36</v>
      </c>
      <c r="N91" s="879"/>
      <c r="O91" s="879"/>
      <c r="P91" s="879"/>
      <c r="Q91" s="879"/>
      <c r="R91" s="879"/>
      <c r="S91" s="879"/>
      <c r="T91" s="879"/>
      <c r="U91" s="879"/>
      <c r="V91" s="879"/>
      <c r="W91" s="879"/>
      <c r="X91" s="879"/>
      <c r="Y91" s="879"/>
      <c r="Z91" s="879"/>
      <c r="AA91" s="879"/>
      <c r="AB91" s="879"/>
      <c r="AC91" s="879"/>
      <c r="AD91" s="879"/>
    </row>
    <row r="92" spans="1:30" ht="15.6">
      <c r="A92" s="978" t="s">
        <v>285</v>
      </c>
      <c r="B92" s="979"/>
      <c r="C92" s="980"/>
      <c r="D92" s="980"/>
      <c r="E92" s="980"/>
      <c r="F92" s="980"/>
      <c r="G92" s="980"/>
      <c r="H92" s="980"/>
      <c r="I92" s="980"/>
      <c r="J92" s="980"/>
      <c r="K92" s="980"/>
      <c r="L92" s="980"/>
      <c r="M92" s="981">
        <f t="shared" ref="M92:M108" si="16">SUM(C92:L92)</f>
        <v>0</v>
      </c>
      <c r="N92" s="879"/>
      <c r="O92" s="879"/>
      <c r="P92" s="879"/>
      <c r="Q92" s="879"/>
      <c r="R92" s="879"/>
      <c r="S92" s="879"/>
      <c r="T92" s="879"/>
      <c r="U92" s="879"/>
      <c r="V92" s="879"/>
      <c r="W92" s="879"/>
      <c r="X92" s="879"/>
      <c r="Y92" s="879"/>
      <c r="Z92" s="879"/>
      <c r="AA92" s="879"/>
      <c r="AB92" s="879"/>
      <c r="AC92" s="879"/>
      <c r="AD92" s="879"/>
    </row>
    <row r="93" spans="1:30" ht="15.6">
      <c r="A93" s="982" t="s">
        <v>286</v>
      </c>
      <c r="B93" s="983"/>
      <c r="C93" s="984"/>
      <c r="D93" s="984"/>
      <c r="E93" s="984"/>
      <c r="F93" s="984"/>
      <c r="G93" s="984"/>
      <c r="H93" s="984"/>
      <c r="I93" s="984"/>
      <c r="J93" s="984"/>
      <c r="K93" s="984"/>
      <c r="L93" s="984"/>
      <c r="M93" s="985">
        <f t="shared" si="16"/>
        <v>0</v>
      </c>
      <c r="N93" s="879"/>
      <c r="O93" s="879"/>
      <c r="P93" s="879"/>
      <c r="Q93" s="879"/>
      <c r="R93" s="879"/>
      <c r="S93" s="879"/>
      <c r="T93" s="879"/>
      <c r="U93" s="879"/>
      <c r="V93" s="879"/>
      <c r="W93" s="879"/>
      <c r="X93" s="879"/>
      <c r="Y93" s="879"/>
      <c r="Z93" s="879"/>
      <c r="AA93" s="879"/>
      <c r="AB93" s="879"/>
      <c r="AC93" s="879"/>
      <c r="AD93" s="879"/>
    </row>
    <row r="94" spans="1:30" ht="15.6">
      <c r="A94" s="982" t="s">
        <v>287</v>
      </c>
      <c r="B94" s="983"/>
      <c r="C94" s="984"/>
      <c r="D94" s="984"/>
      <c r="E94" s="984"/>
      <c r="F94" s="984"/>
      <c r="G94" s="984"/>
      <c r="H94" s="984"/>
      <c r="I94" s="984"/>
      <c r="J94" s="984"/>
      <c r="K94" s="984"/>
      <c r="L94" s="984"/>
      <c r="M94" s="985">
        <f t="shared" si="16"/>
        <v>0</v>
      </c>
      <c r="N94" s="879"/>
      <c r="O94" s="879"/>
      <c r="P94" s="879"/>
      <c r="Q94" s="879"/>
      <c r="R94" s="879"/>
      <c r="S94" s="879"/>
      <c r="T94" s="879"/>
      <c r="U94" s="879"/>
      <c r="V94" s="879"/>
      <c r="W94" s="879"/>
      <c r="X94" s="879"/>
      <c r="Y94" s="879"/>
      <c r="Z94" s="879"/>
      <c r="AA94" s="879"/>
      <c r="AB94" s="879"/>
      <c r="AC94" s="879"/>
      <c r="AD94" s="879"/>
    </row>
    <row r="95" spans="1:30" ht="15.6">
      <c r="A95" s="982" t="s">
        <v>277</v>
      </c>
      <c r="B95" s="983"/>
      <c r="C95" s="984"/>
      <c r="D95" s="984"/>
      <c r="E95" s="984"/>
      <c r="F95" s="984"/>
      <c r="G95" s="984"/>
      <c r="H95" s="984"/>
      <c r="I95" s="984"/>
      <c r="J95" s="984"/>
      <c r="K95" s="984"/>
      <c r="L95" s="984"/>
      <c r="M95" s="985">
        <f t="shared" si="16"/>
        <v>0</v>
      </c>
      <c r="N95" s="879"/>
      <c r="O95" s="879"/>
      <c r="P95" s="879"/>
      <c r="Q95" s="879"/>
      <c r="R95" s="879"/>
      <c r="S95" s="879"/>
      <c r="T95" s="879"/>
      <c r="U95" s="879"/>
      <c r="V95" s="879"/>
      <c r="W95" s="879"/>
      <c r="X95" s="879"/>
      <c r="Y95" s="879"/>
      <c r="Z95" s="879"/>
      <c r="AA95" s="879"/>
      <c r="AB95" s="879"/>
      <c r="AC95" s="879"/>
      <c r="AD95" s="879"/>
    </row>
    <row r="96" spans="1:30" ht="15.6">
      <c r="A96" s="982" t="s">
        <v>277</v>
      </c>
      <c r="B96" s="983"/>
      <c r="C96" s="984"/>
      <c r="D96" s="984"/>
      <c r="E96" s="984"/>
      <c r="F96" s="984"/>
      <c r="G96" s="984"/>
      <c r="H96" s="984"/>
      <c r="I96" s="984"/>
      <c r="J96" s="984"/>
      <c r="K96" s="984"/>
      <c r="L96" s="984"/>
      <c r="M96" s="985">
        <f t="shared" si="16"/>
        <v>0</v>
      </c>
      <c r="N96" s="879"/>
      <c r="O96" s="879"/>
      <c r="P96" s="879"/>
      <c r="Q96" s="879"/>
      <c r="R96" s="879"/>
      <c r="S96" s="879"/>
      <c r="T96" s="879"/>
      <c r="U96" s="879"/>
      <c r="V96" s="879"/>
      <c r="W96" s="879"/>
      <c r="X96" s="879"/>
      <c r="Y96" s="879"/>
      <c r="Z96" s="879"/>
      <c r="AA96" s="879"/>
      <c r="AB96" s="879"/>
      <c r="AC96" s="879"/>
      <c r="AD96" s="879"/>
    </row>
    <row r="97" spans="1:30" ht="15.6">
      <c r="A97" s="982" t="s">
        <v>277</v>
      </c>
      <c r="B97" s="983"/>
      <c r="C97" s="984"/>
      <c r="D97" s="984"/>
      <c r="E97" s="984"/>
      <c r="F97" s="984"/>
      <c r="G97" s="984"/>
      <c r="H97" s="984"/>
      <c r="I97" s="984"/>
      <c r="J97" s="984"/>
      <c r="K97" s="984"/>
      <c r="L97" s="984"/>
      <c r="M97" s="985">
        <f t="shared" si="16"/>
        <v>0</v>
      </c>
      <c r="N97" s="879"/>
      <c r="O97" s="879"/>
      <c r="P97" s="879"/>
      <c r="Q97" s="879"/>
      <c r="R97" s="879"/>
      <c r="S97" s="879"/>
      <c r="T97" s="879"/>
      <c r="U97" s="879"/>
      <c r="V97" s="879"/>
      <c r="W97" s="879"/>
      <c r="X97" s="879"/>
      <c r="Y97" s="879"/>
      <c r="Z97" s="879"/>
      <c r="AA97" s="879"/>
      <c r="AB97" s="879"/>
      <c r="AC97" s="879"/>
      <c r="AD97" s="879"/>
    </row>
    <row r="98" spans="1:30" ht="15.6">
      <c r="A98" s="982" t="s">
        <v>277</v>
      </c>
      <c r="B98" s="983"/>
      <c r="C98" s="984"/>
      <c r="D98" s="984"/>
      <c r="E98" s="984"/>
      <c r="F98" s="984"/>
      <c r="G98" s="984"/>
      <c r="H98" s="984"/>
      <c r="I98" s="984"/>
      <c r="J98" s="984"/>
      <c r="K98" s="984"/>
      <c r="L98" s="984"/>
      <c r="M98" s="985">
        <f t="shared" si="16"/>
        <v>0</v>
      </c>
      <c r="N98" s="879"/>
      <c r="O98" s="879"/>
      <c r="P98" s="879"/>
      <c r="Q98" s="879"/>
      <c r="R98" s="879"/>
      <c r="S98" s="879"/>
      <c r="T98" s="879"/>
      <c r="U98" s="879"/>
      <c r="V98" s="879"/>
      <c r="W98" s="879"/>
      <c r="X98" s="879"/>
      <c r="Y98" s="879"/>
      <c r="Z98" s="879"/>
      <c r="AA98" s="879"/>
      <c r="AB98" s="879"/>
      <c r="AC98" s="879"/>
      <c r="AD98" s="879"/>
    </row>
    <row r="99" spans="1:30" ht="15.6">
      <c r="A99" s="982" t="s">
        <v>277</v>
      </c>
      <c r="B99" s="983"/>
      <c r="C99" s="984"/>
      <c r="D99" s="984"/>
      <c r="E99" s="984"/>
      <c r="F99" s="984"/>
      <c r="G99" s="984"/>
      <c r="H99" s="984"/>
      <c r="I99" s="984"/>
      <c r="J99" s="984"/>
      <c r="K99" s="984"/>
      <c r="L99" s="984"/>
      <c r="M99" s="985">
        <f t="shared" si="16"/>
        <v>0</v>
      </c>
      <c r="N99" s="879"/>
      <c r="O99" s="879"/>
      <c r="P99" s="879"/>
      <c r="Q99" s="879"/>
      <c r="R99" s="879"/>
      <c r="S99" s="879"/>
      <c r="T99" s="879"/>
      <c r="U99" s="879"/>
      <c r="V99" s="879"/>
      <c r="W99" s="879"/>
      <c r="X99" s="879"/>
      <c r="Y99" s="879"/>
      <c r="Z99" s="879"/>
      <c r="AA99" s="879"/>
      <c r="AB99" s="879"/>
      <c r="AC99" s="879"/>
      <c r="AD99" s="879"/>
    </row>
    <row r="100" spans="1:30" ht="15.6">
      <c r="A100" s="982" t="s">
        <v>277</v>
      </c>
      <c r="B100" s="983"/>
      <c r="C100" s="984"/>
      <c r="D100" s="984"/>
      <c r="E100" s="984"/>
      <c r="F100" s="984"/>
      <c r="G100" s="984"/>
      <c r="H100" s="984"/>
      <c r="I100" s="984"/>
      <c r="J100" s="984"/>
      <c r="K100" s="984"/>
      <c r="L100" s="984"/>
      <c r="M100" s="985">
        <f t="shared" si="16"/>
        <v>0</v>
      </c>
      <c r="N100" s="879"/>
      <c r="O100" s="879"/>
      <c r="P100" s="879"/>
      <c r="Q100" s="879"/>
      <c r="R100" s="879"/>
      <c r="S100" s="879"/>
      <c r="T100" s="879"/>
      <c r="U100" s="879"/>
      <c r="V100" s="879"/>
      <c r="W100" s="879"/>
      <c r="X100" s="879"/>
      <c r="Y100" s="879"/>
      <c r="Z100" s="879"/>
      <c r="AA100" s="879"/>
      <c r="AB100" s="879"/>
      <c r="AC100" s="879"/>
      <c r="AD100" s="879"/>
    </row>
    <row r="101" spans="1:30" ht="15.6">
      <c r="A101" s="982" t="s">
        <v>277</v>
      </c>
      <c r="B101" s="983"/>
      <c r="C101" s="984"/>
      <c r="D101" s="984"/>
      <c r="E101" s="984"/>
      <c r="F101" s="984"/>
      <c r="G101" s="984"/>
      <c r="H101" s="984"/>
      <c r="I101" s="984"/>
      <c r="J101" s="984"/>
      <c r="K101" s="984"/>
      <c r="L101" s="984"/>
      <c r="M101" s="985">
        <f>SUM(C101:L101)</f>
        <v>0</v>
      </c>
      <c r="N101" s="879"/>
      <c r="O101" s="879"/>
      <c r="P101" s="879"/>
      <c r="Q101" s="879"/>
      <c r="R101" s="879"/>
      <c r="S101" s="879"/>
      <c r="T101" s="879"/>
      <c r="U101" s="879"/>
      <c r="V101" s="879"/>
      <c r="W101" s="879"/>
      <c r="X101" s="879"/>
      <c r="Y101" s="879"/>
      <c r="Z101" s="879"/>
      <c r="AA101" s="879"/>
      <c r="AB101" s="879"/>
      <c r="AC101" s="879"/>
      <c r="AD101" s="879"/>
    </row>
    <row r="102" spans="1:30" ht="15.6">
      <c r="A102" s="982" t="s">
        <v>277</v>
      </c>
      <c r="B102" s="983"/>
      <c r="C102" s="984"/>
      <c r="D102" s="984"/>
      <c r="E102" s="984"/>
      <c r="F102" s="984"/>
      <c r="G102" s="984"/>
      <c r="H102" s="984"/>
      <c r="I102" s="984"/>
      <c r="J102" s="984"/>
      <c r="K102" s="984"/>
      <c r="L102" s="984"/>
      <c r="M102" s="985">
        <f t="shared" si="16"/>
        <v>0</v>
      </c>
      <c r="N102" s="879"/>
      <c r="O102" s="879"/>
      <c r="P102" s="879"/>
      <c r="Q102" s="879"/>
      <c r="R102" s="879"/>
      <c r="S102" s="879"/>
      <c r="T102" s="879"/>
      <c r="U102" s="879"/>
      <c r="V102" s="879"/>
      <c r="W102" s="879"/>
      <c r="X102" s="879"/>
      <c r="Y102" s="879"/>
      <c r="Z102" s="879"/>
      <c r="AA102" s="879"/>
      <c r="AB102" s="879"/>
      <c r="AC102" s="879"/>
      <c r="AD102" s="879"/>
    </row>
    <row r="103" spans="1:30" ht="15.6">
      <c r="A103" s="982" t="s">
        <v>277</v>
      </c>
      <c r="B103" s="983"/>
      <c r="C103" s="984"/>
      <c r="D103" s="984"/>
      <c r="E103" s="984"/>
      <c r="F103" s="984"/>
      <c r="G103" s="984"/>
      <c r="H103" s="984"/>
      <c r="I103" s="984"/>
      <c r="J103" s="984"/>
      <c r="K103" s="984"/>
      <c r="L103" s="984"/>
      <c r="M103" s="985">
        <f t="shared" si="16"/>
        <v>0</v>
      </c>
      <c r="N103" s="879"/>
      <c r="O103" s="879"/>
      <c r="P103" s="879"/>
      <c r="Q103" s="879"/>
      <c r="R103" s="879"/>
      <c r="S103" s="879"/>
      <c r="T103" s="879"/>
      <c r="U103" s="879"/>
      <c r="V103" s="879"/>
      <c r="W103" s="879"/>
      <c r="X103" s="879"/>
      <c r="Y103" s="879"/>
      <c r="Z103" s="879"/>
      <c r="AA103" s="879"/>
      <c r="AB103" s="879"/>
      <c r="AC103" s="879"/>
      <c r="AD103" s="879"/>
    </row>
    <row r="104" spans="1:30" ht="15.6">
      <c r="A104" s="982" t="s">
        <v>277</v>
      </c>
      <c r="B104" s="983"/>
      <c r="C104" s="984"/>
      <c r="D104" s="984"/>
      <c r="E104" s="984"/>
      <c r="F104" s="984"/>
      <c r="G104" s="984"/>
      <c r="H104" s="984"/>
      <c r="I104" s="984"/>
      <c r="J104" s="984"/>
      <c r="K104" s="984"/>
      <c r="L104" s="984"/>
      <c r="M104" s="985">
        <f t="shared" si="16"/>
        <v>0</v>
      </c>
      <c r="N104" s="879"/>
      <c r="O104" s="879"/>
      <c r="P104" s="879"/>
      <c r="Q104" s="879"/>
      <c r="R104" s="879"/>
      <c r="S104" s="879"/>
      <c r="T104" s="879"/>
      <c r="U104" s="879"/>
      <c r="V104" s="879"/>
      <c r="W104" s="879"/>
      <c r="X104" s="879"/>
      <c r="Y104" s="879"/>
      <c r="Z104" s="879"/>
      <c r="AA104" s="879"/>
      <c r="AB104" s="879"/>
      <c r="AC104" s="879"/>
      <c r="AD104" s="879"/>
    </row>
    <row r="105" spans="1:30" ht="15.6">
      <c r="A105" s="982"/>
      <c r="B105" s="983"/>
      <c r="C105" s="984"/>
      <c r="D105" s="984"/>
      <c r="E105" s="984"/>
      <c r="F105" s="984"/>
      <c r="G105" s="984"/>
      <c r="H105" s="984"/>
      <c r="I105" s="984"/>
      <c r="J105" s="984"/>
      <c r="K105" s="984"/>
      <c r="L105" s="984"/>
      <c r="M105" s="985">
        <f t="shared" si="16"/>
        <v>0</v>
      </c>
      <c r="N105" s="879"/>
      <c r="O105" s="879"/>
      <c r="P105" s="879"/>
      <c r="Q105" s="879"/>
      <c r="R105" s="879"/>
      <c r="S105" s="879"/>
      <c r="T105" s="879"/>
      <c r="U105" s="879"/>
      <c r="V105" s="879"/>
      <c r="W105" s="879"/>
      <c r="X105" s="879"/>
      <c r="Y105" s="879"/>
      <c r="Z105" s="879"/>
      <c r="AA105" s="879"/>
      <c r="AB105" s="879"/>
      <c r="AC105" s="879"/>
      <c r="AD105" s="879"/>
    </row>
    <row r="106" spans="1:30" ht="15.6">
      <c r="A106" s="982"/>
      <c r="B106" s="983"/>
      <c r="C106" s="984"/>
      <c r="D106" s="984"/>
      <c r="E106" s="984"/>
      <c r="F106" s="984"/>
      <c r="G106" s="984"/>
      <c r="H106" s="984"/>
      <c r="I106" s="984"/>
      <c r="J106" s="984"/>
      <c r="K106" s="984"/>
      <c r="L106" s="984"/>
      <c r="M106" s="985">
        <f t="shared" si="16"/>
        <v>0</v>
      </c>
      <c r="N106" s="879"/>
      <c r="O106" s="879"/>
      <c r="P106" s="879"/>
      <c r="Q106" s="879"/>
      <c r="R106" s="879"/>
      <c r="S106" s="879"/>
      <c r="T106" s="879"/>
      <c r="U106" s="879"/>
      <c r="V106" s="879"/>
      <c r="W106" s="879"/>
      <c r="X106" s="879"/>
      <c r="Y106" s="879"/>
      <c r="Z106" s="879"/>
      <c r="AA106" s="879"/>
      <c r="AB106" s="879"/>
      <c r="AC106" s="879"/>
      <c r="AD106" s="879"/>
    </row>
    <row r="107" spans="1:30" ht="15.6">
      <c r="A107" s="982"/>
      <c r="B107" s="983"/>
      <c r="C107" s="984"/>
      <c r="D107" s="984"/>
      <c r="E107" s="984"/>
      <c r="F107" s="984"/>
      <c r="G107" s="984"/>
      <c r="H107" s="984"/>
      <c r="I107" s="984"/>
      <c r="J107" s="984"/>
      <c r="K107" s="984"/>
      <c r="L107" s="984"/>
      <c r="M107" s="985">
        <f t="shared" si="16"/>
        <v>0</v>
      </c>
      <c r="N107" s="879"/>
      <c r="O107" s="879"/>
      <c r="P107" s="879"/>
      <c r="Q107" s="879"/>
      <c r="R107" s="879"/>
      <c r="S107" s="879"/>
      <c r="T107" s="879"/>
      <c r="U107" s="879"/>
      <c r="V107" s="879"/>
      <c r="W107" s="879"/>
      <c r="X107" s="879"/>
      <c r="Y107" s="879"/>
      <c r="Z107" s="879"/>
      <c r="AA107" s="879"/>
      <c r="AB107" s="879"/>
      <c r="AC107" s="879"/>
      <c r="AD107" s="879"/>
    </row>
    <row r="108" spans="1:30" ht="15.6">
      <c r="A108" s="986" t="s">
        <v>292</v>
      </c>
      <c r="B108" s="987"/>
      <c r="C108" s="988"/>
      <c r="D108" s="988"/>
      <c r="E108" s="988"/>
      <c r="F108" s="988"/>
      <c r="G108" s="988"/>
      <c r="H108" s="988"/>
      <c r="I108" s="988"/>
      <c r="J108" s="988"/>
      <c r="K108" s="988"/>
      <c r="L108" s="988"/>
      <c r="M108" s="989">
        <f t="shared" si="16"/>
        <v>0</v>
      </c>
      <c r="N108" s="879"/>
      <c r="O108" s="879"/>
      <c r="P108" s="879"/>
      <c r="Q108" s="879"/>
      <c r="R108" s="879"/>
      <c r="S108" s="879"/>
      <c r="T108" s="879"/>
      <c r="U108" s="879"/>
      <c r="V108" s="879"/>
      <c r="W108" s="879"/>
      <c r="X108" s="879"/>
      <c r="Y108" s="879"/>
      <c r="Z108" s="879"/>
      <c r="AA108" s="879"/>
      <c r="AB108" s="879"/>
      <c r="AC108" s="879"/>
      <c r="AD108" s="879"/>
    </row>
    <row r="109" spans="1:30" ht="15.6">
      <c r="A109" s="990">
        <v>10</v>
      </c>
      <c r="B109" s="963" t="s">
        <v>940</v>
      </c>
      <c r="C109" s="991"/>
      <c r="D109" s="991"/>
      <c r="E109" s="991"/>
      <c r="F109" s="991"/>
      <c r="G109" s="991"/>
      <c r="H109" s="991"/>
      <c r="I109" s="991"/>
      <c r="J109" s="991"/>
      <c r="K109" s="991"/>
      <c r="L109" s="991"/>
      <c r="M109" s="918">
        <f>SUM(M92:M108)</f>
        <v>0</v>
      </c>
      <c r="N109" s="879"/>
      <c r="O109" s="879"/>
      <c r="P109" s="879"/>
      <c r="Q109" s="879"/>
      <c r="R109" s="879"/>
      <c r="S109" s="879"/>
      <c r="T109" s="879"/>
      <c r="U109" s="879"/>
      <c r="V109" s="879"/>
      <c r="W109" s="879"/>
      <c r="X109" s="879"/>
      <c r="Y109" s="879"/>
      <c r="Z109" s="879"/>
      <c r="AA109" s="879"/>
      <c r="AB109" s="879"/>
      <c r="AC109" s="879"/>
      <c r="AD109" s="879"/>
    </row>
    <row r="110" spans="1:30" ht="15.6">
      <c r="A110" s="879"/>
      <c r="B110" s="879"/>
      <c r="C110" s="879"/>
      <c r="D110" s="879"/>
      <c r="E110" s="879"/>
      <c r="F110" s="879"/>
      <c r="G110" s="879"/>
      <c r="H110" s="879"/>
      <c r="I110" s="879"/>
      <c r="J110" s="879"/>
      <c r="K110" s="879"/>
      <c r="L110" s="879"/>
      <c r="M110" s="879"/>
      <c r="N110" s="879"/>
      <c r="O110" s="879"/>
      <c r="P110" s="879"/>
      <c r="Q110" s="879"/>
      <c r="R110" s="879"/>
      <c r="S110" s="879"/>
      <c r="T110" s="879"/>
      <c r="U110" s="879"/>
      <c r="V110" s="879"/>
      <c r="W110" s="879"/>
      <c r="X110" s="879"/>
      <c r="Y110" s="879"/>
      <c r="Z110" s="879"/>
      <c r="AA110" s="879"/>
      <c r="AB110" s="879"/>
      <c r="AC110" s="879"/>
      <c r="AD110" s="879"/>
    </row>
    <row r="111" spans="1:30" ht="15.6">
      <c r="A111" s="879"/>
      <c r="B111" s="879"/>
      <c r="C111" s="879"/>
      <c r="D111" s="879"/>
      <c r="E111" s="879"/>
      <c r="F111" s="879"/>
      <c r="G111" s="879"/>
      <c r="H111" s="879"/>
      <c r="I111" s="879"/>
      <c r="J111" s="879"/>
      <c r="K111" s="879"/>
      <c r="L111" s="879"/>
      <c r="M111" s="879"/>
    </row>
    <row r="112" spans="1:30" ht="15.6">
      <c r="A112" s="1176" t="s">
        <v>941</v>
      </c>
      <c r="B112" s="1176"/>
      <c r="C112" s="1176"/>
      <c r="D112" s="967"/>
      <c r="E112" s="967"/>
      <c r="F112" s="967"/>
      <c r="G112" s="967"/>
      <c r="H112" s="967"/>
      <c r="I112" s="967"/>
      <c r="J112" s="967"/>
      <c r="K112" s="967"/>
      <c r="L112" s="967"/>
      <c r="M112" s="967"/>
      <c r="N112" s="879"/>
    </row>
    <row r="113" spans="1:14" ht="15.6">
      <c r="A113" s="966"/>
      <c r="B113" s="967"/>
      <c r="C113" s="967"/>
      <c r="D113" s="967"/>
      <c r="E113" s="967"/>
      <c r="F113" s="967"/>
      <c r="G113" s="967"/>
      <c r="H113" s="967"/>
      <c r="I113" s="967"/>
      <c r="J113" s="967"/>
      <c r="K113" s="967"/>
      <c r="L113" s="967"/>
      <c r="M113" s="967"/>
      <c r="N113" s="879"/>
    </row>
    <row r="114" spans="1:14" ht="15.6">
      <c r="A114" s="992"/>
      <c r="B114" s="967"/>
      <c r="C114" s="967"/>
      <c r="D114" s="967"/>
      <c r="E114" s="967"/>
      <c r="F114" s="967"/>
      <c r="G114" s="967"/>
      <c r="H114" s="967"/>
      <c r="I114" s="967"/>
      <c r="J114" s="967"/>
      <c r="K114" s="967"/>
      <c r="L114" s="967"/>
      <c r="M114" s="967"/>
      <c r="N114" s="879"/>
    </row>
    <row r="115" spans="1:14" ht="15.6">
      <c r="A115" s="992"/>
      <c r="B115" s="967"/>
      <c r="C115" s="968"/>
      <c r="D115" s="968"/>
      <c r="E115" s="968"/>
      <c r="F115" s="968"/>
      <c r="G115" s="968"/>
      <c r="H115" s="968"/>
      <c r="I115" s="968"/>
      <c r="J115" s="968"/>
      <c r="K115" s="968"/>
      <c r="L115" s="968"/>
      <c r="M115" s="993"/>
      <c r="N115" s="879"/>
    </row>
    <row r="116" spans="1:14" ht="15.6">
      <c r="A116" s="994"/>
      <c r="B116" s="971" t="s">
        <v>682</v>
      </c>
      <c r="C116" s="995" t="s">
        <v>467</v>
      </c>
      <c r="D116" s="995"/>
      <c r="E116" s="996" t="s">
        <v>942</v>
      </c>
      <c r="F116" s="996"/>
      <c r="G116" s="996" t="s">
        <v>943</v>
      </c>
      <c r="H116" s="997" t="s">
        <v>32</v>
      </c>
      <c r="I116" s="998"/>
      <c r="J116" s="998"/>
      <c r="K116" s="998"/>
      <c r="L116" s="998"/>
      <c r="M116" s="998"/>
      <c r="N116" s="879"/>
    </row>
    <row r="117" spans="1:14" ht="25.5" customHeight="1">
      <c r="A117" s="982" t="s">
        <v>944</v>
      </c>
      <c r="B117" s="999"/>
      <c r="C117" s="980"/>
      <c r="D117" s="980"/>
      <c r="E117" s="1182" t="s">
        <v>449</v>
      </c>
      <c r="F117" s="1182"/>
      <c r="G117" s="980"/>
      <c r="H117" s="1000"/>
      <c r="I117" s="1001"/>
      <c r="J117" s="1001"/>
      <c r="K117" s="1001"/>
      <c r="L117" s="1001"/>
      <c r="M117" s="1001"/>
      <c r="N117" s="879"/>
    </row>
    <row r="118" spans="1:14" ht="15.6">
      <c r="A118" s="982" t="s">
        <v>945</v>
      </c>
      <c r="B118" s="1002"/>
      <c r="C118" s="984"/>
      <c r="D118" s="984"/>
      <c r="E118" s="1177" t="s">
        <v>449</v>
      </c>
      <c r="F118" s="1177"/>
      <c r="G118" s="984"/>
      <c r="H118" s="1003"/>
      <c r="I118" s="1004"/>
      <c r="J118" s="1004"/>
      <c r="K118" s="1004"/>
      <c r="L118" s="1004"/>
      <c r="M118" s="1001"/>
      <c r="N118" s="879"/>
    </row>
    <row r="119" spans="1:14" ht="15.6">
      <c r="A119" s="982" t="s">
        <v>946</v>
      </c>
      <c r="B119" s="1002"/>
      <c r="C119" s="984"/>
      <c r="D119" s="984"/>
      <c r="E119" s="1177" t="s">
        <v>449</v>
      </c>
      <c r="F119" s="1177"/>
      <c r="G119" s="984"/>
      <c r="H119" s="1003"/>
      <c r="I119" s="1004"/>
      <c r="J119" s="1004"/>
      <c r="K119" s="1004"/>
      <c r="L119" s="1004"/>
      <c r="M119" s="1001"/>
      <c r="N119" s="879"/>
    </row>
    <row r="120" spans="1:14" ht="15.6">
      <c r="A120" s="982" t="s">
        <v>277</v>
      </c>
      <c r="B120" s="1002"/>
      <c r="C120" s="984"/>
      <c r="D120" s="984"/>
      <c r="E120" s="1177" t="s">
        <v>449</v>
      </c>
      <c r="F120" s="1177"/>
      <c r="G120" s="984"/>
      <c r="H120" s="1003"/>
      <c r="I120" s="1004"/>
      <c r="J120" s="1004"/>
      <c r="K120" s="1004"/>
      <c r="L120" s="1004"/>
      <c r="M120" s="1001"/>
      <c r="N120" s="879"/>
    </row>
    <row r="121" spans="1:14" ht="15.6">
      <c r="A121" s="982" t="s">
        <v>277</v>
      </c>
      <c r="B121" s="1002"/>
      <c r="C121" s="984"/>
      <c r="D121" s="984"/>
      <c r="E121" s="1177" t="s">
        <v>449</v>
      </c>
      <c r="F121" s="1177"/>
      <c r="G121" s="984"/>
      <c r="H121" s="1003"/>
      <c r="I121" s="1004"/>
      <c r="J121" s="1004"/>
      <c r="K121" s="1004"/>
      <c r="L121" s="1004"/>
      <c r="M121" s="1001"/>
      <c r="N121" s="879"/>
    </row>
    <row r="122" spans="1:14" ht="15.6">
      <c r="A122" s="982" t="s">
        <v>277</v>
      </c>
      <c r="B122" s="1002"/>
      <c r="C122" s="984"/>
      <c r="D122" s="984"/>
      <c r="E122" s="1177" t="s">
        <v>449</v>
      </c>
      <c r="F122" s="1177"/>
      <c r="G122" s="984"/>
      <c r="H122" s="1003"/>
      <c r="I122" s="1004"/>
      <c r="J122" s="1004"/>
      <c r="K122" s="1004"/>
      <c r="L122" s="1004"/>
      <c r="M122" s="1001"/>
      <c r="N122" s="879"/>
    </row>
    <row r="123" spans="1:14" ht="15.6">
      <c r="A123" s="982" t="s">
        <v>277</v>
      </c>
      <c r="B123" s="1002"/>
      <c r="C123" s="984"/>
      <c r="D123" s="984"/>
      <c r="E123" s="1177" t="s">
        <v>449</v>
      </c>
      <c r="F123" s="1177"/>
      <c r="G123" s="984"/>
      <c r="H123" s="1003"/>
      <c r="I123" s="1004"/>
      <c r="J123" s="1004"/>
      <c r="K123" s="1004"/>
      <c r="L123" s="1004"/>
      <c r="M123" s="1001"/>
      <c r="N123" s="879"/>
    </row>
    <row r="124" spans="1:14" ht="15.6">
      <c r="A124" s="982" t="s">
        <v>277</v>
      </c>
      <c r="B124" s="1002"/>
      <c r="C124" s="984"/>
      <c r="D124" s="984"/>
      <c r="E124" s="1177" t="s">
        <v>449</v>
      </c>
      <c r="F124" s="1177"/>
      <c r="G124" s="984"/>
      <c r="H124" s="1003"/>
      <c r="I124" s="1004"/>
      <c r="J124" s="1004"/>
      <c r="K124" s="1004"/>
      <c r="L124" s="1004"/>
      <c r="M124" s="1001"/>
      <c r="N124" s="879"/>
    </row>
    <row r="125" spans="1:14" ht="15.6">
      <c r="A125" s="982" t="s">
        <v>277</v>
      </c>
      <c r="B125" s="1002"/>
      <c r="C125" s="984"/>
      <c r="D125" s="984"/>
      <c r="E125" s="1177" t="s">
        <v>449</v>
      </c>
      <c r="F125" s="1177"/>
      <c r="G125" s="984"/>
      <c r="H125" s="1003"/>
      <c r="I125" s="1004"/>
      <c r="J125" s="1004"/>
      <c r="K125" s="1004"/>
      <c r="L125" s="1004"/>
      <c r="M125" s="1001"/>
      <c r="N125" s="879"/>
    </row>
    <row r="126" spans="1:14" ht="15.6">
      <c r="A126" s="982" t="s">
        <v>277</v>
      </c>
      <c r="B126" s="1002"/>
      <c r="C126" s="984"/>
      <c r="D126" s="984"/>
      <c r="E126" s="1177" t="s">
        <v>449</v>
      </c>
      <c r="F126" s="1177"/>
      <c r="G126" s="984"/>
      <c r="H126" s="1003"/>
      <c r="I126" s="1004"/>
      <c r="J126" s="1004"/>
      <c r="K126" s="1004"/>
      <c r="L126" s="1004"/>
      <c r="M126" s="1001"/>
      <c r="N126" s="879"/>
    </row>
    <row r="127" spans="1:14" ht="15.6">
      <c r="A127" s="982" t="s">
        <v>277</v>
      </c>
      <c r="B127" s="1002"/>
      <c r="C127" s="984"/>
      <c r="D127" s="984"/>
      <c r="E127" s="1177" t="s">
        <v>449</v>
      </c>
      <c r="F127" s="1177"/>
      <c r="G127" s="984"/>
      <c r="H127" s="1003"/>
      <c r="I127" s="1004"/>
      <c r="J127" s="1004"/>
      <c r="K127" s="1004"/>
      <c r="L127" s="1004"/>
      <c r="M127" s="1001"/>
      <c r="N127" s="879"/>
    </row>
    <row r="128" spans="1:14" ht="15.6">
      <c r="A128" s="982" t="s">
        <v>277</v>
      </c>
      <c r="B128" s="1002"/>
      <c r="C128" s="984"/>
      <c r="D128" s="984"/>
      <c r="E128" s="1177" t="s">
        <v>449</v>
      </c>
      <c r="F128" s="1177"/>
      <c r="G128" s="984"/>
      <c r="H128" s="1003"/>
      <c r="I128" s="1004"/>
      <c r="J128" s="1004"/>
      <c r="K128" s="1004"/>
      <c r="L128" s="1004"/>
      <c r="M128" s="1001"/>
      <c r="N128" s="879"/>
    </row>
    <row r="129" spans="1:14" ht="15.6">
      <c r="A129" s="982" t="s">
        <v>277</v>
      </c>
      <c r="B129" s="1002"/>
      <c r="C129" s="984"/>
      <c r="D129" s="984"/>
      <c r="E129" s="1177" t="s">
        <v>449</v>
      </c>
      <c r="F129" s="1177"/>
      <c r="G129" s="984"/>
      <c r="H129" s="1003"/>
      <c r="I129" s="1004"/>
      <c r="J129" s="1004"/>
      <c r="K129" s="1004"/>
      <c r="L129" s="1004"/>
      <c r="M129" s="1001"/>
      <c r="N129" s="879"/>
    </row>
    <row r="130" spans="1:14" ht="15.6">
      <c r="A130" s="982"/>
      <c r="B130" s="1002"/>
      <c r="C130" s="984"/>
      <c r="D130" s="984"/>
      <c r="E130" s="1177" t="s">
        <v>449</v>
      </c>
      <c r="F130" s="1177"/>
      <c r="G130" s="984"/>
      <c r="H130" s="1003"/>
      <c r="I130" s="1004"/>
      <c r="J130" s="1004"/>
      <c r="K130" s="1004"/>
      <c r="L130" s="1004"/>
      <c r="M130" s="1001"/>
      <c r="N130" s="879"/>
    </row>
    <row r="131" spans="1:14" ht="15.6">
      <c r="A131" s="982"/>
      <c r="B131" s="1002"/>
      <c r="C131" s="984"/>
      <c r="D131" s="984"/>
      <c r="E131" s="1177" t="s">
        <v>449</v>
      </c>
      <c r="F131" s="1177"/>
      <c r="G131" s="984"/>
      <c r="H131" s="1003"/>
      <c r="I131" s="1004"/>
      <c r="J131" s="1004"/>
      <c r="K131" s="1004"/>
      <c r="L131" s="1004"/>
      <c r="M131" s="1001"/>
      <c r="N131" s="879"/>
    </row>
    <row r="132" spans="1:14" ht="15.6">
      <c r="A132" s="982"/>
      <c r="B132" s="1002"/>
      <c r="C132" s="984"/>
      <c r="D132" s="984"/>
      <c r="E132" s="1177" t="s">
        <v>449</v>
      </c>
      <c r="F132" s="1177"/>
      <c r="G132" s="984"/>
      <c r="H132" s="1003"/>
      <c r="I132" s="1004"/>
      <c r="J132" s="1004"/>
      <c r="K132" s="1004"/>
      <c r="L132" s="1004"/>
      <c r="M132" s="1001"/>
      <c r="N132" s="879"/>
    </row>
    <row r="133" spans="1:14" ht="15.6">
      <c r="A133" s="986" t="s">
        <v>947</v>
      </c>
      <c r="B133" s="1005"/>
      <c r="C133" s="988"/>
      <c r="D133" s="988"/>
      <c r="E133" s="1183" t="s">
        <v>449</v>
      </c>
      <c r="F133" s="1183"/>
      <c r="G133" s="988"/>
      <c r="H133" s="1006"/>
      <c r="I133" s="1004"/>
      <c r="J133" s="1004"/>
      <c r="K133" s="1004"/>
      <c r="L133" s="1004"/>
      <c r="M133" s="1001"/>
      <c r="N133" s="879"/>
    </row>
    <row r="134" spans="1:14" ht="15.6">
      <c r="A134" s="990">
        <v>12</v>
      </c>
      <c r="B134" s="963" t="s">
        <v>948</v>
      </c>
      <c r="C134" s="1004"/>
      <c r="D134" s="1004"/>
      <c r="E134" s="1004"/>
      <c r="F134" s="1004"/>
      <c r="G134" s="1004"/>
      <c r="H134" s="1007">
        <f>SUM(H117:H133)</f>
        <v>0</v>
      </c>
      <c r="I134" s="1004"/>
      <c r="J134" s="1004"/>
      <c r="K134" s="1004"/>
      <c r="L134" s="1004"/>
      <c r="M134" s="1004"/>
      <c r="N134" s="879"/>
    </row>
    <row r="135" spans="1:14">
      <c r="A135" s="1008"/>
    </row>
  </sheetData>
  <mergeCells count="35">
    <mergeCell ref="E125:F125"/>
    <mergeCell ref="E132:F132"/>
    <mergeCell ref="E133:F133"/>
    <mergeCell ref="E126:F126"/>
    <mergeCell ref="E127:F127"/>
    <mergeCell ref="E128:F128"/>
    <mergeCell ref="E129:F129"/>
    <mergeCell ref="E130:F130"/>
    <mergeCell ref="E131:F131"/>
    <mergeCell ref="E123:F123"/>
    <mergeCell ref="E124:F124"/>
    <mergeCell ref="E68:E69"/>
    <mergeCell ref="F68:F69"/>
    <mergeCell ref="E122:F122"/>
    <mergeCell ref="U68:U69"/>
    <mergeCell ref="V68:V69"/>
    <mergeCell ref="A112:C112"/>
    <mergeCell ref="E120:F120"/>
    <mergeCell ref="E121:F121"/>
    <mergeCell ref="E119:F119"/>
    <mergeCell ref="B68:B69"/>
    <mergeCell ref="C68:C69"/>
    <mergeCell ref="D68:D69"/>
    <mergeCell ref="E117:F117"/>
    <mergeCell ref="E118:F118"/>
    <mergeCell ref="T68:T69"/>
    <mergeCell ref="A2:AB2"/>
    <mergeCell ref="A3:AB3"/>
    <mergeCell ref="F45:R45"/>
    <mergeCell ref="F46:R46"/>
    <mergeCell ref="A49:A50"/>
    <mergeCell ref="B49:B50"/>
    <mergeCell ref="C49:C50"/>
    <mergeCell ref="D49:D50"/>
    <mergeCell ref="R49:R50"/>
  </mergeCells>
  <pageMargins left="0.7" right="0.7" top="0.75" bottom="0.75" header="0.3" footer="0.3"/>
  <pageSetup scale="39" fitToHeight="2" orientation="landscape" r:id="rId1"/>
  <rowBreaks count="1" manualBreakCount="1">
    <brk id="6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8242-8B6B-460F-B965-1A684914CA91}">
  <dimension ref="B1:Y36"/>
  <sheetViews>
    <sheetView workbookViewId="0">
      <selection activeCell="C24" sqref="C24"/>
    </sheetView>
  </sheetViews>
  <sheetFormatPr defaultColWidth="7.81640625" defaultRowHeight="11.4"/>
  <cols>
    <col min="1" max="1" width="2.90625" style="1009" customWidth="1"/>
    <col min="2" max="2" width="39.453125" style="1009" customWidth="1"/>
    <col min="3" max="5" width="10.36328125" style="1009" customWidth="1"/>
    <col min="6" max="6" width="3.90625" style="1009" customWidth="1"/>
    <col min="7" max="7" width="2.36328125" style="1009" bestFit="1" customWidth="1"/>
    <col min="8" max="8" width="6.453125" style="1009" bestFit="1" customWidth="1"/>
    <col min="9" max="12" width="10.90625" style="1009" customWidth="1"/>
    <col min="13" max="13" width="2.36328125" style="1009" customWidth="1"/>
    <col min="14" max="16" width="13.08984375" style="1009" customWidth="1"/>
    <col min="17" max="17" width="2.08984375" style="1009" customWidth="1"/>
    <col min="18" max="21" width="10.08984375" style="1009" customWidth="1"/>
    <col min="22" max="22" width="1.54296875" style="1009" customWidth="1"/>
    <col min="23" max="25" width="14.1796875" style="1009" customWidth="1"/>
    <col min="26" max="16384" width="7.81640625" style="1009"/>
  </cols>
  <sheetData>
    <row r="1" spans="2:22" ht="12">
      <c r="B1" s="1184" t="s">
        <v>980</v>
      </c>
      <c r="C1" s="1184"/>
      <c r="D1" s="1184"/>
      <c r="E1" s="1184"/>
    </row>
    <row r="2" spans="2:22" ht="12">
      <c r="B2" s="1184" t="s">
        <v>949</v>
      </c>
      <c r="C2" s="1184"/>
      <c r="D2" s="1184"/>
      <c r="E2" s="1184"/>
    </row>
    <row r="3" spans="2:22" s="1011" customFormat="1" ht="12">
      <c r="B3" s="1010"/>
      <c r="C3" s="1010"/>
      <c r="D3" s="1010"/>
      <c r="E3" s="1010"/>
      <c r="I3" s="1011" t="s">
        <v>950</v>
      </c>
      <c r="J3" s="1011" t="s">
        <v>950</v>
      </c>
      <c r="K3" s="1011" t="s">
        <v>950</v>
      </c>
      <c r="N3" s="1011" t="s">
        <v>951</v>
      </c>
      <c r="O3" s="1011" t="s">
        <v>951</v>
      </c>
      <c r="P3" s="1011" t="s">
        <v>951</v>
      </c>
    </row>
    <row r="4" spans="2:22" ht="60">
      <c r="B4" s="1012" t="s">
        <v>952</v>
      </c>
      <c r="C4" s="1013" t="s">
        <v>953</v>
      </c>
      <c r="D4" s="1013" t="s">
        <v>954</v>
      </c>
      <c r="E4" s="1013" t="s">
        <v>955</v>
      </c>
      <c r="H4" s="1014"/>
      <c r="I4" s="1014" t="s">
        <v>956</v>
      </c>
      <c r="J4" s="1014" t="s">
        <v>957</v>
      </c>
      <c r="K4" s="1014" t="s">
        <v>958</v>
      </c>
      <c r="L4" s="1014" t="s">
        <v>959</v>
      </c>
      <c r="M4" s="1014"/>
      <c r="N4" s="1015" t="s">
        <v>960</v>
      </c>
      <c r="O4" s="1015" t="s">
        <v>961</v>
      </c>
      <c r="P4" s="1015" t="s">
        <v>962</v>
      </c>
      <c r="Q4" s="1014"/>
      <c r="V4" s="1016"/>
    </row>
    <row r="5" spans="2:22" ht="12">
      <c r="B5" s="1017" t="s">
        <v>601</v>
      </c>
      <c r="C5" s="1018">
        <v>178239627.78999999</v>
      </c>
      <c r="D5" s="1019">
        <f>N18</f>
        <v>178239627.78999999</v>
      </c>
      <c r="E5" s="1020">
        <f>D5-N36</f>
        <v>172829107.24246424</v>
      </c>
      <c r="G5" s="1009">
        <v>1</v>
      </c>
      <c r="H5" s="1021">
        <v>44896</v>
      </c>
      <c r="I5" s="1022">
        <f>'2 - Cost Support '!F7</f>
        <v>215080772.25423944</v>
      </c>
      <c r="J5" s="1022">
        <f>'2 - Cost Support '!F55</f>
        <v>4113462</v>
      </c>
      <c r="K5" s="1022">
        <f>'2 - Cost Support '!F39</f>
        <v>44817934.529093713</v>
      </c>
      <c r="L5" s="1019">
        <f>I5+J5+K5</f>
        <v>264012168.78333315</v>
      </c>
      <c r="M5" s="1019"/>
      <c r="N5" s="1019">
        <f t="shared" ref="N5:N17" si="0">(L5/$L$17)*$C$5</f>
        <v>178239627.78999999</v>
      </c>
      <c r="O5" s="1019">
        <f t="shared" ref="O5:O17" si="1">(L5/$L$17)*$C$6</f>
        <v>5250799.7833331786</v>
      </c>
      <c r="P5" s="1019">
        <f t="shared" ref="P5:P17" si="2">(L5/$L$17)*$C$7</f>
        <v>80521741.209999993</v>
      </c>
      <c r="Q5" s="1019"/>
      <c r="V5" s="1023"/>
    </row>
    <row r="6" spans="2:22" ht="12">
      <c r="B6" s="1017" t="s">
        <v>603</v>
      </c>
      <c r="C6" s="1018">
        <v>5250799.7833331786</v>
      </c>
      <c r="D6" s="1019">
        <f>O18</f>
        <v>5250799.7833331805</v>
      </c>
      <c r="E6" s="1020">
        <f>D6-O36</f>
        <v>5091410.087164199</v>
      </c>
      <c r="G6" s="1009">
        <v>2</v>
      </c>
      <c r="H6" s="1021">
        <v>44927</v>
      </c>
      <c r="I6" s="1022">
        <f>'2 - Cost Support '!F8</f>
        <v>215080772.25423944</v>
      </c>
      <c r="J6" s="1022">
        <f>'2 - Cost Support '!F56</f>
        <v>4113462</v>
      </c>
      <c r="K6" s="1022">
        <f>'2 - Cost Support '!F40</f>
        <v>44817934.529093713</v>
      </c>
      <c r="L6" s="1019">
        <f t="shared" ref="L6:L17" si="3">I6+J6+K6</f>
        <v>264012168.78333315</v>
      </c>
      <c r="M6" s="1019"/>
      <c r="N6" s="1019">
        <f t="shared" si="0"/>
        <v>178239627.78999999</v>
      </c>
      <c r="O6" s="1019">
        <f t="shared" si="1"/>
        <v>5250799.7833331786</v>
      </c>
      <c r="P6" s="1019">
        <f t="shared" si="2"/>
        <v>80521741.209999993</v>
      </c>
      <c r="Q6" s="1019"/>
      <c r="V6" s="1023"/>
    </row>
    <row r="7" spans="2:22" ht="12">
      <c r="B7" s="1017" t="s">
        <v>605</v>
      </c>
      <c r="C7" s="1018">
        <v>80521741.209999993</v>
      </c>
      <c r="D7" s="1022">
        <f>P18</f>
        <v>80521741.210000008</v>
      </c>
      <c r="E7" s="1024">
        <f>D7-P36</f>
        <v>78077478.165121138</v>
      </c>
      <c r="G7" s="1009">
        <v>3</v>
      </c>
      <c r="H7" s="1021">
        <v>44958</v>
      </c>
      <c r="I7" s="1022">
        <f>'2 - Cost Support '!F9</f>
        <v>215080772.25423944</v>
      </c>
      <c r="J7" s="1022">
        <f>'2 - Cost Support '!F57</f>
        <v>4113462</v>
      </c>
      <c r="K7" s="1022">
        <f>'2 - Cost Support '!F41</f>
        <v>44817934.529093713</v>
      </c>
      <c r="L7" s="1019">
        <f t="shared" si="3"/>
        <v>264012168.78333315</v>
      </c>
      <c r="M7" s="1019"/>
      <c r="N7" s="1019">
        <f t="shared" si="0"/>
        <v>178239627.78999999</v>
      </c>
      <c r="O7" s="1019">
        <f t="shared" si="1"/>
        <v>5250799.7833331786</v>
      </c>
      <c r="P7" s="1019">
        <f t="shared" si="2"/>
        <v>80521741.209999993</v>
      </c>
      <c r="Q7" s="1019"/>
      <c r="V7" s="1023"/>
    </row>
    <row r="8" spans="2:22" ht="12">
      <c r="B8" s="1009" t="s">
        <v>36</v>
      </c>
      <c r="C8" s="1019">
        <f>SUM(C5:C7)</f>
        <v>264012168.78333318</v>
      </c>
      <c r="D8" s="1019">
        <f>D5+D6+D7</f>
        <v>264012168.78333318</v>
      </c>
      <c r="E8" s="1020">
        <f>E5+E6+E7</f>
        <v>255997995.49474958</v>
      </c>
      <c r="G8" s="1009">
        <v>4</v>
      </c>
      <c r="H8" s="1021">
        <v>44986</v>
      </c>
      <c r="I8" s="1022">
        <f>'2 - Cost Support '!F10</f>
        <v>215080772.25423944</v>
      </c>
      <c r="J8" s="1022">
        <f>'2 - Cost Support '!F58</f>
        <v>4113462</v>
      </c>
      <c r="K8" s="1022">
        <f>'2 - Cost Support '!F42</f>
        <v>44817934.529093713</v>
      </c>
      <c r="L8" s="1019">
        <f t="shared" si="3"/>
        <v>264012168.78333315</v>
      </c>
      <c r="M8" s="1019"/>
      <c r="N8" s="1019">
        <f t="shared" si="0"/>
        <v>178239627.78999999</v>
      </c>
      <c r="O8" s="1019">
        <f t="shared" si="1"/>
        <v>5250799.7833331786</v>
      </c>
      <c r="P8" s="1019">
        <f t="shared" si="2"/>
        <v>80521741.209999993</v>
      </c>
      <c r="Q8" s="1019"/>
      <c r="V8" s="1023"/>
    </row>
    <row r="9" spans="2:22">
      <c r="C9" s="1025"/>
      <c r="D9" s="1025"/>
      <c r="E9" s="1025"/>
      <c r="G9" s="1009">
        <v>5</v>
      </c>
      <c r="H9" s="1021">
        <v>45017</v>
      </c>
      <c r="I9" s="1022">
        <f>'2 - Cost Support '!F11</f>
        <v>215080772.25423944</v>
      </c>
      <c r="J9" s="1022">
        <f>'2 - Cost Support '!F59</f>
        <v>4113462</v>
      </c>
      <c r="K9" s="1022">
        <f>'2 - Cost Support '!F43</f>
        <v>44817934.529093713</v>
      </c>
      <c r="L9" s="1019">
        <f t="shared" si="3"/>
        <v>264012168.78333315</v>
      </c>
      <c r="M9" s="1019"/>
      <c r="N9" s="1019">
        <f t="shared" si="0"/>
        <v>178239627.78999999</v>
      </c>
      <c r="O9" s="1019">
        <f t="shared" si="1"/>
        <v>5250799.7833331786</v>
      </c>
      <c r="P9" s="1019">
        <f t="shared" si="2"/>
        <v>80521741.209999993</v>
      </c>
      <c r="Q9" s="1019"/>
      <c r="V9" s="1023"/>
    </row>
    <row r="10" spans="2:22">
      <c r="E10" s="1019"/>
      <c r="G10" s="1009">
        <v>6</v>
      </c>
      <c r="H10" s="1021">
        <v>45047</v>
      </c>
      <c r="I10" s="1022">
        <f>'2 - Cost Support '!F12</f>
        <v>215080772.25423944</v>
      </c>
      <c r="J10" s="1022">
        <f>'2 - Cost Support '!F60</f>
        <v>4113462</v>
      </c>
      <c r="K10" s="1022">
        <f>'2 - Cost Support '!F44</f>
        <v>44817934.529093713</v>
      </c>
      <c r="L10" s="1019">
        <f t="shared" si="3"/>
        <v>264012168.78333315</v>
      </c>
      <c r="M10" s="1019"/>
      <c r="N10" s="1019">
        <f t="shared" si="0"/>
        <v>178239627.78999999</v>
      </c>
      <c r="O10" s="1019">
        <f t="shared" si="1"/>
        <v>5250799.7833331786</v>
      </c>
      <c r="P10" s="1019">
        <f t="shared" si="2"/>
        <v>80521741.209999993</v>
      </c>
      <c r="Q10" s="1019"/>
      <c r="V10" s="1023"/>
    </row>
    <row r="11" spans="2:22">
      <c r="G11" s="1009">
        <v>7</v>
      </c>
      <c r="H11" s="1021">
        <v>45078</v>
      </c>
      <c r="I11" s="1022">
        <f>'2 - Cost Support '!F13</f>
        <v>215080772.25423944</v>
      </c>
      <c r="J11" s="1022">
        <f>'2 - Cost Support '!F61</f>
        <v>4113462</v>
      </c>
      <c r="K11" s="1022">
        <f>'2 - Cost Support '!F45</f>
        <v>44817934.529093713</v>
      </c>
      <c r="L11" s="1019">
        <f t="shared" si="3"/>
        <v>264012168.78333315</v>
      </c>
      <c r="M11" s="1019"/>
      <c r="N11" s="1019">
        <f t="shared" si="0"/>
        <v>178239627.78999999</v>
      </c>
      <c r="O11" s="1019">
        <f t="shared" si="1"/>
        <v>5250799.7833331786</v>
      </c>
      <c r="P11" s="1019">
        <f t="shared" si="2"/>
        <v>80521741.209999993</v>
      </c>
      <c r="Q11" s="1019"/>
      <c r="V11" s="1023"/>
    </row>
    <row r="12" spans="2:22">
      <c r="D12" s="1026"/>
      <c r="G12" s="1009">
        <v>8</v>
      </c>
      <c r="H12" s="1021">
        <v>45108</v>
      </c>
      <c r="I12" s="1022">
        <f>'2 - Cost Support '!F14</f>
        <v>215080772.25423944</v>
      </c>
      <c r="J12" s="1022">
        <f>'2 - Cost Support '!F62</f>
        <v>4113462</v>
      </c>
      <c r="K12" s="1022">
        <f>'2 - Cost Support '!F46</f>
        <v>44817934.529093713</v>
      </c>
      <c r="L12" s="1019">
        <f t="shared" si="3"/>
        <v>264012168.78333315</v>
      </c>
      <c r="M12" s="1019"/>
      <c r="N12" s="1019">
        <f t="shared" si="0"/>
        <v>178239627.78999999</v>
      </c>
      <c r="O12" s="1019">
        <f t="shared" si="1"/>
        <v>5250799.7833331786</v>
      </c>
      <c r="P12" s="1019">
        <f t="shared" si="2"/>
        <v>80521741.209999993</v>
      </c>
      <c r="Q12" s="1019"/>
      <c r="V12" s="1023"/>
    </row>
    <row r="13" spans="2:22">
      <c r="C13" s="1027"/>
      <c r="D13" s="1027"/>
      <c r="G13" s="1009">
        <v>9</v>
      </c>
      <c r="H13" s="1021">
        <v>45139</v>
      </c>
      <c r="I13" s="1022">
        <f>'2 - Cost Support '!F15</f>
        <v>215080772.25423944</v>
      </c>
      <c r="J13" s="1022">
        <f>'2 - Cost Support '!F63</f>
        <v>4113462</v>
      </c>
      <c r="K13" s="1022">
        <f>'2 - Cost Support '!F47</f>
        <v>44817934.529093713</v>
      </c>
      <c r="L13" s="1019">
        <f t="shared" si="3"/>
        <v>264012168.78333315</v>
      </c>
      <c r="M13" s="1019"/>
      <c r="N13" s="1019">
        <f t="shared" si="0"/>
        <v>178239627.78999999</v>
      </c>
      <c r="O13" s="1019">
        <f t="shared" si="1"/>
        <v>5250799.7833331786</v>
      </c>
      <c r="P13" s="1019">
        <f t="shared" si="2"/>
        <v>80521741.209999993</v>
      </c>
      <c r="Q13" s="1019"/>
      <c r="V13" s="1023"/>
    </row>
    <row r="14" spans="2:22">
      <c r="B14" s="1017"/>
      <c r="C14" s="1027"/>
      <c r="D14" s="1027"/>
      <c r="E14" s="1025"/>
      <c r="G14" s="1009">
        <v>10</v>
      </c>
      <c r="H14" s="1021">
        <v>45170</v>
      </c>
      <c r="I14" s="1022">
        <f>'2 - Cost Support '!F16</f>
        <v>215080772.25423944</v>
      </c>
      <c r="J14" s="1022">
        <f>'2 - Cost Support '!F64</f>
        <v>4113462</v>
      </c>
      <c r="K14" s="1022">
        <f>'2 - Cost Support '!F48</f>
        <v>44817934.529093713</v>
      </c>
      <c r="L14" s="1019">
        <f t="shared" si="3"/>
        <v>264012168.78333315</v>
      </c>
      <c r="M14" s="1019"/>
      <c r="N14" s="1019">
        <f t="shared" si="0"/>
        <v>178239627.78999999</v>
      </c>
      <c r="O14" s="1019">
        <f t="shared" si="1"/>
        <v>5250799.7833331786</v>
      </c>
      <c r="P14" s="1019">
        <f t="shared" si="2"/>
        <v>80521741.209999993</v>
      </c>
      <c r="Q14" s="1019"/>
      <c r="V14" s="1023"/>
    </row>
    <row r="15" spans="2:22">
      <c r="C15" s="1025"/>
      <c r="D15" s="1025"/>
      <c r="E15" s="1025"/>
      <c r="G15" s="1009">
        <v>11</v>
      </c>
      <c r="H15" s="1021">
        <v>45200</v>
      </c>
      <c r="I15" s="1022">
        <f>'2 - Cost Support '!F17</f>
        <v>215080772.25423944</v>
      </c>
      <c r="J15" s="1022">
        <f>'2 - Cost Support '!F65</f>
        <v>4113462</v>
      </c>
      <c r="K15" s="1022">
        <f>'2 - Cost Support '!F49</f>
        <v>44817934.529093713</v>
      </c>
      <c r="L15" s="1019">
        <f t="shared" si="3"/>
        <v>264012168.78333315</v>
      </c>
      <c r="M15" s="1019"/>
      <c r="N15" s="1019">
        <f t="shared" si="0"/>
        <v>178239627.78999999</v>
      </c>
      <c r="O15" s="1019">
        <f t="shared" si="1"/>
        <v>5250799.7833331786</v>
      </c>
      <c r="P15" s="1019">
        <f t="shared" si="2"/>
        <v>80521741.209999993</v>
      </c>
      <c r="Q15" s="1019"/>
      <c r="V15" s="1023"/>
    </row>
    <row r="16" spans="2:22">
      <c r="C16" s="1025"/>
      <c r="D16" s="1025"/>
      <c r="E16" s="1025"/>
      <c r="G16" s="1009">
        <v>12</v>
      </c>
      <c r="H16" s="1021">
        <v>45231</v>
      </c>
      <c r="I16" s="1022">
        <f>'2 - Cost Support '!F18</f>
        <v>215080772.25423944</v>
      </c>
      <c r="J16" s="1022">
        <f>'2 - Cost Support '!F66</f>
        <v>4113462</v>
      </c>
      <c r="K16" s="1022">
        <f>'2 - Cost Support '!F50</f>
        <v>44817934.529093713</v>
      </c>
      <c r="L16" s="1019">
        <f t="shared" si="3"/>
        <v>264012168.78333315</v>
      </c>
      <c r="M16" s="1019"/>
      <c r="N16" s="1019">
        <f t="shared" si="0"/>
        <v>178239627.78999999</v>
      </c>
      <c r="O16" s="1019">
        <f t="shared" si="1"/>
        <v>5250799.7833331786</v>
      </c>
      <c r="P16" s="1019">
        <f t="shared" si="2"/>
        <v>80521741.209999993</v>
      </c>
      <c r="Q16" s="1019"/>
      <c r="V16" s="1023"/>
    </row>
    <row r="17" spans="2:25">
      <c r="G17" s="1009">
        <v>13</v>
      </c>
      <c r="H17" s="1021">
        <v>45261</v>
      </c>
      <c r="I17" s="1022">
        <f>'2 - Cost Support '!F19</f>
        <v>215080772.25423944</v>
      </c>
      <c r="J17" s="1022">
        <f>'2 - Cost Support '!F67</f>
        <v>4113462</v>
      </c>
      <c r="K17" s="1022">
        <f>'2 - Cost Support '!F51</f>
        <v>44817934.529093713</v>
      </c>
      <c r="L17" s="1019">
        <f t="shared" si="3"/>
        <v>264012168.78333315</v>
      </c>
      <c r="M17" s="1019"/>
      <c r="N17" s="1019">
        <f t="shared" si="0"/>
        <v>178239627.78999999</v>
      </c>
      <c r="O17" s="1019">
        <f t="shared" si="1"/>
        <v>5250799.7833331786</v>
      </c>
      <c r="P17" s="1019">
        <f t="shared" si="2"/>
        <v>80521741.209999993</v>
      </c>
      <c r="Q17" s="1019"/>
      <c r="V17" s="1023"/>
    </row>
    <row r="18" spans="2:25" ht="12">
      <c r="H18" s="1028" t="s">
        <v>963</v>
      </c>
      <c r="I18" s="1020">
        <f t="shared" ref="I18:K18" si="4">AVERAGE(I5:I17)</f>
        <v>215080772.25423953</v>
      </c>
      <c r="J18" s="1020">
        <f t="shared" si="4"/>
        <v>4113462</v>
      </c>
      <c r="K18" s="1020">
        <f t="shared" si="4"/>
        <v>44817934.529093727</v>
      </c>
      <c r="L18" s="1020">
        <f>AVERAGE(L5:L17)</f>
        <v>264012168.78333318</v>
      </c>
      <c r="M18" s="1020"/>
      <c r="N18" s="1020">
        <f>AVERAGE(N5:N17)</f>
        <v>178239627.78999999</v>
      </c>
      <c r="O18" s="1020">
        <f t="shared" ref="O18:P18" si="5">AVERAGE(O5:O17)</f>
        <v>5250799.7833331805</v>
      </c>
      <c r="P18" s="1020">
        <f t="shared" si="5"/>
        <v>80521741.210000008</v>
      </c>
      <c r="Q18" s="1020"/>
      <c r="V18" s="1029"/>
    </row>
    <row r="19" spans="2:25">
      <c r="B19" s="1017"/>
      <c r="C19" s="1025"/>
      <c r="D19" s="1025"/>
      <c r="E19" s="1025"/>
      <c r="H19" s="1021"/>
      <c r="I19" s="1019"/>
      <c r="J19" s="1019"/>
      <c r="K19" s="1019"/>
      <c r="L19" s="1019"/>
      <c r="M19" s="1019"/>
      <c r="N19" s="1019"/>
      <c r="O19" s="1019"/>
      <c r="P19" s="1019"/>
      <c r="Q19" s="1019"/>
      <c r="R19" s="1019"/>
      <c r="S19" s="1019"/>
      <c r="T19" s="1019"/>
      <c r="U19" s="1019"/>
    </row>
    <row r="20" spans="2:25">
      <c r="C20" s="1025"/>
      <c r="D20" s="1025"/>
      <c r="E20" s="1025"/>
      <c r="H20" s="1021"/>
      <c r="I20" s="1019"/>
      <c r="J20" s="1019"/>
      <c r="K20" s="1019"/>
      <c r="L20" s="1019"/>
      <c r="M20" s="1019"/>
      <c r="N20" s="1019"/>
      <c r="O20" s="1019"/>
      <c r="P20" s="1019"/>
      <c r="Q20" s="1019"/>
      <c r="R20" s="1019"/>
      <c r="S20" s="1019"/>
      <c r="T20" s="1019"/>
      <c r="U20" s="1019"/>
      <c r="V20" s="1030"/>
      <c r="Y20" s="1030"/>
    </row>
    <row r="21" spans="2:25">
      <c r="C21" s="1025"/>
      <c r="D21" s="1025"/>
      <c r="E21" s="1025"/>
      <c r="H21" s="1021"/>
      <c r="I21" s="1011" t="s">
        <v>950</v>
      </c>
      <c r="J21" s="1011" t="s">
        <v>950</v>
      </c>
      <c r="K21" s="1011" t="s">
        <v>950</v>
      </c>
      <c r="L21" s="1011"/>
      <c r="M21" s="1019"/>
      <c r="N21" s="1011" t="s">
        <v>951</v>
      </c>
      <c r="O21" s="1011" t="s">
        <v>951</v>
      </c>
      <c r="P21" s="1011" t="s">
        <v>951</v>
      </c>
      <c r="Q21" s="1019"/>
      <c r="R21" s="1019"/>
      <c r="S21" s="1019"/>
      <c r="T21" s="1019"/>
      <c r="U21" s="1019"/>
    </row>
    <row r="22" spans="2:25" ht="48">
      <c r="B22" s="1031"/>
      <c r="C22" s="1013" t="s">
        <v>955</v>
      </c>
      <c r="D22" s="1013" t="s">
        <v>964</v>
      </c>
      <c r="E22" s="1013" t="s">
        <v>965</v>
      </c>
      <c r="H22" s="1021"/>
      <c r="I22" s="1014" t="s">
        <v>339</v>
      </c>
      <c r="J22" s="1014" t="s">
        <v>966</v>
      </c>
      <c r="K22" s="1014" t="s">
        <v>967</v>
      </c>
      <c r="L22" s="1014" t="s">
        <v>968</v>
      </c>
      <c r="M22" s="1019"/>
      <c r="N22" s="1015" t="s">
        <v>969</v>
      </c>
      <c r="O22" s="1015" t="s">
        <v>970</v>
      </c>
      <c r="P22" s="1015" t="s">
        <v>971</v>
      </c>
      <c r="Q22" s="1019"/>
      <c r="R22" s="1019"/>
      <c r="S22" s="1019"/>
      <c r="T22" s="1019"/>
      <c r="U22" s="1019"/>
    </row>
    <row r="23" spans="2:25">
      <c r="B23" s="1017" t="s">
        <v>603</v>
      </c>
      <c r="C23" s="1019">
        <f>E6</f>
        <v>5091410.087164199</v>
      </c>
      <c r="D23" s="1022">
        <f>C23*0.8</f>
        <v>4073128.0697313594</v>
      </c>
      <c r="E23" s="1022">
        <f>C23*0.2</f>
        <v>1018282.0174328398</v>
      </c>
      <c r="G23" s="1009">
        <v>1</v>
      </c>
      <c r="H23" s="1021">
        <v>44896</v>
      </c>
      <c r="I23" s="1022">
        <f>'2 - Cost Support '!F93</f>
        <v>3403561.346016923</v>
      </c>
      <c r="J23" s="1022">
        <f>'2 - Cost Support '!F141</f>
        <v>220322.25000000003</v>
      </c>
      <c r="K23" s="1022">
        <f>'2 - Cost Support '!F125</f>
        <v>1341122.4294165121</v>
      </c>
      <c r="L23" s="1019">
        <f t="shared" ref="L23:L35" si="6">I23+J23+K23</f>
        <v>4965006.0254334351</v>
      </c>
      <c r="N23" s="1031">
        <f t="shared" ref="N23:N35" si="7">($D$5/$D$8)*L23</f>
        <v>3351969.8354306668</v>
      </c>
      <c r="O23" s="1019">
        <f t="shared" ref="O23:O35" si="8">($D$6/$D$8)*L23</f>
        <v>98746.405071915025</v>
      </c>
      <c r="P23" s="1019">
        <f t="shared" ref="P23:P35" si="9">($D$7/$D$8)*L23</f>
        <v>1514289.7849308534</v>
      </c>
    </row>
    <row r="24" spans="2:25">
      <c r="B24" s="1017" t="s">
        <v>972</v>
      </c>
      <c r="C24" s="1022">
        <f>'4 - Incentives'!L120</f>
        <v>452645.83973490028</v>
      </c>
      <c r="D24" s="1022"/>
      <c r="E24" s="1022"/>
      <c r="G24" s="1009">
        <v>2</v>
      </c>
      <c r="H24" s="1021">
        <v>44927</v>
      </c>
      <c r="I24" s="1022">
        <f>'2 - Cost Support '!F94</f>
        <v>3784743.7075211536</v>
      </c>
      <c r="J24" s="1022">
        <f>'2 - Cost Support '!F142</f>
        <v>238277.45833333337</v>
      </c>
      <c r="K24" s="1022">
        <f>'2 - Cost Support '!F126</f>
        <v>1450179.4034373069</v>
      </c>
      <c r="L24" s="1019">
        <f t="shared" si="6"/>
        <v>5473200.5692917937</v>
      </c>
      <c r="N24" s="1031">
        <f t="shared" si="7"/>
        <v>3695061.6207815129</v>
      </c>
      <c r="O24" s="1019">
        <f t="shared" si="8"/>
        <v>108853.62025475939</v>
      </c>
      <c r="P24" s="1019">
        <f t="shared" si="9"/>
        <v>1669285.3282555216</v>
      </c>
    </row>
    <row r="25" spans="2:25" ht="12">
      <c r="B25" s="1009" t="s">
        <v>973</v>
      </c>
      <c r="C25" s="1022"/>
      <c r="D25" s="1022">
        <f>C24*0.8</f>
        <v>362116.67178792023</v>
      </c>
      <c r="E25" s="1024">
        <f>C24*0.2</f>
        <v>90529.167946980058</v>
      </c>
      <c r="G25" s="1009">
        <v>3</v>
      </c>
      <c r="H25" s="1021">
        <v>44958</v>
      </c>
      <c r="I25" s="1022">
        <f>'2 - Cost Support '!F95</f>
        <v>4165926.0690253843</v>
      </c>
      <c r="J25" s="1022">
        <f>'2 - Cost Support '!F143</f>
        <v>256232.66666666672</v>
      </c>
      <c r="K25" s="1022">
        <f>'2 - Cost Support '!F127</f>
        <v>1559236.3774581016</v>
      </c>
      <c r="L25" s="1019">
        <f t="shared" si="6"/>
        <v>5981395.1131501533</v>
      </c>
      <c r="N25" s="1031">
        <f t="shared" si="7"/>
        <v>4038153.4061323595</v>
      </c>
      <c r="O25" s="1019">
        <f t="shared" si="8"/>
        <v>118960.83543760378</v>
      </c>
      <c r="P25" s="1019">
        <f t="shared" si="9"/>
        <v>1824280.8715801903</v>
      </c>
    </row>
    <row r="26" spans="2:25">
      <c r="C26" s="1025"/>
      <c r="D26" s="1025"/>
      <c r="E26" s="1025"/>
      <c r="G26" s="1009">
        <v>4</v>
      </c>
      <c r="H26" s="1021">
        <v>44986</v>
      </c>
      <c r="I26" s="1022">
        <f>'2 - Cost Support '!F96</f>
        <v>4547108.4305296149</v>
      </c>
      <c r="J26" s="1022">
        <f>'2 - Cost Support '!F144</f>
        <v>274187.87500000006</v>
      </c>
      <c r="K26" s="1022">
        <f>'2 - Cost Support '!F128</f>
        <v>1668293.3514788963</v>
      </c>
      <c r="L26" s="1019">
        <f t="shared" si="6"/>
        <v>6489589.657008511</v>
      </c>
      <c r="N26" s="1031">
        <f t="shared" si="7"/>
        <v>4381245.1914832052</v>
      </c>
      <c r="O26" s="1019">
        <f t="shared" si="8"/>
        <v>129068.05062044812</v>
      </c>
      <c r="P26" s="1019">
        <f t="shared" si="9"/>
        <v>1979276.4149048582</v>
      </c>
    </row>
    <row r="27" spans="2:25">
      <c r="C27" s="1025"/>
      <c r="G27" s="1009">
        <v>5</v>
      </c>
      <c r="H27" s="1021">
        <v>45017</v>
      </c>
      <c r="I27" s="1022">
        <f>'2 - Cost Support '!F97</f>
        <v>4928290.7920338456</v>
      </c>
      <c r="J27" s="1022">
        <f>'2 - Cost Support '!F145</f>
        <v>292143.08333333337</v>
      </c>
      <c r="K27" s="1022">
        <f>'2 - Cost Support '!F129</f>
        <v>1777350.3254996911</v>
      </c>
      <c r="L27" s="1019">
        <f t="shared" si="6"/>
        <v>6997784.2008668697</v>
      </c>
      <c r="N27" s="1031">
        <f t="shared" si="7"/>
        <v>4724336.9768340513</v>
      </c>
      <c r="O27" s="1019">
        <f t="shared" si="8"/>
        <v>139175.26580329248</v>
      </c>
      <c r="P27" s="1019">
        <f t="shared" si="9"/>
        <v>2134271.9582295264</v>
      </c>
    </row>
    <row r="28" spans="2:25">
      <c r="C28" s="1025"/>
      <c r="G28" s="1009">
        <v>6</v>
      </c>
      <c r="H28" s="1021">
        <v>45047</v>
      </c>
      <c r="I28" s="1022">
        <f>'2 - Cost Support '!F98</f>
        <v>5309473.1535380762</v>
      </c>
      <c r="J28" s="1022">
        <f>'2 - Cost Support '!F146</f>
        <v>310098.29166666669</v>
      </c>
      <c r="K28" s="1022">
        <f>'2 - Cost Support '!F130</f>
        <v>1886407.2995204858</v>
      </c>
      <c r="L28" s="1019">
        <f t="shared" si="6"/>
        <v>7505978.7447252292</v>
      </c>
      <c r="N28" s="1031">
        <f t="shared" si="7"/>
        <v>5067428.7621848974</v>
      </c>
      <c r="O28" s="1019">
        <f t="shared" si="8"/>
        <v>149282.48098613686</v>
      </c>
      <c r="P28" s="1019">
        <f t="shared" si="9"/>
        <v>2289267.5015541953</v>
      </c>
    </row>
    <row r="29" spans="2:25">
      <c r="C29" s="1025"/>
      <c r="D29" s="1025"/>
      <c r="E29" s="1025"/>
      <c r="G29" s="1009">
        <v>7</v>
      </c>
      <c r="H29" s="1021">
        <v>45078</v>
      </c>
      <c r="I29" s="1022">
        <f>'2 - Cost Support '!F99</f>
        <v>5690655.5150423069</v>
      </c>
      <c r="J29" s="1022">
        <f>'2 - Cost Support '!F147</f>
        <v>328053.5</v>
      </c>
      <c r="K29" s="1022">
        <f>'2 - Cost Support '!F131</f>
        <v>1995464.2735412805</v>
      </c>
      <c r="L29" s="1019">
        <f t="shared" si="6"/>
        <v>8014173.2885835879</v>
      </c>
      <c r="N29" s="1031">
        <f t="shared" si="7"/>
        <v>5410520.5475357436</v>
      </c>
      <c r="O29" s="1019">
        <f t="shared" si="8"/>
        <v>159389.69616898123</v>
      </c>
      <c r="P29" s="1019">
        <f t="shared" si="9"/>
        <v>2444263.0448788633</v>
      </c>
    </row>
    <row r="30" spans="2:25">
      <c r="C30" s="1025"/>
      <c r="D30" s="1025"/>
      <c r="E30" s="1025"/>
      <c r="G30" s="1009">
        <v>8</v>
      </c>
      <c r="H30" s="1021">
        <v>45108</v>
      </c>
      <c r="I30" s="1022">
        <f>'2 - Cost Support '!F100</f>
        <v>6071837.8765465375</v>
      </c>
      <c r="J30" s="1022">
        <f>'2 - Cost Support '!F148</f>
        <v>346008.70833333331</v>
      </c>
      <c r="K30" s="1022">
        <f>'2 - Cost Support '!F132</f>
        <v>2104521.247562075</v>
      </c>
      <c r="L30" s="1019">
        <f t="shared" si="6"/>
        <v>8522367.8324419446</v>
      </c>
      <c r="N30" s="1031">
        <f t="shared" si="7"/>
        <v>5753612.3328865888</v>
      </c>
      <c r="O30" s="1019">
        <f t="shared" si="8"/>
        <v>169496.91135182555</v>
      </c>
      <c r="P30" s="1019">
        <f t="shared" si="9"/>
        <v>2599258.5882035312</v>
      </c>
    </row>
    <row r="31" spans="2:25">
      <c r="C31" s="1025"/>
      <c r="D31" s="1025"/>
      <c r="E31" s="1025"/>
      <c r="G31" s="1009">
        <v>9</v>
      </c>
      <c r="H31" s="1021">
        <v>45139</v>
      </c>
      <c r="I31" s="1022">
        <f>'2 - Cost Support '!F101</f>
        <v>6453020.2380507682</v>
      </c>
      <c r="J31" s="1022">
        <f>'2 - Cost Support '!F149</f>
        <v>363963.91666666663</v>
      </c>
      <c r="K31" s="1022">
        <f>'2 - Cost Support '!F133</f>
        <v>2213578.2215828695</v>
      </c>
      <c r="L31" s="1019">
        <f t="shared" si="6"/>
        <v>9030562.3763003051</v>
      </c>
      <c r="N31" s="1031">
        <f t="shared" si="7"/>
        <v>6096704.1182374358</v>
      </c>
      <c r="O31" s="1019">
        <f t="shared" si="8"/>
        <v>179604.12653466995</v>
      </c>
      <c r="P31" s="1019">
        <f t="shared" si="9"/>
        <v>2754254.1315282001</v>
      </c>
    </row>
    <row r="32" spans="2:25">
      <c r="G32" s="1009">
        <v>10</v>
      </c>
      <c r="H32" s="1021">
        <v>45170</v>
      </c>
      <c r="I32" s="1022">
        <f>'2 - Cost Support '!F102</f>
        <v>6834202.5995549988</v>
      </c>
      <c r="J32" s="1022">
        <f>'2 - Cost Support '!F150</f>
        <v>381919.12499999994</v>
      </c>
      <c r="K32" s="1022">
        <f>'2 - Cost Support '!F134</f>
        <v>2322635.195603664</v>
      </c>
      <c r="L32" s="1019">
        <f t="shared" si="6"/>
        <v>9538756.9201586619</v>
      </c>
      <c r="N32" s="1031">
        <f t="shared" si="7"/>
        <v>6439795.9035882801</v>
      </c>
      <c r="O32" s="1019">
        <f t="shared" si="8"/>
        <v>189711.3417175143</v>
      </c>
      <c r="P32" s="1019">
        <f t="shared" si="9"/>
        <v>2909249.6748528676</v>
      </c>
    </row>
    <row r="33" spans="7:16">
      <c r="G33" s="1009">
        <v>11</v>
      </c>
      <c r="H33" s="1021">
        <v>45200</v>
      </c>
      <c r="I33" s="1022">
        <f>'2 - Cost Support '!F103</f>
        <v>7215384.9610592294</v>
      </c>
      <c r="J33" s="1022">
        <f>'2 - Cost Support '!F151</f>
        <v>399874.33333333326</v>
      </c>
      <c r="K33" s="1022">
        <f>'2 - Cost Support '!F135</f>
        <v>2431692.1696244585</v>
      </c>
      <c r="L33" s="1019">
        <f t="shared" si="6"/>
        <v>10046951.464017021</v>
      </c>
      <c r="N33" s="1031">
        <f t="shared" si="7"/>
        <v>6782887.6889391262</v>
      </c>
      <c r="O33" s="1019">
        <f t="shared" si="8"/>
        <v>199818.55690035864</v>
      </c>
      <c r="P33" s="1019">
        <f t="shared" si="9"/>
        <v>3064245.218177536</v>
      </c>
    </row>
    <row r="34" spans="7:16">
      <c r="G34" s="1009">
        <v>12</v>
      </c>
      <c r="H34" s="1021">
        <v>45231</v>
      </c>
      <c r="I34" s="1022">
        <f>'2 - Cost Support '!F104</f>
        <v>7596567.3225634601</v>
      </c>
      <c r="J34" s="1022">
        <f>'2 - Cost Support '!F152</f>
        <v>417829.54166666657</v>
      </c>
      <c r="K34" s="1022">
        <f>'2 - Cost Support '!F136</f>
        <v>2540749.143645253</v>
      </c>
      <c r="L34" s="1019">
        <f t="shared" si="6"/>
        <v>10555146.007875379</v>
      </c>
      <c r="N34" s="1031">
        <f t="shared" si="7"/>
        <v>7125979.4742899723</v>
      </c>
      <c r="O34" s="1019">
        <f t="shared" si="8"/>
        <v>209925.77208320302</v>
      </c>
      <c r="P34" s="1019">
        <f t="shared" si="9"/>
        <v>3219240.7615022045</v>
      </c>
    </row>
    <row r="35" spans="7:16">
      <c r="G35" s="1009">
        <v>13</v>
      </c>
      <c r="H35" s="1021">
        <v>45261</v>
      </c>
      <c r="I35" s="1022">
        <f>'2 - Cost Support '!F105</f>
        <v>7977749.6840676907</v>
      </c>
      <c r="J35" s="1022">
        <f>'2 - Cost Support '!F153</f>
        <v>435784.74999999988</v>
      </c>
      <c r="K35" s="1022">
        <f>'2 - Cost Support '!F137</f>
        <v>2649806.1176660475</v>
      </c>
      <c r="L35" s="1019">
        <f t="shared" si="6"/>
        <v>11063340.551733738</v>
      </c>
      <c r="N35" s="1031">
        <f t="shared" si="7"/>
        <v>7469071.2596408185</v>
      </c>
      <c r="O35" s="1019">
        <f t="shared" si="8"/>
        <v>220032.98726604736</v>
      </c>
      <c r="P35" s="1019">
        <f t="shared" si="9"/>
        <v>3374236.3048268724</v>
      </c>
    </row>
    <row r="36" spans="7:16" ht="12">
      <c r="H36" s="1028" t="s">
        <v>963</v>
      </c>
      <c r="I36" s="1020">
        <f t="shared" ref="I36:K36" si="10">AVERAGE(I23:I35)</f>
        <v>5690655.5150423069</v>
      </c>
      <c r="J36" s="1020">
        <f t="shared" si="10"/>
        <v>328053.49999999994</v>
      </c>
      <c r="K36" s="1020">
        <f t="shared" si="10"/>
        <v>1995464.2735412803</v>
      </c>
      <c r="L36" s="1020">
        <f>AVERAGE(L23:L35)</f>
        <v>8014173.2885835869</v>
      </c>
      <c r="N36" s="1020">
        <f>AVERAGE(N23:N35)</f>
        <v>5410520.5475357426</v>
      </c>
      <c r="O36" s="1020">
        <f t="shared" ref="O36:P36" si="11">AVERAGE(O23:O35)</f>
        <v>159389.6961689812</v>
      </c>
      <c r="P36" s="1020">
        <f t="shared" si="11"/>
        <v>2444263.0448788628</v>
      </c>
    </row>
  </sheetData>
  <mergeCells count="2">
    <mergeCell ref="B1:E1"/>
    <mergeCell ref="B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5EF-F69B-421D-9B49-53F3F42C866A}">
  <dimension ref="A1:H24"/>
  <sheetViews>
    <sheetView view="pageBreakPreview" zoomScale="90" zoomScaleNormal="90" zoomScaleSheetLayoutView="90" workbookViewId="0">
      <selection activeCell="F12" sqref="F12"/>
    </sheetView>
  </sheetViews>
  <sheetFormatPr defaultColWidth="8.90625" defaultRowHeight="15"/>
  <cols>
    <col min="1" max="1" width="8.90625" style="663"/>
    <col min="2" max="2" width="44" style="663" bestFit="1" customWidth="1"/>
    <col min="3" max="3" width="8.90625" style="663"/>
    <col min="4" max="6" width="15.54296875" style="663" customWidth="1"/>
    <col min="7" max="7" width="13.453125" style="663" bestFit="1" customWidth="1"/>
    <col min="8" max="8" width="15.54296875" style="663" customWidth="1"/>
    <col min="9" max="16384" width="8.90625" style="663"/>
  </cols>
  <sheetData>
    <row r="1" spans="1:8" ht="15.6">
      <c r="A1" s="1185" t="s">
        <v>981</v>
      </c>
      <c r="B1" s="1185"/>
      <c r="C1" s="1185"/>
      <c r="D1" s="1185"/>
      <c r="E1" s="1032"/>
      <c r="F1" s="1032"/>
      <c r="G1" s="1032"/>
      <c r="H1" s="1032"/>
    </row>
    <row r="2" spans="1:8" ht="15.6">
      <c r="A2" s="1033" t="s">
        <v>949</v>
      </c>
      <c r="B2" s="1033"/>
      <c r="C2" s="1033"/>
      <c r="D2" s="1033"/>
      <c r="E2" s="1033"/>
      <c r="F2" s="1033"/>
      <c r="G2" s="1033"/>
      <c r="H2" s="1033"/>
    </row>
    <row r="3" spans="1:8" ht="15.6">
      <c r="A3" s="1033"/>
      <c r="C3" s="1033"/>
    </row>
    <row r="4" spans="1:8" ht="15.6">
      <c r="A4" s="1033"/>
      <c r="C4" s="1034" t="s">
        <v>974</v>
      </c>
    </row>
    <row r="5" spans="1:8" ht="15.6">
      <c r="C5" s="1034"/>
    </row>
    <row r="6" spans="1:8">
      <c r="B6" s="1035" t="s">
        <v>174</v>
      </c>
      <c r="D6" s="1035" t="s">
        <v>175</v>
      </c>
    </row>
    <row r="7" spans="1:8" ht="15.6">
      <c r="A7" s="1036"/>
      <c r="D7" s="1037" t="str">
        <f>'Appendix A'!M8</f>
        <v>For the 12 months ended 12/31/2023</v>
      </c>
    </row>
    <row r="8" spans="1:8">
      <c r="D8" s="1038"/>
    </row>
    <row r="9" spans="1:8">
      <c r="D9" s="1039"/>
    </row>
    <row r="10" spans="1:8" ht="18.600000000000001">
      <c r="A10" s="1040">
        <v>1</v>
      </c>
      <c r="B10" s="663" t="s">
        <v>975</v>
      </c>
      <c r="C10" s="1041"/>
      <c r="D10" s="1042">
        <v>160104</v>
      </c>
    </row>
    <row r="11" spans="1:8">
      <c r="A11" s="1040" t="s">
        <v>276</v>
      </c>
      <c r="B11" s="663" t="s">
        <v>976</v>
      </c>
      <c r="C11" s="1041"/>
      <c r="D11" s="1043">
        <v>149052</v>
      </c>
      <c r="E11" s="1044"/>
      <c r="F11" s="81"/>
    </row>
    <row r="12" spans="1:8">
      <c r="A12" s="1040" t="s">
        <v>888</v>
      </c>
      <c r="B12" s="663" t="s">
        <v>977</v>
      </c>
      <c r="C12" s="1041"/>
      <c r="D12" s="1043">
        <v>11052</v>
      </c>
    </row>
    <row r="13" spans="1:8">
      <c r="A13" s="1040" t="s">
        <v>889</v>
      </c>
      <c r="B13" s="1045"/>
      <c r="C13" s="1041"/>
      <c r="D13" s="1043"/>
    </row>
    <row r="14" spans="1:8">
      <c r="A14" s="1040"/>
      <c r="C14" s="1041"/>
      <c r="D14" s="1043"/>
    </row>
    <row r="15" spans="1:8">
      <c r="A15" s="1040"/>
      <c r="C15" s="1041"/>
      <c r="D15" s="1043"/>
    </row>
    <row r="16" spans="1:8">
      <c r="A16" s="663" t="s">
        <v>978</v>
      </c>
    </row>
    <row r="17" spans="1:6" ht="15" customHeight="1">
      <c r="A17" s="1186" t="s">
        <v>979</v>
      </c>
      <c r="B17" s="1186"/>
      <c r="C17" s="1186"/>
      <c r="D17" s="1186"/>
      <c r="E17" s="1186"/>
      <c r="F17" s="1186"/>
    </row>
    <row r="18" spans="1:6" ht="15.75" customHeight="1">
      <c r="A18" s="1186"/>
      <c r="B18" s="1186"/>
      <c r="C18" s="1186"/>
      <c r="D18" s="1186"/>
      <c r="E18" s="1186"/>
      <c r="F18" s="1186"/>
    </row>
    <row r="19" spans="1:6">
      <c r="A19" s="1186"/>
      <c r="B19" s="1186"/>
      <c r="C19" s="1186"/>
      <c r="D19" s="1186"/>
      <c r="E19" s="1186"/>
      <c r="F19" s="1186"/>
    </row>
    <row r="20" spans="1:6">
      <c r="A20" s="1186"/>
      <c r="B20" s="1186"/>
      <c r="C20" s="1186"/>
      <c r="D20" s="1186"/>
      <c r="E20" s="1186"/>
      <c r="F20" s="1186"/>
    </row>
    <row r="21" spans="1:6" ht="15.75" customHeight="1">
      <c r="A21" s="1186"/>
      <c r="B21" s="1186"/>
      <c r="C21" s="1186"/>
      <c r="D21" s="1186"/>
      <c r="E21" s="1186"/>
      <c r="F21" s="1186"/>
    </row>
    <row r="22" spans="1:6">
      <c r="A22" s="1186"/>
      <c r="B22" s="1186"/>
      <c r="C22" s="1186"/>
      <c r="D22" s="1186"/>
      <c r="E22" s="1186"/>
      <c r="F22" s="1186"/>
    </row>
    <row r="23" spans="1:6">
      <c r="A23" s="1046"/>
      <c r="B23" s="1046"/>
      <c r="C23" s="1046"/>
      <c r="D23" s="1046"/>
      <c r="E23" s="1046"/>
      <c r="F23" s="1046"/>
    </row>
    <row r="24" spans="1:6">
      <c r="A24" s="1046"/>
      <c r="B24" s="1046"/>
      <c r="C24" s="1046"/>
      <c r="D24" s="1046"/>
      <c r="E24" s="1046"/>
      <c r="F24" s="1046"/>
    </row>
  </sheetData>
  <mergeCells count="2">
    <mergeCell ref="A1:D1"/>
    <mergeCell ref="A17:F22"/>
  </mergeCells>
  <pageMargins left="0.7" right="0.7" top="0.75" bottom="0.75" header="0.3" footer="0.3"/>
  <pageSetup scale="51" orientation="portrait"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0B2B-06A4-4375-BA25-B0CADA4057EA}">
  <dimension ref="A1:IT533"/>
  <sheetViews>
    <sheetView view="pageBreakPreview" zoomScaleNormal="100" zoomScaleSheetLayoutView="100" workbookViewId="0">
      <selection activeCell="E169" sqref="E169"/>
    </sheetView>
  </sheetViews>
  <sheetFormatPr defaultColWidth="8.81640625" defaultRowHeight="15"/>
  <cols>
    <col min="1" max="1" width="6" style="5" customWidth="1"/>
    <col min="2" max="2" width="1.453125" style="5" customWidth="1"/>
    <col min="3" max="3" width="48.1796875" style="5" customWidth="1"/>
    <col min="4" max="4" width="38.81640625" style="5" customWidth="1"/>
    <col min="5" max="5" width="18.1796875" style="5" customWidth="1"/>
    <col min="6" max="6" width="15.54296875" style="5" customWidth="1"/>
    <col min="7" max="7" width="8.08984375" style="5" customWidth="1"/>
    <col min="8" max="8" width="15.1796875" style="5" bestFit="1" customWidth="1"/>
    <col min="9" max="9" width="7.1796875" style="5" customWidth="1"/>
    <col min="10" max="10" width="15.81640625" style="5" customWidth="1"/>
    <col min="11" max="11" width="8.81640625" style="5" customWidth="1"/>
    <col min="12" max="12" width="10.1796875" style="5" customWidth="1"/>
    <col min="13" max="13" width="14.453125" style="5" customWidth="1"/>
    <col min="14" max="14" width="12" style="5" bestFit="1" customWidth="1"/>
    <col min="15" max="16384" width="8.81640625" style="5"/>
  </cols>
  <sheetData>
    <row r="1" spans="1:13">
      <c r="C1" s="2"/>
      <c r="D1" s="2"/>
      <c r="E1" s="3"/>
      <c r="F1" s="2"/>
      <c r="G1" s="2"/>
      <c r="H1" s="2"/>
      <c r="I1" s="2"/>
      <c r="J1" s="4"/>
      <c r="K1" s="4"/>
      <c r="L1" s="4"/>
      <c r="M1" s="4"/>
    </row>
    <row r="2" spans="1:13">
      <c r="C2" s="2"/>
      <c r="D2" s="2"/>
      <c r="E2" s="3"/>
      <c r="F2" s="2"/>
      <c r="G2" s="2"/>
      <c r="H2" s="2"/>
      <c r="I2" s="2"/>
      <c r="K2" s="4"/>
      <c r="L2" s="4"/>
      <c r="M2" s="4" t="s">
        <v>3</v>
      </c>
    </row>
    <row r="3" spans="1:13">
      <c r="C3" s="2"/>
      <c r="D3" s="2"/>
      <c r="E3" s="3"/>
      <c r="F3" s="2"/>
      <c r="G3" s="2"/>
      <c r="H3" s="2"/>
      <c r="I3" s="2"/>
      <c r="J3" s="4"/>
      <c r="K3" s="6"/>
      <c r="L3" s="7"/>
      <c r="M3" s="7" t="s">
        <v>19</v>
      </c>
    </row>
    <row r="4" spans="1:13">
      <c r="C4" s="2"/>
      <c r="D4" s="2"/>
      <c r="E4" s="3"/>
      <c r="F4" s="2"/>
      <c r="G4" s="2"/>
      <c r="H4" s="2"/>
      <c r="I4" s="2"/>
      <c r="J4" s="4"/>
      <c r="K4" s="7"/>
      <c r="L4" s="1053"/>
      <c r="M4" s="1053"/>
    </row>
    <row r="5" spans="1:13">
      <c r="C5" s="2"/>
      <c r="D5" s="2"/>
      <c r="E5" s="3"/>
      <c r="F5" s="2"/>
      <c r="G5" s="2"/>
      <c r="H5" s="2"/>
      <c r="I5" s="2"/>
      <c r="J5" s="2"/>
      <c r="K5" s="15"/>
      <c r="L5" s="15"/>
    </row>
    <row r="6" spans="1:13">
      <c r="C6" s="2" t="s">
        <v>20</v>
      </c>
      <c r="D6" s="1"/>
      <c r="E6" s="1" t="s">
        <v>21</v>
      </c>
      <c r="F6" s="2"/>
      <c r="G6" s="2"/>
      <c r="H6" s="2"/>
      <c r="I6" s="2"/>
    </row>
    <row r="7" spans="1:13">
      <c r="C7" s="2"/>
      <c r="D7" s="9" t="s">
        <v>22</v>
      </c>
      <c r="E7" s="9" t="s">
        <v>23</v>
      </c>
      <c r="F7" s="9"/>
      <c r="G7" s="9"/>
      <c r="H7" s="9"/>
      <c r="I7" s="2"/>
      <c r="J7" s="11"/>
      <c r="K7" s="12"/>
      <c r="L7" s="13"/>
      <c r="M7" s="14" t="s">
        <v>24</v>
      </c>
    </row>
    <row r="8" spans="1:13">
      <c r="C8" s="15"/>
      <c r="D8" s="15"/>
      <c r="E8" s="15"/>
      <c r="F8" s="15"/>
      <c r="G8" s="15"/>
      <c r="H8" s="15"/>
      <c r="I8" s="15"/>
      <c r="J8" s="15"/>
      <c r="K8" s="16"/>
      <c r="L8" s="17"/>
      <c r="M8" s="18" t="s">
        <v>25</v>
      </c>
    </row>
    <row r="9" spans="1:13" ht="15.6">
      <c r="A9" s="20"/>
      <c r="C9" s="15"/>
      <c r="D9" s="15"/>
      <c r="E9" s="21" t="str">
        <f>+Index!C7</f>
        <v>NextEra Energy Transmission New York, Inc.</v>
      </c>
      <c r="F9" s="15"/>
      <c r="G9" s="15"/>
      <c r="H9" s="15"/>
      <c r="I9" s="15"/>
      <c r="J9" s="15"/>
      <c r="L9" s="15"/>
      <c r="M9" s="7"/>
    </row>
    <row r="10" spans="1:13">
      <c r="A10" s="20"/>
      <c r="C10" s="15"/>
      <c r="D10" s="15"/>
      <c r="E10" s="22"/>
      <c r="F10" s="15"/>
      <c r="G10" s="15"/>
      <c r="H10" s="15"/>
      <c r="I10" s="15"/>
      <c r="J10" s="15"/>
      <c r="K10" s="15"/>
      <c r="L10" s="15"/>
    </row>
    <row r="11" spans="1:13">
      <c r="A11" s="20"/>
      <c r="C11" s="15"/>
      <c r="D11" s="15"/>
      <c r="E11" s="23" t="s">
        <v>26</v>
      </c>
      <c r="F11" s="15"/>
      <c r="G11" s="15"/>
      <c r="H11" s="23" t="s">
        <v>27</v>
      </c>
      <c r="I11" s="15"/>
      <c r="J11" s="23" t="s">
        <v>28</v>
      </c>
      <c r="K11" s="15"/>
      <c r="L11" s="23"/>
      <c r="M11" s="23"/>
    </row>
    <row r="12" spans="1:13">
      <c r="A12" s="20"/>
      <c r="C12" s="15"/>
      <c r="D12" s="15"/>
      <c r="M12" s="24"/>
    </row>
    <row r="13" spans="1:13">
      <c r="A13" s="20" t="s">
        <v>29</v>
      </c>
      <c r="C13" s="15"/>
      <c r="D13" s="15"/>
      <c r="E13" s="22"/>
      <c r="F13" s="15"/>
      <c r="G13" s="15"/>
      <c r="H13" s="15"/>
      <c r="I13" s="15"/>
      <c r="J13" s="24" t="s">
        <v>30</v>
      </c>
      <c r="K13" s="15"/>
      <c r="L13" s="15"/>
      <c r="M13" s="24"/>
    </row>
    <row r="14" spans="1:13" ht="15.6" thickBot="1">
      <c r="A14" s="25" t="s">
        <v>31</v>
      </c>
      <c r="C14" s="15"/>
      <c r="D14" s="15"/>
      <c r="E14" s="15"/>
      <c r="F14" s="15"/>
      <c r="G14" s="15"/>
      <c r="H14" s="15"/>
      <c r="I14" s="15"/>
      <c r="J14" s="26" t="s">
        <v>32</v>
      </c>
      <c r="K14" s="15"/>
      <c r="L14" s="24"/>
      <c r="M14" s="24"/>
    </row>
    <row r="15" spans="1:13">
      <c r="A15" s="20">
        <v>1</v>
      </c>
      <c r="C15" s="15" t="s">
        <v>33</v>
      </c>
      <c r="D15" s="15" t="str">
        <f>"(page 3, line "&amp;A191&amp;")"</f>
        <v>(page 3, line 75)</v>
      </c>
      <c r="E15" s="9"/>
      <c r="F15" s="15"/>
      <c r="G15" s="15"/>
      <c r="H15" s="15" t="s">
        <v>34</v>
      </c>
      <c r="I15" s="15"/>
      <c r="J15" s="27">
        <f>+J191</f>
        <v>44620500.477827109</v>
      </c>
      <c r="K15" s="15"/>
      <c r="L15" s="15"/>
      <c r="M15" s="27"/>
    </row>
    <row r="16" spans="1:13">
      <c r="A16" s="20"/>
      <c r="C16" s="15"/>
      <c r="D16" s="15"/>
      <c r="E16" s="15"/>
      <c r="F16" s="15"/>
      <c r="G16" s="15"/>
      <c r="H16" s="15"/>
      <c r="I16" s="15"/>
      <c r="J16" s="28"/>
      <c r="K16" s="15"/>
      <c r="L16" s="15"/>
    </row>
    <row r="17" spans="1:14">
      <c r="A17" s="20"/>
      <c r="C17" s="15"/>
      <c r="D17" s="15"/>
      <c r="E17" s="15"/>
      <c r="F17" s="15"/>
      <c r="G17" s="15"/>
      <c r="H17" s="15"/>
      <c r="I17" s="15"/>
      <c r="J17" s="29"/>
      <c r="K17" s="15"/>
      <c r="L17" s="15"/>
    </row>
    <row r="18" spans="1:14" ht="15.6" thickBot="1">
      <c r="A18" s="20" t="s">
        <v>22</v>
      </c>
      <c r="C18" s="15" t="s">
        <v>35</v>
      </c>
      <c r="D18" s="9"/>
      <c r="E18" s="26" t="s">
        <v>36</v>
      </c>
      <c r="F18" s="9"/>
      <c r="G18" s="30" t="s">
        <v>37</v>
      </c>
      <c r="H18" s="30"/>
      <c r="I18" s="15"/>
      <c r="J18" s="29"/>
      <c r="K18" s="15"/>
      <c r="L18" s="15"/>
    </row>
    <row r="19" spans="1:14">
      <c r="A19" s="20">
        <f>+A15+1</f>
        <v>2</v>
      </c>
      <c r="C19" s="15" t="str">
        <f>+'1 - Revenue Credits'!B14</f>
        <v>Total Revenue Credits</v>
      </c>
      <c r="D19" s="9" t="str">
        <f>"Attachment 1, line "&amp;'1 - Revenue Credits'!A14&amp;""</f>
        <v>Attachment 1, line 6</v>
      </c>
      <c r="E19" s="31">
        <f>+'1 - Revenue Credits'!D14</f>
        <v>0</v>
      </c>
      <c r="F19" s="9"/>
      <c r="G19" s="9" t="str">
        <f>+G80</f>
        <v>TP</v>
      </c>
      <c r="H19" s="32">
        <f>+H80</f>
        <v>1</v>
      </c>
      <c r="I19" s="9"/>
      <c r="J19" s="33">
        <f>+H19*E19</f>
        <v>0</v>
      </c>
      <c r="K19" s="15"/>
      <c r="L19" s="34"/>
      <c r="M19" s="35"/>
      <c r="N19" s="36"/>
    </row>
    <row r="20" spans="1:14">
      <c r="A20" s="20"/>
      <c r="C20" s="15"/>
      <c r="D20" s="9"/>
      <c r="E20" s="31"/>
      <c r="F20" s="9"/>
      <c r="G20" s="9"/>
      <c r="H20" s="32"/>
      <c r="I20" s="9"/>
      <c r="J20" s="33"/>
      <c r="K20" s="15"/>
      <c r="L20" s="34"/>
      <c r="M20" s="35"/>
      <c r="N20" s="36"/>
    </row>
    <row r="21" spans="1:14">
      <c r="A21" s="20">
        <v>3</v>
      </c>
      <c r="C21" s="15" t="s">
        <v>38</v>
      </c>
      <c r="D21" s="15" t="str">
        <f>"(line "&amp;A15&amp;" minus line "&amp;A19&amp;")"</f>
        <v>(line 1 minus line 2)</v>
      </c>
      <c r="E21" s="31"/>
      <c r="F21" s="9"/>
      <c r="G21" s="9"/>
      <c r="H21" s="32"/>
      <c r="I21" s="9"/>
      <c r="J21" s="33">
        <f>+J15-J19</f>
        <v>44620500.477827109</v>
      </c>
      <c r="K21" s="15"/>
      <c r="L21" s="34"/>
      <c r="M21" s="35"/>
      <c r="N21" s="36"/>
    </row>
    <row r="22" spans="1:14">
      <c r="A22" s="20"/>
      <c r="C22" s="15"/>
      <c r="D22" s="9"/>
      <c r="E22" s="31"/>
      <c r="F22" s="9"/>
      <c r="G22" s="9"/>
      <c r="H22" s="32"/>
      <c r="I22" s="9"/>
      <c r="J22" s="33"/>
      <c r="K22" s="15"/>
      <c r="L22" s="34"/>
      <c r="M22" s="35"/>
      <c r="N22" s="36"/>
    </row>
    <row r="23" spans="1:14">
      <c r="A23" s="20">
        <v>4</v>
      </c>
      <c r="C23" s="15" t="s">
        <v>39</v>
      </c>
      <c r="D23" s="37" t="s">
        <v>40</v>
      </c>
      <c r="E23" s="31">
        <f>+'5 - True-Up'!H21</f>
        <v>486553.9258726727</v>
      </c>
      <c r="F23" s="15"/>
      <c r="G23" s="15" t="s">
        <v>41</v>
      </c>
      <c r="H23" s="38">
        <v>1</v>
      </c>
      <c r="I23" s="15"/>
      <c r="J23" s="39">
        <f>+H23*E23</f>
        <v>486553.9258726727</v>
      </c>
      <c r="K23" s="15"/>
    </row>
    <row r="24" spans="1:14">
      <c r="A24" s="20"/>
      <c r="C24" s="15"/>
      <c r="D24" s="15"/>
      <c r="E24" s="15"/>
      <c r="F24" s="15"/>
      <c r="G24" s="15"/>
      <c r="H24" s="15"/>
      <c r="I24" s="15"/>
      <c r="J24" s="9"/>
      <c r="K24" s="15"/>
      <c r="L24" s="15"/>
    </row>
    <row r="25" spans="1:14" ht="15.6" thickBot="1">
      <c r="A25" s="20">
        <v>5</v>
      </c>
      <c r="C25" s="15" t="s">
        <v>42</v>
      </c>
      <c r="D25" s="15" t="str">
        <f>"(line "&amp;A21&amp;" plus line "&amp;A23&amp;")"</f>
        <v>(line 3 plus line 4)</v>
      </c>
      <c r="F25" s="9"/>
      <c r="G25" s="9"/>
      <c r="H25" s="9"/>
      <c r="I25" s="9"/>
      <c r="J25" s="40">
        <f>+J21+J23</f>
        <v>45107054.403699785</v>
      </c>
      <c r="K25" s="15"/>
      <c r="M25" s="41"/>
    </row>
    <row r="26" spans="1:14" ht="15.6" thickTop="1">
      <c r="A26" s="20"/>
      <c r="D26" s="15"/>
      <c r="E26" s="42"/>
      <c r="F26" s="9"/>
      <c r="G26" s="9"/>
      <c r="H26" s="9"/>
      <c r="I26" s="9"/>
      <c r="K26" s="15"/>
      <c r="L26" s="15"/>
    </row>
    <row r="27" spans="1:14">
      <c r="A27" s="20"/>
      <c r="D27" s="9"/>
      <c r="E27" s="15"/>
      <c r="F27" s="15"/>
      <c r="G27" s="15"/>
      <c r="H27" s="15"/>
      <c r="I27" s="15"/>
      <c r="J27" s="9"/>
      <c r="K27" s="15"/>
      <c r="L27" s="15"/>
    </row>
    <row r="28" spans="1:14">
      <c r="A28" s="20"/>
      <c r="C28" s="15"/>
      <c r="D28" s="15"/>
      <c r="E28" s="9"/>
      <c r="F28" s="15"/>
      <c r="G28" s="15"/>
      <c r="H28" s="15"/>
      <c r="I28" s="15"/>
      <c r="J28" s="9"/>
      <c r="K28" s="15"/>
      <c r="L28" s="15"/>
    </row>
    <row r="29" spans="1:14">
      <c r="A29" s="20"/>
      <c r="C29" s="15"/>
      <c r="D29" s="15"/>
      <c r="E29" s="9"/>
      <c r="F29" s="15"/>
      <c r="G29" s="15"/>
      <c r="H29" s="15"/>
      <c r="I29" s="15"/>
      <c r="J29" s="9"/>
      <c r="K29" s="15"/>
      <c r="L29" s="15"/>
    </row>
    <row r="30" spans="1:14">
      <c r="A30" s="20"/>
      <c r="C30" s="43"/>
      <c r="D30" s="43"/>
      <c r="E30" s="43"/>
      <c r="F30" s="10"/>
      <c r="G30" s="10"/>
      <c r="H30" s="44"/>
      <c r="I30" s="10"/>
      <c r="K30" s="15"/>
      <c r="L30" s="15"/>
      <c r="M30" s="45"/>
      <c r="N30" s="46"/>
    </row>
    <row r="31" spans="1:14">
      <c r="A31" s="20"/>
      <c r="C31" s="15"/>
      <c r="D31" s="47"/>
      <c r="E31" s="10"/>
      <c r="F31" s="10"/>
      <c r="G31" s="10"/>
      <c r="H31" s="47"/>
      <c r="I31" s="10"/>
      <c r="K31" s="15"/>
      <c r="L31" s="15"/>
      <c r="M31" s="45"/>
    </row>
    <row r="32" spans="1:14">
      <c r="A32" s="20"/>
      <c r="C32" s="9"/>
      <c r="D32" s="15"/>
      <c r="E32" s="48"/>
      <c r="F32" s="43"/>
      <c r="G32" s="49"/>
      <c r="H32" s="9"/>
      <c r="I32" s="15"/>
      <c r="K32" s="15"/>
      <c r="L32" s="15"/>
      <c r="M32" s="45"/>
    </row>
    <row r="33" spans="1:14">
      <c r="A33" s="20"/>
      <c r="C33" s="9"/>
      <c r="D33" s="15"/>
      <c r="E33" s="50"/>
      <c r="F33" s="15"/>
      <c r="H33" s="9"/>
      <c r="I33" s="15"/>
      <c r="K33" s="15"/>
      <c r="L33" s="15"/>
      <c r="M33" s="45"/>
    </row>
    <row r="34" spans="1:14">
      <c r="A34" s="20"/>
      <c r="B34" s="50"/>
      <c r="C34" s="50"/>
      <c r="D34" s="51"/>
      <c r="E34" s="52"/>
      <c r="F34" s="15"/>
      <c r="H34" s="53"/>
      <c r="I34" s="15"/>
      <c r="K34" s="53"/>
      <c r="L34" s="15"/>
      <c r="M34" s="45"/>
    </row>
    <row r="35" spans="1:14">
      <c r="A35" s="20"/>
      <c r="C35" s="9"/>
      <c r="D35" s="51"/>
      <c r="E35" s="52"/>
      <c r="F35" s="15"/>
      <c r="G35" s="15"/>
      <c r="H35" s="53"/>
      <c r="I35" s="15"/>
      <c r="K35" s="9"/>
      <c r="L35" s="54"/>
      <c r="M35" s="35"/>
      <c r="N35" s="36"/>
    </row>
    <row r="36" spans="1:14">
      <c r="A36" s="20"/>
      <c r="C36" s="9"/>
      <c r="D36" s="51"/>
      <c r="E36" s="52"/>
      <c r="F36" s="15"/>
      <c r="G36" s="15"/>
      <c r="H36" s="53"/>
      <c r="I36" s="15"/>
      <c r="K36" s="15"/>
      <c r="L36" s="54"/>
      <c r="M36" s="35"/>
      <c r="N36" s="36"/>
    </row>
    <row r="37" spans="1:14">
      <c r="A37" s="20"/>
      <c r="C37" s="15"/>
      <c r="D37" s="51"/>
      <c r="E37" s="55"/>
      <c r="F37" s="15"/>
      <c r="G37" s="15"/>
      <c r="H37" s="53"/>
      <c r="I37" s="15"/>
      <c r="K37" s="15"/>
      <c r="L37" s="15"/>
      <c r="M37" s="45"/>
    </row>
    <row r="38" spans="1:14">
      <c r="A38" s="20"/>
      <c r="C38" s="9"/>
      <c r="D38" s="27"/>
      <c r="E38" s="27"/>
      <c r="F38" s="15"/>
      <c r="G38" s="15"/>
      <c r="H38" s="56"/>
      <c r="I38" s="15"/>
      <c r="J38" s="9"/>
      <c r="K38" s="15"/>
      <c r="L38" s="9"/>
      <c r="M38" s="9"/>
    </row>
    <row r="39" spans="1:14">
      <c r="A39" s="20"/>
      <c r="C39" s="2"/>
      <c r="D39" s="27"/>
      <c r="E39" s="27"/>
      <c r="F39" s="15"/>
      <c r="G39" s="15"/>
      <c r="H39" s="27"/>
      <c r="I39" s="15"/>
      <c r="J39" s="9"/>
      <c r="K39" s="15"/>
      <c r="L39" s="9"/>
      <c r="M39" s="9"/>
    </row>
    <row r="40" spans="1:14">
      <c r="A40" s="20"/>
      <c r="C40" s="15"/>
      <c r="D40" s="15"/>
      <c r="E40" s="15"/>
      <c r="F40" s="15"/>
      <c r="G40" s="15"/>
      <c r="H40" s="15"/>
      <c r="I40" s="15"/>
      <c r="J40" s="9"/>
      <c r="K40" s="15"/>
      <c r="L40" s="15"/>
    </row>
    <row r="41" spans="1:14">
      <c r="A41" s="20"/>
      <c r="C41" s="15"/>
      <c r="D41" s="27"/>
      <c r="E41" s="57"/>
      <c r="F41" s="15"/>
      <c r="G41" s="15"/>
      <c r="H41" s="57"/>
      <c r="I41" s="15"/>
      <c r="J41" s="58"/>
      <c r="K41" s="15"/>
      <c r="L41" s="15"/>
      <c r="M41" s="58"/>
    </row>
    <row r="42" spans="1:14">
      <c r="A42" s="20"/>
      <c r="C42" s="15"/>
      <c r="D42" s="15"/>
      <c r="F42" s="15"/>
      <c r="G42" s="15"/>
      <c r="H42" s="15"/>
      <c r="I42" s="15"/>
      <c r="J42" s="58"/>
      <c r="K42" s="15"/>
      <c r="L42" s="15"/>
      <c r="M42" s="58"/>
    </row>
    <row r="43" spans="1:14">
      <c r="A43" s="20"/>
      <c r="C43" s="15"/>
      <c r="D43" s="15"/>
      <c r="E43" s="58"/>
      <c r="F43" s="15"/>
      <c r="G43" s="15"/>
      <c r="H43" s="15"/>
      <c r="I43" s="15"/>
      <c r="J43" s="15"/>
      <c r="K43" s="15"/>
      <c r="L43" s="15"/>
    </row>
    <row r="44" spans="1:14">
      <c r="A44" s="20"/>
      <c r="C44" s="15"/>
      <c r="D44" s="15"/>
      <c r="E44" s="59"/>
      <c r="F44" s="15"/>
      <c r="G44" s="15"/>
      <c r="H44" s="15"/>
      <c r="I44" s="15"/>
      <c r="J44" s="43"/>
      <c r="K44" s="15"/>
      <c r="L44" s="15"/>
    </row>
    <row r="45" spans="1:14">
      <c r="A45" s="20"/>
      <c r="C45" s="15"/>
      <c r="D45" s="15"/>
      <c r="E45" s="58"/>
      <c r="F45" s="15"/>
      <c r="G45" s="15"/>
      <c r="H45" s="15"/>
      <c r="I45" s="15"/>
      <c r="J45" s="15"/>
      <c r="K45" s="15"/>
      <c r="L45" s="15"/>
    </row>
    <row r="46" spans="1:14">
      <c r="A46" s="20"/>
      <c r="C46" s="15"/>
      <c r="E46" s="37"/>
      <c r="F46" s="37"/>
      <c r="J46" s="60"/>
      <c r="K46" s="15"/>
      <c r="L46" s="15"/>
    </row>
    <row r="47" spans="1:14">
      <c r="A47" s="20"/>
      <c r="C47" s="9"/>
      <c r="E47" s="37"/>
      <c r="F47" s="37"/>
      <c r="J47" s="60"/>
      <c r="K47" s="15"/>
      <c r="L47" s="15"/>
    </row>
    <row r="48" spans="1:14">
      <c r="A48" s="20"/>
      <c r="C48" s="15"/>
      <c r="D48" s="37"/>
      <c r="E48" s="61"/>
      <c r="G48" s="58"/>
      <c r="H48" s="58"/>
      <c r="I48" s="15"/>
      <c r="J48" s="60"/>
      <c r="K48" s="15"/>
      <c r="L48" s="15"/>
    </row>
    <row r="49" spans="1:13">
      <c r="A49" s="20"/>
      <c r="C49" s="9"/>
      <c r="D49" s="15"/>
      <c r="E49" s="61"/>
      <c r="F49" s="15"/>
      <c r="G49" s="15"/>
      <c r="H49" s="15"/>
      <c r="I49" s="15"/>
      <c r="J49" s="15"/>
      <c r="K49" s="15"/>
      <c r="L49" s="15"/>
    </row>
    <row r="50" spans="1:13">
      <c r="A50" s="20"/>
      <c r="C50" s="9"/>
      <c r="D50" s="15"/>
      <c r="E50" s="62"/>
      <c r="F50" s="15"/>
      <c r="G50" s="15"/>
      <c r="H50" s="15"/>
      <c r="I50" s="15"/>
      <c r="J50" s="15"/>
      <c r="K50" s="15"/>
      <c r="L50" s="15"/>
    </row>
    <row r="51" spans="1:13">
      <c r="A51" s="20"/>
      <c r="C51" s="9"/>
      <c r="D51" s="15"/>
      <c r="E51" s="63"/>
      <c r="F51" s="64"/>
      <c r="G51" s="64"/>
      <c r="H51" s="64"/>
      <c r="I51" s="64"/>
      <c r="J51" s="64"/>
      <c r="K51" s="64"/>
      <c r="L51" s="15"/>
    </row>
    <row r="52" spans="1:13">
      <c r="A52" s="20"/>
      <c r="C52" s="9"/>
      <c r="D52" s="15"/>
      <c r="E52" s="65"/>
      <c r="F52" s="64"/>
      <c r="G52" s="64"/>
      <c r="H52" s="64"/>
      <c r="I52" s="64"/>
      <c r="J52" s="64"/>
      <c r="K52" s="64"/>
      <c r="L52" s="15"/>
    </row>
    <row r="53" spans="1:13">
      <c r="C53" s="45"/>
      <c r="E53" s="66"/>
      <c r="F53" s="67"/>
      <c r="I53" s="67"/>
      <c r="K53" s="2"/>
      <c r="L53" s="15"/>
    </row>
    <row r="54" spans="1:13">
      <c r="C54" s="9"/>
      <c r="D54" s="15"/>
      <c r="E54" s="65"/>
      <c r="F54" s="64"/>
      <c r="G54" s="64"/>
      <c r="H54" s="64"/>
      <c r="I54" s="64"/>
      <c r="K54" s="2"/>
      <c r="L54" s="15"/>
    </row>
    <row r="55" spans="1:13">
      <c r="C55" s="45"/>
      <c r="E55" s="66"/>
      <c r="F55" s="67"/>
      <c r="I55" s="67"/>
      <c r="K55" s="2"/>
      <c r="L55" s="15"/>
    </row>
    <row r="56" spans="1:13">
      <c r="C56" s="37"/>
      <c r="F56" s="67"/>
      <c r="K56" s="2"/>
      <c r="L56" s="15"/>
    </row>
    <row r="57" spans="1:13">
      <c r="C57" s="9"/>
      <c r="D57" s="15"/>
      <c r="E57" s="65"/>
      <c r="F57" s="64"/>
      <c r="G57" s="64"/>
      <c r="H57" s="64"/>
      <c r="I57" s="64"/>
      <c r="K57" s="2"/>
      <c r="L57" s="15"/>
    </row>
    <row r="58" spans="1:13">
      <c r="C58" s="45"/>
      <c r="E58" s="66"/>
      <c r="F58" s="67"/>
      <c r="I58" s="67"/>
      <c r="K58" s="2"/>
      <c r="L58" s="15"/>
    </row>
    <row r="59" spans="1:13">
      <c r="C59" s="15"/>
      <c r="D59" s="50"/>
      <c r="K59" s="2"/>
      <c r="L59" s="15"/>
    </row>
    <row r="60" spans="1:13">
      <c r="C60" s="68"/>
      <c r="K60" s="2"/>
      <c r="L60" s="15"/>
    </row>
    <row r="61" spans="1:13">
      <c r="C61" s="69"/>
      <c r="K61" s="2"/>
      <c r="L61" s="15"/>
    </row>
    <row r="62" spans="1:13">
      <c r="K62" s="2"/>
      <c r="L62" s="15"/>
    </row>
    <row r="63" spans="1:13">
      <c r="C63" s="15"/>
      <c r="D63" s="15"/>
      <c r="E63" s="15"/>
      <c r="F63" s="15"/>
      <c r="G63" s="15"/>
      <c r="H63" s="15"/>
      <c r="I63" s="15"/>
      <c r="J63" s="70"/>
      <c r="K63" s="15"/>
      <c r="L63" s="15"/>
    </row>
    <row r="64" spans="1:13">
      <c r="C64" s="2"/>
      <c r="D64" s="2"/>
      <c r="E64" s="3"/>
      <c r="F64" s="2"/>
      <c r="G64" s="2"/>
      <c r="H64" s="2"/>
      <c r="I64" s="2"/>
      <c r="J64" s="2"/>
      <c r="K64" s="24"/>
      <c r="L64" s="24"/>
      <c r="M64" s="4"/>
    </row>
    <row r="65" spans="1:15">
      <c r="C65" s="2"/>
      <c r="D65" s="2"/>
      <c r="E65" s="3"/>
      <c r="F65" s="2"/>
      <c r="G65" s="2"/>
      <c r="H65" s="2"/>
      <c r="I65" s="2"/>
      <c r="J65" s="4"/>
      <c r="K65" s="4"/>
      <c r="L65" s="4"/>
      <c r="M65" s="4" t="s">
        <v>3</v>
      </c>
    </row>
    <row r="66" spans="1:15">
      <c r="C66" s="2"/>
      <c r="D66" s="2"/>
      <c r="E66" s="3"/>
      <c r="F66" s="2"/>
      <c r="G66" s="2"/>
      <c r="H66" s="2"/>
      <c r="I66" s="2"/>
      <c r="J66" s="7"/>
      <c r="K66" s="7"/>
      <c r="L66" s="7"/>
      <c r="M66" s="7" t="s">
        <v>43</v>
      </c>
    </row>
    <row r="67" spans="1:15">
      <c r="C67" s="2"/>
      <c r="D67" s="2"/>
      <c r="E67" s="3"/>
      <c r="F67" s="2"/>
      <c r="G67" s="2"/>
      <c r="H67" s="2"/>
      <c r="I67" s="2"/>
      <c r="J67" s="2"/>
      <c r="K67" s="15"/>
      <c r="L67" s="7"/>
      <c r="M67" s="7"/>
    </row>
    <row r="68" spans="1:15">
      <c r="C68" s="2"/>
      <c r="D68" s="2"/>
      <c r="E68" s="3"/>
      <c r="F68" s="2"/>
      <c r="G68" s="2"/>
      <c r="H68" s="2"/>
      <c r="I68" s="2"/>
      <c r="J68" s="2"/>
      <c r="K68" s="15"/>
      <c r="L68" s="7"/>
    </row>
    <row r="69" spans="1:15">
      <c r="C69" s="2" t="s">
        <v>20</v>
      </c>
      <c r="D69" s="1"/>
      <c r="E69" s="1" t="s">
        <v>21</v>
      </c>
      <c r="F69" s="2"/>
      <c r="G69" s="2"/>
      <c r="H69" s="2"/>
      <c r="I69" s="2"/>
      <c r="K69" s="15"/>
      <c r="L69" s="15"/>
    </row>
    <row r="70" spans="1:15">
      <c r="C70" s="2"/>
      <c r="D70" s="9" t="s">
        <v>22</v>
      </c>
      <c r="E70" s="9" t="s">
        <v>23</v>
      </c>
      <c r="F70" s="9"/>
      <c r="G70" s="9"/>
      <c r="H70" s="9"/>
      <c r="I70" s="2"/>
      <c r="J70" s="2"/>
      <c r="K70" s="15"/>
      <c r="L70" s="15"/>
    </row>
    <row r="71" spans="1:15">
      <c r="C71" s="2"/>
      <c r="D71" s="9"/>
      <c r="E71" s="9"/>
      <c r="F71" s="9"/>
      <c r="G71" s="9"/>
      <c r="H71" s="9"/>
      <c r="I71" s="2"/>
      <c r="J71" s="2"/>
      <c r="K71" s="71"/>
      <c r="L71" s="17"/>
      <c r="M71" s="18" t="str">
        <f>+M8</f>
        <v>For the 12 months ended 12/31/2023</v>
      </c>
    </row>
    <row r="72" spans="1:15" ht="15.6">
      <c r="C72" s="15"/>
      <c r="D72" s="15"/>
      <c r="E72" s="72" t="str">
        <f>+E9</f>
        <v>NextEra Energy Transmission New York, Inc.</v>
      </c>
      <c r="F72" s="9"/>
      <c r="G72" s="9"/>
      <c r="H72" s="9"/>
      <c r="I72" s="9"/>
      <c r="J72" s="9"/>
      <c r="K72" s="9"/>
      <c r="L72" s="9"/>
      <c r="M72" s="73"/>
    </row>
    <row r="73" spans="1:15">
      <c r="C73" s="43" t="s">
        <v>26</v>
      </c>
      <c r="D73" s="43" t="s">
        <v>27</v>
      </c>
      <c r="E73" s="43" t="s">
        <v>28</v>
      </c>
      <c r="F73" s="9" t="s">
        <v>22</v>
      </c>
      <c r="G73" s="9"/>
      <c r="H73" s="74" t="s">
        <v>44</v>
      </c>
      <c r="I73" s="9"/>
      <c r="J73" s="44" t="s">
        <v>45</v>
      </c>
      <c r="K73" s="9"/>
      <c r="L73" s="23"/>
      <c r="M73" s="23"/>
    </row>
    <row r="74" spans="1:15" ht="15.6">
      <c r="C74" s="15"/>
      <c r="D74" s="75"/>
      <c r="E74" s="9"/>
      <c r="F74" s="9"/>
      <c r="G74" s="9"/>
      <c r="H74" s="24"/>
      <c r="I74" s="9"/>
      <c r="J74" s="76" t="s">
        <v>46</v>
      </c>
      <c r="K74" s="9"/>
      <c r="L74" s="43"/>
      <c r="M74" s="49"/>
    </row>
    <row r="75" spans="1:15" ht="15.6">
      <c r="A75" s="20" t="s">
        <v>29</v>
      </c>
      <c r="C75" s="15"/>
      <c r="D75" s="77" t="s">
        <v>47</v>
      </c>
      <c r="E75" s="76" t="s">
        <v>48</v>
      </c>
      <c r="F75" s="78"/>
      <c r="G75" s="76" t="s">
        <v>49</v>
      </c>
      <c r="H75" s="15"/>
      <c r="I75" s="78"/>
      <c r="J75" s="79" t="s">
        <v>50</v>
      </c>
      <c r="K75" s="9"/>
      <c r="L75" s="24"/>
      <c r="M75" s="6"/>
    </row>
    <row r="76" spans="1:15" ht="16.2" thickBot="1">
      <c r="A76" s="25" t="s">
        <v>31</v>
      </c>
      <c r="C76" s="80" t="s">
        <v>51</v>
      </c>
      <c r="D76" s="9"/>
      <c r="E76" s="9"/>
      <c r="F76" s="9"/>
      <c r="G76" s="9"/>
      <c r="H76" s="9"/>
      <c r="I76" s="9"/>
      <c r="J76" s="9"/>
      <c r="K76" s="9"/>
      <c r="L76" s="9"/>
      <c r="M76" s="6"/>
    </row>
    <row r="77" spans="1:15">
      <c r="A77" s="20"/>
      <c r="C77" s="15"/>
      <c r="D77" s="9"/>
      <c r="E77" s="9"/>
      <c r="F77" s="9"/>
      <c r="G77" s="9"/>
      <c r="H77" s="9"/>
      <c r="I77" s="9"/>
      <c r="J77" s="9"/>
      <c r="K77" s="9"/>
      <c r="L77" s="9"/>
      <c r="M77" s="6"/>
    </row>
    <row r="78" spans="1:15">
      <c r="A78" s="20"/>
      <c r="C78" s="15" t="s">
        <v>52</v>
      </c>
      <c r="D78" s="9"/>
      <c r="E78" s="9"/>
      <c r="F78" s="9"/>
      <c r="G78" s="9"/>
      <c r="H78" s="9"/>
      <c r="I78" s="9"/>
      <c r="J78" s="9"/>
      <c r="K78" s="9"/>
      <c r="L78" s="9"/>
      <c r="M78" s="6"/>
    </row>
    <row r="79" spans="1:15" ht="15.6">
      <c r="A79" s="20">
        <f>+A25+1</f>
        <v>6</v>
      </c>
      <c r="C79" s="15" t="s">
        <v>53</v>
      </c>
      <c r="D79" s="9" t="s">
        <v>54</v>
      </c>
      <c r="E79" s="81">
        <f>+'2 - Cost Support '!F84</f>
        <v>0</v>
      </c>
      <c r="F79" s="9"/>
      <c r="G79" s="9" t="s">
        <v>55</v>
      </c>
      <c r="H79" s="32">
        <v>0</v>
      </c>
      <c r="I79" s="9"/>
      <c r="J79" s="33">
        <f>+H79*E79</f>
        <v>0</v>
      </c>
      <c r="K79" s="82"/>
      <c r="L79" s="83"/>
      <c r="M79" s="6"/>
      <c r="N79" s="84"/>
    </row>
    <row r="80" spans="1:15">
      <c r="A80" s="20">
        <f>+A79+1</f>
        <v>7</v>
      </c>
      <c r="C80" s="15" t="s">
        <v>56</v>
      </c>
      <c r="D80" s="9" t="s">
        <v>57</v>
      </c>
      <c r="E80" s="81">
        <f>+'2 - Cost Support '!F20</f>
        <v>215080772.25423953</v>
      </c>
      <c r="F80" s="9"/>
      <c r="G80" s="9" t="s">
        <v>58</v>
      </c>
      <c r="H80" s="32">
        <f>+J$216</f>
        <v>1</v>
      </c>
      <c r="I80" s="9"/>
      <c r="J80" s="33">
        <f>+H80*E80</f>
        <v>215080772.25423953</v>
      </c>
      <c r="K80" s="9"/>
      <c r="L80" s="83"/>
      <c r="N80" s="85"/>
      <c r="O80" s="50"/>
    </row>
    <row r="81" spans="1:15">
      <c r="A81" s="20">
        <f>+A80+1</f>
        <v>8</v>
      </c>
      <c r="C81" s="15" t="s">
        <v>59</v>
      </c>
      <c r="D81" s="9" t="s">
        <v>60</v>
      </c>
      <c r="E81" s="81">
        <f>+'2 - Cost Support '!F36</f>
        <v>0</v>
      </c>
      <c r="F81" s="9"/>
      <c r="G81" s="9" t="s">
        <v>55</v>
      </c>
      <c r="H81" s="32">
        <v>0</v>
      </c>
      <c r="I81" s="9"/>
      <c r="J81" s="33">
        <f>+H81*E81</f>
        <v>0</v>
      </c>
      <c r="K81" s="9"/>
      <c r="L81" s="83"/>
      <c r="N81" s="85"/>
    </row>
    <row r="82" spans="1:15">
      <c r="A82" s="20">
        <f>+A81+1</f>
        <v>9</v>
      </c>
      <c r="C82" s="15" t="s">
        <v>61</v>
      </c>
      <c r="D82" s="9" t="s">
        <v>62</v>
      </c>
      <c r="E82" s="81">
        <f>+'2 - Cost Support '!F52+'2 - Cost Support '!F68</f>
        <v>48931396.529093727</v>
      </c>
      <c r="F82" s="9"/>
      <c r="G82" s="9" t="s">
        <v>63</v>
      </c>
      <c r="H82" s="32">
        <f>+$J$224</f>
        <v>1</v>
      </c>
      <c r="I82" s="9"/>
      <c r="J82" s="33">
        <f>+H82*E82</f>
        <v>48931396.529093727</v>
      </c>
      <c r="K82" s="9"/>
      <c r="L82" s="83"/>
      <c r="N82" s="85"/>
      <c r="O82" s="50"/>
    </row>
    <row r="83" spans="1:15">
      <c r="A83" s="20">
        <f>+A82+1</f>
        <v>10</v>
      </c>
      <c r="C83" s="2" t="str">
        <f>"TOTAL GROSS PLANT (sum lines "&amp;A79&amp;"-"&amp;A82&amp;")"</f>
        <v>TOTAL GROSS PLANT (sum lines 6-9)</v>
      </c>
      <c r="D83" s="1054" t="s">
        <v>64</v>
      </c>
      <c r="E83" s="81">
        <f>SUM(E79:E82)</f>
        <v>264012168.78333324</v>
      </c>
      <c r="F83" s="9"/>
      <c r="G83" s="9" t="s">
        <v>65</v>
      </c>
      <c r="H83" s="86">
        <f>IF(J83=0,0,J83/E83)</f>
        <v>1</v>
      </c>
      <c r="I83" s="9"/>
      <c r="J83" s="33">
        <f>SUM(J79:J82)</f>
        <v>264012168.78333324</v>
      </c>
      <c r="K83" s="9"/>
      <c r="L83" s="87"/>
      <c r="N83" s="85"/>
      <c r="O83" s="50"/>
    </row>
    <row r="84" spans="1:15" ht="15.75" customHeight="1">
      <c r="A84" s="20"/>
      <c r="C84" s="15"/>
      <c r="D84" s="1054"/>
      <c r="E84" s="81"/>
      <c r="F84" s="9"/>
      <c r="G84" s="9"/>
      <c r="H84" s="88"/>
      <c r="I84" s="9"/>
      <c r="J84" s="33"/>
      <c r="K84" s="9"/>
      <c r="L84" s="89"/>
      <c r="N84" s="85"/>
    </row>
    <row r="85" spans="1:15">
      <c r="A85" s="20">
        <f>+A83+1</f>
        <v>11</v>
      </c>
      <c r="C85" s="15" t="s">
        <v>66</v>
      </c>
      <c r="D85" s="9"/>
      <c r="E85" s="81"/>
      <c r="F85" s="9"/>
      <c r="G85" s="9"/>
      <c r="H85" s="32"/>
      <c r="I85" s="9"/>
      <c r="J85" s="33"/>
      <c r="K85" s="9"/>
      <c r="L85" s="9"/>
      <c r="N85" s="85"/>
    </row>
    <row r="86" spans="1:15">
      <c r="A86" s="20">
        <f>+A85+1</f>
        <v>12</v>
      </c>
      <c r="C86" s="15" t="str">
        <f>+C79</f>
        <v xml:space="preserve">  Production</v>
      </c>
      <c r="D86" s="9" t="s">
        <v>67</v>
      </c>
      <c r="E86" s="81">
        <f>+'2 - Cost Support '!F170</f>
        <v>0</v>
      </c>
      <c r="F86" s="9"/>
      <c r="G86" s="9" t="str">
        <f>+G79</f>
        <v>NA</v>
      </c>
      <c r="H86" s="32">
        <v>0</v>
      </c>
      <c r="I86" s="9"/>
      <c r="J86" s="33">
        <f>+H86*E86</f>
        <v>0</v>
      </c>
      <c r="K86" s="9"/>
      <c r="L86" s="83"/>
      <c r="N86" s="85"/>
    </row>
    <row r="87" spans="1:15">
      <c r="A87" s="20">
        <f>+A86+1</f>
        <v>13</v>
      </c>
      <c r="C87" s="15" t="s">
        <v>56</v>
      </c>
      <c r="D87" s="9" t="s">
        <v>68</v>
      </c>
      <c r="E87" s="81">
        <f>+'2 - Cost Support '!F106</f>
        <v>5690655.5150423069</v>
      </c>
      <c r="F87" s="9"/>
      <c r="G87" s="9" t="str">
        <f>+G80</f>
        <v>TP</v>
      </c>
      <c r="H87" s="32">
        <f>+J$216</f>
        <v>1</v>
      </c>
      <c r="I87" s="9"/>
      <c r="J87" s="33">
        <f>+H87*E87</f>
        <v>5690655.5150423069</v>
      </c>
      <c r="K87" s="9"/>
      <c r="L87" s="34"/>
      <c r="N87" s="85"/>
      <c r="O87" s="50"/>
    </row>
    <row r="88" spans="1:15">
      <c r="A88" s="20">
        <f>+A87+1</f>
        <v>14</v>
      </c>
      <c r="C88" s="15" t="str">
        <f>+C81</f>
        <v xml:space="preserve">  Distribution</v>
      </c>
      <c r="D88" s="9" t="s">
        <v>69</v>
      </c>
      <c r="E88" s="81">
        <f>+'2 - Cost Support '!F122</f>
        <v>0</v>
      </c>
      <c r="F88" s="9"/>
      <c r="G88" s="9" t="str">
        <f>+G81</f>
        <v>NA</v>
      </c>
      <c r="H88" s="32">
        <v>0</v>
      </c>
      <c r="I88" s="9"/>
      <c r="J88" s="33">
        <f>+H88*E88</f>
        <v>0</v>
      </c>
      <c r="K88" s="9"/>
      <c r="L88" s="34"/>
      <c r="N88" s="85"/>
    </row>
    <row r="89" spans="1:15">
      <c r="A89" s="20">
        <f>+A88+1</f>
        <v>15</v>
      </c>
      <c r="C89" s="15" t="s">
        <v>61</v>
      </c>
      <c r="D89" s="9" t="s">
        <v>70</v>
      </c>
      <c r="E89" s="81">
        <f>+'2 - Cost Support '!F138+'2 - Cost Support '!F154</f>
        <v>2323517.7735412801</v>
      </c>
      <c r="F89" s="9"/>
      <c r="G89" s="9" t="str">
        <f>+G82</f>
        <v>W/S</v>
      </c>
      <c r="H89" s="32">
        <f>+J$224</f>
        <v>1</v>
      </c>
      <c r="I89" s="9"/>
      <c r="J89" s="33">
        <f>+H89*E89</f>
        <v>2323517.7735412801</v>
      </c>
      <c r="K89" s="9"/>
      <c r="L89" s="34"/>
      <c r="N89" s="85"/>
      <c r="O89" s="50"/>
    </row>
    <row r="90" spans="1:15">
      <c r="A90" s="20">
        <f>+A89+1</f>
        <v>16</v>
      </c>
      <c r="C90" s="15" t="str">
        <f>"TOTAL ACCUM. DEPRECIATION (sum lines "&amp;A86&amp;"-"&amp;A89&amp;")"</f>
        <v>TOTAL ACCUM. DEPRECIATION (sum lines 12-15)</v>
      </c>
      <c r="D90" s="1054"/>
      <c r="E90" s="81">
        <f>SUM(E86:E89)</f>
        <v>8014173.2885835869</v>
      </c>
      <c r="F90" s="9"/>
      <c r="G90" s="9"/>
      <c r="H90" s="32"/>
      <c r="I90" s="9"/>
      <c r="J90" s="33">
        <f>SUM(J86:J89)</f>
        <v>8014173.2885835869</v>
      </c>
      <c r="K90" s="9"/>
      <c r="L90" s="9"/>
      <c r="N90" s="85"/>
      <c r="O90" s="50"/>
    </row>
    <row r="91" spans="1:15">
      <c r="A91" s="20"/>
      <c r="D91" s="1054"/>
      <c r="E91" s="90"/>
      <c r="F91" s="9"/>
      <c r="G91" s="9"/>
      <c r="H91" s="88"/>
      <c r="I91" s="9"/>
      <c r="J91" s="39"/>
      <c r="K91" s="9"/>
      <c r="L91" s="89"/>
      <c r="N91" s="85"/>
    </row>
    <row r="92" spans="1:15">
      <c r="A92" s="20">
        <f>+A90+1</f>
        <v>17</v>
      </c>
      <c r="C92" s="15" t="s">
        <v>71</v>
      </c>
      <c r="D92" s="9"/>
      <c r="E92" s="81"/>
      <c r="F92" s="9"/>
      <c r="G92" s="9"/>
      <c r="H92" s="32"/>
      <c r="I92" s="9"/>
      <c r="J92" s="33"/>
      <c r="K92" s="9"/>
      <c r="L92" s="9"/>
      <c r="N92" s="85"/>
    </row>
    <row r="93" spans="1:15">
      <c r="A93" s="20">
        <f>+A92+1</f>
        <v>18</v>
      </c>
      <c r="C93" s="15" t="str">
        <f>+C86</f>
        <v xml:space="preserve">  Production</v>
      </c>
      <c r="D93" s="9" t="str">
        <f>" (line "&amp;A79&amp;"- line "&amp;A86&amp;")"</f>
        <v xml:space="preserve"> (line 6- line 12)</v>
      </c>
      <c r="E93" s="81">
        <f>+E79-E86</f>
        <v>0</v>
      </c>
      <c r="F93" s="9"/>
      <c r="G93" s="9"/>
      <c r="H93" s="88"/>
      <c r="I93" s="9"/>
      <c r="J93" s="33">
        <f>+J79-J86</f>
        <v>0</v>
      </c>
      <c r="K93" s="9"/>
      <c r="L93" s="89"/>
      <c r="N93" s="85"/>
    </row>
    <row r="94" spans="1:15">
      <c r="A94" s="20">
        <f>+A93+1</f>
        <v>19</v>
      </c>
      <c r="C94" s="15" t="s">
        <v>72</v>
      </c>
      <c r="D94" s="9" t="str">
        <f>" (line "&amp;A80&amp;"- line "&amp;A87&amp;")"</f>
        <v xml:space="preserve"> (line 7- line 13)</v>
      </c>
      <c r="E94" s="81">
        <f>+E80-E87</f>
        <v>209390116.73919722</v>
      </c>
      <c r="F94" s="9"/>
      <c r="G94" s="9"/>
      <c r="H94" s="32"/>
      <c r="I94" s="9"/>
      <c r="J94" s="33">
        <f>+J80-J87</f>
        <v>209390116.73919722</v>
      </c>
      <c r="K94" s="9"/>
      <c r="L94" s="89"/>
      <c r="N94" s="85"/>
    </row>
    <row r="95" spans="1:15">
      <c r="A95" s="20">
        <f>+A94+1</f>
        <v>20</v>
      </c>
      <c r="C95" s="15" t="str">
        <f>+C88</f>
        <v xml:space="preserve">  Distribution</v>
      </c>
      <c r="D95" s="9" t="str">
        <f>" (line "&amp;A81&amp;"- line "&amp;A88&amp;")"</f>
        <v xml:space="preserve"> (line 8- line 14)</v>
      </c>
      <c r="E95" s="81">
        <f>+E81-E88</f>
        <v>0</v>
      </c>
      <c r="F95" s="9"/>
      <c r="G95" s="9"/>
      <c r="H95" s="88"/>
      <c r="I95" s="9"/>
      <c r="J95" s="33">
        <f>+J81-J88</f>
        <v>0</v>
      </c>
      <c r="K95" s="9"/>
      <c r="L95" s="89"/>
      <c r="N95" s="85"/>
    </row>
    <row r="96" spans="1:15">
      <c r="A96" s="20">
        <f>+A95+1</f>
        <v>21</v>
      </c>
      <c r="C96" s="15" t="s">
        <v>73</v>
      </c>
      <c r="D96" s="9" t="str">
        <f>" (line "&amp;A82&amp;"- line "&amp;A89&amp;")"</f>
        <v xml:space="preserve"> (line 9- line 15)</v>
      </c>
      <c r="E96" s="81">
        <f>+E82-E89</f>
        <v>46607878.755552448</v>
      </c>
      <c r="F96" s="9"/>
      <c r="G96" s="9"/>
      <c r="H96" s="88"/>
      <c r="I96" s="9"/>
      <c r="J96" s="33">
        <f>+J82-J89</f>
        <v>46607878.755552448</v>
      </c>
      <c r="K96" s="9"/>
      <c r="L96" s="89"/>
      <c r="N96" s="85"/>
    </row>
    <row r="97" spans="1:15">
      <c r="A97" s="20">
        <f>+A96+1</f>
        <v>22</v>
      </c>
      <c r="C97" s="15" t="str">
        <f>"TOTAL NET PLANT (sum lines "&amp;A93&amp;"-"&amp;A96&amp;")"</f>
        <v>TOTAL NET PLANT (sum lines 18-21)</v>
      </c>
      <c r="D97" s="1054" t="s">
        <v>74</v>
      </c>
      <c r="E97" s="81">
        <f>SUM(E93:E96)</f>
        <v>255997995.49474967</v>
      </c>
      <c r="F97" s="9"/>
      <c r="G97" s="9" t="s">
        <v>75</v>
      </c>
      <c r="H97" s="86">
        <f>IF(J97=0,0,J97/E97)</f>
        <v>1</v>
      </c>
      <c r="I97" s="9"/>
      <c r="J97" s="33">
        <f>SUM(J93:J96)</f>
        <v>255997995.49474967</v>
      </c>
      <c r="K97" s="9"/>
      <c r="L97" s="9"/>
      <c r="N97" s="85"/>
      <c r="O97" s="50"/>
    </row>
    <row r="98" spans="1:15" ht="20.25" customHeight="1">
      <c r="A98" s="20"/>
      <c r="D98" s="1054"/>
      <c r="E98" s="90"/>
      <c r="F98" s="9"/>
      <c r="H98" s="91"/>
      <c r="I98" s="9"/>
      <c r="J98" s="39"/>
      <c r="K98" s="9"/>
      <c r="L98" s="89"/>
      <c r="N98" s="6"/>
    </row>
    <row r="99" spans="1:15">
      <c r="A99" s="20">
        <f>+A97+1</f>
        <v>23</v>
      </c>
      <c r="C99" s="2" t="str">
        <f>"ADJUSTMENTS TO RATE BASE       (Note "&amp;A267&amp;")"</f>
        <v>ADJUSTMENTS TO RATE BASE       (Note A)</v>
      </c>
      <c r="D99" s="9"/>
      <c r="E99" s="81"/>
      <c r="F99" s="9"/>
      <c r="G99" s="9"/>
      <c r="H99" s="92"/>
      <c r="I99" s="9"/>
      <c r="J99" s="33"/>
      <c r="K99" s="9"/>
      <c r="L99" s="9"/>
      <c r="M99" s="6"/>
    </row>
    <row r="100" spans="1:15">
      <c r="A100" s="20">
        <f t="shared" ref="A100:A107" si="0">+A99+1</f>
        <v>24</v>
      </c>
      <c r="C100" s="50" t="s">
        <v>76</v>
      </c>
      <c r="D100" s="9"/>
      <c r="E100" s="81">
        <f>+'6a-ADIT Projection'!H16</f>
        <v>-5949180.3267285302</v>
      </c>
      <c r="F100" s="9"/>
      <c r="G100" s="9" t="str">
        <f>+G109</f>
        <v>TP</v>
      </c>
      <c r="H100" s="92">
        <f>+H109</f>
        <v>1</v>
      </c>
      <c r="I100" s="9"/>
      <c r="J100" s="81">
        <f t="shared" ref="J100:J105" si="1">+H100*E100</f>
        <v>-5949180.3267285302</v>
      </c>
      <c r="K100" s="9"/>
      <c r="L100" s="9"/>
      <c r="M100" s="6"/>
      <c r="N100" s="36"/>
    </row>
    <row r="101" spans="1:15">
      <c r="A101" s="20">
        <f t="shared" si="0"/>
        <v>25</v>
      </c>
      <c r="C101" s="50" t="s">
        <v>77</v>
      </c>
      <c r="D101" s="9" t="s">
        <v>78</v>
      </c>
      <c r="E101" s="81">
        <f>+'3 - Cost Support'!G5</f>
        <v>0</v>
      </c>
      <c r="F101" s="9"/>
      <c r="G101" s="9" t="s">
        <v>79</v>
      </c>
      <c r="H101" s="92">
        <f>+H$97</f>
        <v>1</v>
      </c>
      <c r="I101" s="9"/>
      <c r="J101" s="93">
        <f t="shared" si="1"/>
        <v>0</v>
      </c>
      <c r="K101" s="9"/>
      <c r="L101" s="9"/>
      <c r="M101" s="6"/>
      <c r="N101" s="36"/>
    </row>
    <row r="102" spans="1:15">
      <c r="A102" s="20">
        <f t="shared" si="0"/>
        <v>26</v>
      </c>
      <c r="C102" s="5" t="s">
        <v>80</v>
      </c>
      <c r="D102" s="9" t="s">
        <v>81</v>
      </c>
      <c r="E102" s="93">
        <f>+'8a - Workpaper'!V81</f>
        <v>0</v>
      </c>
      <c r="F102" s="9"/>
      <c r="G102" s="9" t="s">
        <v>41</v>
      </c>
      <c r="H102" s="32">
        <v>1</v>
      </c>
      <c r="I102" s="9"/>
      <c r="J102" s="93">
        <f>+E102</f>
        <v>0</v>
      </c>
      <c r="K102" s="9"/>
      <c r="L102" s="87"/>
      <c r="M102" s="6"/>
      <c r="N102" s="36"/>
    </row>
    <row r="103" spans="1:15">
      <c r="A103" s="20" t="s">
        <v>82</v>
      </c>
      <c r="C103" s="5" t="s">
        <v>83</v>
      </c>
      <c r="D103" s="9" t="s">
        <v>84</v>
      </c>
      <c r="E103" s="81">
        <v>0</v>
      </c>
      <c r="F103" s="9"/>
      <c r="G103" s="9" t="s">
        <v>41</v>
      </c>
      <c r="H103" s="32">
        <v>1</v>
      </c>
      <c r="I103" s="9"/>
      <c r="J103" s="93">
        <f>+E103</f>
        <v>0</v>
      </c>
      <c r="K103" s="9"/>
      <c r="L103" s="87"/>
      <c r="M103" s="6"/>
      <c r="N103" s="36"/>
    </row>
    <row r="104" spans="1:15">
      <c r="A104" s="20">
        <f>+A102+1</f>
        <v>27</v>
      </c>
      <c r="C104" s="5" t="s">
        <v>85</v>
      </c>
      <c r="D104" s="9" t="s">
        <v>86</v>
      </c>
      <c r="E104" s="93">
        <f>+'3 - Cost Support'!H42</f>
        <v>0</v>
      </c>
      <c r="F104" s="9"/>
      <c r="G104" s="9" t="str">
        <f>+G105</f>
        <v>DA</v>
      </c>
      <c r="H104" s="94">
        <f>+H105</f>
        <v>1</v>
      </c>
      <c r="I104" s="9"/>
      <c r="J104" s="93">
        <f t="shared" si="1"/>
        <v>0</v>
      </c>
      <c r="K104" s="9"/>
      <c r="L104" s="87"/>
      <c r="M104" s="6"/>
      <c r="N104" s="36"/>
    </row>
    <row r="105" spans="1:15">
      <c r="A105" s="20">
        <f>+A104+1</f>
        <v>28</v>
      </c>
      <c r="C105" s="50" t="s">
        <v>87</v>
      </c>
      <c r="D105" s="9" t="s">
        <v>88</v>
      </c>
      <c r="E105" s="93">
        <f>+'8a - Workpaper'!Z10</f>
        <v>0</v>
      </c>
      <c r="F105" s="9"/>
      <c r="G105" s="9" t="str">
        <f>+G106</f>
        <v>DA</v>
      </c>
      <c r="H105" s="94">
        <f>+H106</f>
        <v>1</v>
      </c>
      <c r="I105" s="9"/>
      <c r="J105" s="93">
        <f t="shared" si="1"/>
        <v>0</v>
      </c>
      <c r="K105" s="9"/>
      <c r="L105" s="87"/>
      <c r="M105" s="6"/>
      <c r="N105" s="36"/>
    </row>
    <row r="106" spans="1:15">
      <c r="A106" s="20">
        <f t="shared" si="0"/>
        <v>29</v>
      </c>
      <c r="C106" s="95" t="s">
        <v>89</v>
      </c>
      <c r="D106" s="96" t="s">
        <v>90</v>
      </c>
      <c r="E106" s="97">
        <f>+'8a - Workpaper'!Z41</f>
        <v>0</v>
      </c>
      <c r="F106" s="96"/>
      <c r="G106" s="96" t="s">
        <v>41</v>
      </c>
      <c r="H106" s="98">
        <v>1</v>
      </c>
      <c r="I106" s="96"/>
      <c r="J106" s="99">
        <f>+H106*E106</f>
        <v>0</v>
      </c>
      <c r="K106" s="9"/>
      <c r="L106" s="9"/>
      <c r="M106" s="6"/>
      <c r="N106" s="36"/>
    </row>
    <row r="107" spans="1:15">
      <c r="A107" s="20">
        <f t="shared" si="0"/>
        <v>30</v>
      </c>
      <c r="C107" s="100" t="str">
        <f>"TOTAL ADJUSTMENTS  (sum lines "&amp;A100&amp;"-"&amp;A106&amp;")"</f>
        <v>TOTAL ADJUSTMENTS  (sum lines 24-29)</v>
      </c>
      <c r="D107" s="9"/>
      <c r="E107" s="81">
        <f>SUM(E100:E106)</f>
        <v>-5949180.3267285302</v>
      </c>
      <c r="F107" s="9"/>
      <c r="G107" s="9"/>
      <c r="H107" s="32"/>
      <c r="I107" s="9"/>
      <c r="J107" s="33">
        <f>SUM(J100:J106)</f>
        <v>-5949180.3267285302</v>
      </c>
      <c r="K107" s="9"/>
      <c r="L107" s="9"/>
      <c r="M107" s="6"/>
    </row>
    <row r="108" spans="1:15">
      <c r="A108" s="20"/>
      <c r="D108" s="9"/>
      <c r="E108" s="90"/>
      <c r="F108" s="9"/>
      <c r="G108" s="9"/>
      <c r="H108" s="88"/>
      <c r="I108" s="9"/>
      <c r="J108" s="39"/>
      <c r="K108" s="9"/>
      <c r="L108" s="89"/>
      <c r="M108" s="6"/>
    </row>
    <row r="109" spans="1:15" ht="15.6">
      <c r="A109" s="20">
        <f>+A107+1</f>
        <v>31</v>
      </c>
      <c r="C109" s="2" t="s">
        <v>91</v>
      </c>
      <c r="D109" s="9" t="s">
        <v>92</v>
      </c>
      <c r="E109" s="81">
        <f>+'8a - Workpaper'!R61</f>
        <v>0</v>
      </c>
      <c r="F109" s="9"/>
      <c r="G109" s="9" t="str">
        <f>+G87</f>
        <v>TP</v>
      </c>
      <c r="H109" s="32">
        <f>+J$216</f>
        <v>1</v>
      </c>
      <c r="I109" s="9"/>
      <c r="J109" s="33">
        <f>+H109*E109</f>
        <v>0</v>
      </c>
      <c r="K109" s="82"/>
      <c r="L109" s="9"/>
      <c r="M109" s="6"/>
    </row>
    <row r="110" spans="1:15">
      <c r="A110" s="20"/>
      <c r="C110" s="15"/>
      <c r="D110" s="9"/>
      <c r="E110" s="81"/>
      <c r="F110" s="9"/>
      <c r="G110" s="9"/>
      <c r="H110" s="32"/>
      <c r="I110" s="9"/>
      <c r="J110" s="33"/>
      <c r="K110" s="9"/>
      <c r="L110" s="9"/>
      <c r="M110" s="6"/>
    </row>
    <row r="111" spans="1:15">
      <c r="A111" s="20">
        <f>+A109+1</f>
        <v>32</v>
      </c>
      <c r="C111" s="15" t="str">
        <f>"WORKING CAPITAL  (Note "&amp;A271&amp;")"</f>
        <v>WORKING CAPITAL  (Note C)</v>
      </c>
      <c r="D111" s="9" t="s">
        <v>22</v>
      </c>
      <c r="E111" s="81"/>
      <c r="F111" s="9"/>
      <c r="G111" s="9"/>
      <c r="H111" s="32"/>
      <c r="I111" s="9"/>
      <c r="J111" s="33"/>
      <c r="K111" s="9"/>
      <c r="L111" s="9"/>
      <c r="M111" s="6"/>
    </row>
    <row r="112" spans="1:15">
      <c r="A112" s="20">
        <f>+A111+1</f>
        <v>33</v>
      </c>
      <c r="C112" s="15" t="s">
        <v>93</v>
      </c>
      <c r="D112" s="50" t="s">
        <v>94</v>
      </c>
      <c r="E112" s="81">
        <f>(E153-E151)/8</f>
        <v>1216288.5</v>
      </c>
      <c r="F112" s="9"/>
      <c r="G112" s="9"/>
      <c r="H112" s="88"/>
      <c r="I112" s="9"/>
      <c r="J112" s="81">
        <f>(J153-J151)/8</f>
        <v>1216288.5</v>
      </c>
      <c r="K112" s="9"/>
      <c r="L112" s="87"/>
      <c r="M112" s="6"/>
    </row>
    <row r="113" spans="1:13">
      <c r="A113" s="20">
        <f>+A112+1</f>
        <v>34</v>
      </c>
      <c r="C113" s="15" t="str">
        <f>"  Materials &amp; Supplies  (Note "&amp;A270&amp;")"</f>
        <v xml:space="preserve">  Materials &amp; Supplies  (Note B)</v>
      </c>
      <c r="D113" s="9" t="s">
        <v>95</v>
      </c>
      <c r="E113" s="81">
        <f>+'3 - Cost Support'!G117</f>
        <v>0</v>
      </c>
      <c r="F113" s="9"/>
      <c r="G113" s="9" t="str">
        <f>+G109</f>
        <v>TP</v>
      </c>
      <c r="H113" s="32">
        <f>+H109</f>
        <v>1</v>
      </c>
      <c r="I113" s="9"/>
      <c r="J113" s="33">
        <f>+H113*E113</f>
        <v>0</v>
      </c>
      <c r="K113" s="9"/>
      <c r="L113" s="89"/>
      <c r="M113" s="6"/>
    </row>
    <row r="114" spans="1:13">
      <c r="A114" s="20">
        <f>+A113+1</f>
        <v>35</v>
      </c>
      <c r="C114" s="101" t="str">
        <f xml:space="preserve">  "Prepayments (Account 165 - Note "&amp;A271&amp;")"</f>
        <v>Prepayments (Account 165 - Note C)</v>
      </c>
      <c r="D114" s="96" t="s">
        <v>96</v>
      </c>
      <c r="E114" s="97">
        <f>+'3 - Cost Support'!F26</f>
        <v>0</v>
      </c>
      <c r="F114" s="96"/>
      <c r="G114" s="96" t="s">
        <v>97</v>
      </c>
      <c r="H114" s="102">
        <f>+H$83</f>
        <v>1</v>
      </c>
      <c r="I114" s="96"/>
      <c r="J114" s="99">
        <f>+H114*E114</f>
        <v>0</v>
      </c>
      <c r="K114" s="9"/>
      <c r="L114" s="9"/>
      <c r="M114" s="9"/>
    </row>
    <row r="115" spans="1:13">
      <c r="A115" s="20">
        <f>+A114+1</f>
        <v>36</v>
      </c>
      <c r="C115" s="15" t="str">
        <f>"TOTAL WORKING CAPITAL (sum lines "&amp;A112&amp;"-"&amp;A114&amp;")"</f>
        <v>TOTAL WORKING CAPITAL (sum lines 33-35)</v>
      </c>
      <c r="D115" s="15"/>
      <c r="E115" s="33">
        <f>SUM(E112:E114)</f>
        <v>1216288.5</v>
      </c>
      <c r="F115" s="15"/>
      <c r="G115" s="15"/>
      <c r="H115" s="15"/>
      <c r="I115" s="15"/>
      <c r="J115" s="33">
        <f>SUM(J112:J114)</f>
        <v>1216288.5</v>
      </c>
      <c r="K115" s="9"/>
      <c r="L115" s="9"/>
      <c r="M115" s="9"/>
    </row>
    <row r="116" spans="1:13" ht="15.6" thickBot="1">
      <c r="A116" s="20"/>
      <c r="D116" s="9"/>
      <c r="E116" s="103"/>
      <c r="F116" s="9"/>
      <c r="G116" s="9"/>
      <c r="H116" s="9"/>
      <c r="I116" s="9"/>
      <c r="J116" s="103"/>
      <c r="K116" s="9"/>
    </row>
    <row r="117" spans="1:13" ht="15.6" thickBot="1">
      <c r="A117" s="20">
        <f>+A115+1</f>
        <v>37</v>
      </c>
      <c r="C117" s="15" t="str">
        <f>"RATE BASE  (sum lines "&amp;A97&amp;", "&amp;A107&amp;", "&amp;A109&amp;", &amp; "&amp;A115&amp;")"</f>
        <v>RATE BASE  (sum lines 22, 30, 31, &amp; 36)</v>
      </c>
      <c r="D117" s="9"/>
      <c r="E117" s="104">
        <f>+E97+E107+E109+E115</f>
        <v>251265103.66802114</v>
      </c>
      <c r="F117" s="9"/>
      <c r="G117" s="9"/>
      <c r="H117" s="89"/>
      <c r="I117" s="9"/>
      <c r="J117" s="104">
        <f>+J97+J107+J109+J115</f>
        <v>251265103.66802114</v>
      </c>
      <c r="K117" s="9"/>
      <c r="L117" s="9"/>
      <c r="M117" s="9"/>
    </row>
    <row r="118" spans="1:13" ht="15.6" thickTop="1">
      <c r="A118" s="20"/>
      <c r="C118" s="15"/>
      <c r="D118" s="9"/>
      <c r="E118" s="9"/>
      <c r="F118" s="9"/>
      <c r="G118" s="9"/>
      <c r="H118" s="9"/>
      <c r="I118" s="9"/>
      <c r="J118" s="33"/>
      <c r="K118" s="9"/>
      <c r="L118" s="9"/>
      <c r="M118" s="45"/>
    </row>
    <row r="119" spans="1:13">
      <c r="A119" s="20"/>
      <c r="C119" s="105"/>
      <c r="D119" s="9"/>
      <c r="E119" s="9"/>
      <c r="F119" s="9"/>
      <c r="G119" s="9"/>
      <c r="H119" s="9"/>
      <c r="I119" s="9"/>
      <c r="J119" s="33"/>
      <c r="K119" s="9"/>
      <c r="L119" s="9"/>
      <c r="M119" s="45"/>
    </row>
    <row r="120" spans="1:13">
      <c r="A120" s="20"/>
      <c r="C120" s="106"/>
      <c r="D120" s="9"/>
      <c r="E120" s="9"/>
      <c r="F120" s="9"/>
      <c r="G120" s="9"/>
      <c r="H120" s="9"/>
      <c r="I120" s="9"/>
      <c r="J120" s="33"/>
      <c r="K120" s="9"/>
      <c r="L120" s="9"/>
      <c r="M120" s="45"/>
    </row>
    <row r="121" spans="1:13">
      <c r="A121" s="20"/>
      <c r="C121" s="105"/>
      <c r="D121" s="9"/>
      <c r="E121" s="9"/>
      <c r="F121" s="9"/>
      <c r="G121" s="9"/>
      <c r="H121" s="9"/>
      <c r="I121" s="9"/>
      <c r="J121" s="33"/>
      <c r="K121" s="9"/>
      <c r="L121" s="9"/>
      <c r="M121" s="45"/>
    </row>
    <row r="122" spans="1:13">
      <c r="A122" s="20"/>
      <c r="C122" s="106"/>
      <c r="D122" s="9"/>
      <c r="E122" s="9"/>
      <c r="F122" s="9"/>
      <c r="G122" s="9"/>
      <c r="H122" s="9"/>
      <c r="I122" s="9"/>
      <c r="J122" s="33"/>
      <c r="K122" s="9"/>
      <c r="L122" s="9"/>
      <c r="M122" s="45"/>
    </row>
    <row r="123" spans="1:13">
      <c r="A123" s="20"/>
      <c r="C123" s="106"/>
      <c r="D123" s="9"/>
      <c r="E123" s="9"/>
      <c r="F123" s="9"/>
      <c r="G123" s="9"/>
      <c r="H123" s="9"/>
      <c r="I123" s="9"/>
      <c r="J123" s="33"/>
      <c r="K123" s="9"/>
      <c r="L123" s="9"/>
      <c r="M123" s="45"/>
    </row>
    <row r="124" spans="1:13">
      <c r="A124" s="20"/>
      <c r="D124" s="9"/>
      <c r="E124" s="9"/>
      <c r="F124" s="9"/>
      <c r="G124" s="9"/>
      <c r="H124" s="9"/>
      <c r="I124" s="9"/>
      <c r="J124" s="33"/>
      <c r="K124" s="9"/>
      <c r="L124" s="9"/>
      <c r="M124" s="45"/>
    </row>
    <row r="125" spans="1:13">
      <c r="A125" s="20"/>
      <c r="C125" s="37"/>
      <c r="D125" s="9"/>
      <c r="E125" s="9"/>
      <c r="F125" s="9"/>
      <c r="G125" s="9"/>
      <c r="H125" s="9"/>
      <c r="I125" s="9"/>
      <c r="J125" s="33"/>
      <c r="K125" s="9"/>
      <c r="L125" s="9"/>
      <c r="M125" s="45"/>
    </row>
    <row r="126" spans="1:13">
      <c r="A126" s="20"/>
      <c r="C126" s="68"/>
      <c r="D126" s="9"/>
      <c r="E126" s="9"/>
      <c r="F126" s="9"/>
      <c r="G126" s="9"/>
      <c r="H126" s="9"/>
      <c r="I126" s="9"/>
      <c r="J126" s="33"/>
      <c r="K126" s="9"/>
      <c r="L126" s="9"/>
      <c r="M126" s="45"/>
    </row>
    <row r="127" spans="1:13">
      <c r="A127" s="20"/>
      <c r="C127" s="68"/>
      <c r="D127" s="9"/>
      <c r="E127" s="9"/>
      <c r="F127" s="9"/>
      <c r="G127" s="9"/>
      <c r="H127" s="9"/>
      <c r="I127" s="9"/>
      <c r="J127" s="33"/>
      <c r="K127" s="9"/>
      <c r="L127" s="9"/>
      <c r="M127" s="45"/>
    </row>
    <row r="128" spans="1:13">
      <c r="A128" s="20"/>
      <c r="C128" s="15"/>
      <c r="D128" s="9"/>
      <c r="E128" s="9"/>
      <c r="F128" s="9"/>
      <c r="G128" s="9"/>
      <c r="H128" s="9"/>
      <c r="I128" s="9"/>
      <c r="J128" s="33"/>
      <c r="K128" s="9"/>
      <c r="L128" s="9"/>
      <c r="M128" s="45"/>
    </row>
    <row r="129" spans="1:14">
      <c r="A129" s="20"/>
      <c r="C129" s="2"/>
      <c r="D129" s="2"/>
      <c r="E129" s="3"/>
      <c r="F129" s="2"/>
      <c r="G129" s="2"/>
      <c r="H129" s="2"/>
      <c r="I129" s="2"/>
      <c r="J129" s="107"/>
      <c r="K129" s="24"/>
      <c r="L129" s="24"/>
      <c r="M129" s="4" t="s">
        <v>3</v>
      </c>
    </row>
    <row r="130" spans="1:14">
      <c r="A130" s="20"/>
      <c r="C130" s="2"/>
      <c r="D130" s="2"/>
      <c r="E130" s="3"/>
      <c r="F130" s="2"/>
      <c r="G130" s="2"/>
      <c r="H130" s="2"/>
      <c r="I130" s="2"/>
      <c r="J130" s="108"/>
      <c r="K130" s="4"/>
      <c r="L130" s="4"/>
      <c r="M130" s="7" t="s">
        <v>98</v>
      </c>
    </row>
    <row r="131" spans="1:14">
      <c r="A131" s="20"/>
      <c r="C131" s="2"/>
      <c r="D131" s="2"/>
      <c r="E131" s="3"/>
      <c r="F131" s="2"/>
      <c r="G131" s="2"/>
      <c r="H131" s="2"/>
      <c r="I131" s="2"/>
      <c r="J131" s="109"/>
      <c r="K131" s="7"/>
      <c r="L131" s="7"/>
      <c r="M131" s="7"/>
    </row>
    <row r="132" spans="1:14">
      <c r="A132" s="20"/>
      <c r="C132" s="2"/>
      <c r="D132" s="2"/>
      <c r="E132" s="3"/>
      <c r="F132" s="2"/>
      <c r="G132" s="2"/>
      <c r="H132" s="2"/>
      <c r="I132" s="2"/>
      <c r="J132" s="110"/>
      <c r="K132" s="15"/>
      <c r="L132" s="7"/>
      <c r="M132" s="7"/>
    </row>
    <row r="133" spans="1:14">
      <c r="A133" s="20"/>
      <c r="C133" s="2"/>
      <c r="D133" s="2"/>
      <c r="E133" s="3"/>
      <c r="F133" s="2"/>
      <c r="G133" s="2"/>
      <c r="H133" s="2"/>
      <c r="I133" s="2"/>
      <c r="J133" s="110"/>
      <c r="K133" s="15"/>
      <c r="L133" s="7"/>
    </row>
    <row r="134" spans="1:14">
      <c r="A134" s="20"/>
      <c r="C134" s="2" t="s">
        <v>20</v>
      </c>
      <c r="D134" s="1"/>
      <c r="E134" s="1" t="s">
        <v>21</v>
      </c>
      <c r="F134" s="2"/>
      <c r="G134" s="2"/>
      <c r="H134" s="2"/>
      <c r="I134" s="2"/>
      <c r="J134" s="39"/>
      <c r="K134" s="15"/>
      <c r="L134" s="15"/>
    </row>
    <row r="135" spans="1:14">
      <c r="A135" s="20"/>
      <c r="C135" s="2"/>
      <c r="D135" s="9" t="s">
        <v>22</v>
      </c>
      <c r="E135" s="9" t="s">
        <v>23</v>
      </c>
      <c r="F135" s="9"/>
      <c r="G135" s="9"/>
      <c r="H135" s="9"/>
      <c r="I135" s="2"/>
      <c r="J135" s="110"/>
      <c r="K135" s="15"/>
      <c r="L135" s="15"/>
    </row>
    <row r="136" spans="1:14">
      <c r="A136" s="20"/>
      <c r="C136" s="2"/>
      <c r="D136" s="9"/>
      <c r="E136" s="9"/>
      <c r="F136" s="9"/>
      <c r="G136" s="9"/>
      <c r="H136" s="9"/>
      <c r="I136" s="2"/>
      <c r="J136" s="110"/>
      <c r="K136" s="71"/>
      <c r="L136" s="17"/>
      <c r="M136" s="18" t="str">
        <f>+M71</f>
        <v>For the 12 months ended 12/31/2023</v>
      </c>
    </row>
    <row r="137" spans="1:14" ht="15.6">
      <c r="A137" s="20"/>
      <c r="D137" s="15"/>
      <c r="E137" s="72" t="str">
        <f>+E72</f>
        <v>NextEra Energy Transmission New York, Inc.</v>
      </c>
      <c r="F137" s="15"/>
      <c r="G137" s="15"/>
      <c r="H137" s="15"/>
      <c r="I137" s="15"/>
      <c r="J137" s="33"/>
      <c r="K137" s="9"/>
      <c r="L137" s="9"/>
      <c r="M137" s="73"/>
    </row>
    <row r="138" spans="1:14">
      <c r="A138" s="20"/>
      <c r="C138" s="43" t="s">
        <v>26</v>
      </c>
      <c r="D138" s="43" t="s">
        <v>27</v>
      </c>
      <c r="E138" s="43" t="s">
        <v>28</v>
      </c>
      <c r="F138" s="9" t="s">
        <v>22</v>
      </c>
      <c r="G138" s="9"/>
      <c r="H138" s="74" t="s">
        <v>44</v>
      </c>
      <c r="I138" s="9"/>
      <c r="J138" s="111" t="s">
        <v>45</v>
      </c>
      <c r="K138" s="9"/>
      <c r="L138" s="23"/>
      <c r="M138" s="23"/>
    </row>
    <row r="139" spans="1:14" ht="15.6">
      <c r="A139" s="20"/>
      <c r="C139" s="43"/>
      <c r="D139" s="112"/>
      <c r="E139" s="112"/>
      <c r="F139" s="112"/>
      <c r="G139" s="112"/>
      <c r="H139" s="112"/>
      <c r="I139" s="112"/>
      <c r="J139" s="113"/>
      <c r="K139" s="112"/>
      <c r="L139" s="76"/>
      <c r="M139" s="112"/>
    </row>
    <row r="140" spans="1:14" ht="15.6">
      <c r="A140" s="20"/>
      <c r="C140" s="15"/>
      <c r="D140" s="75"/>
      <c r="E140" s="9"/>
      <c r="F140" s="9"/>
      <c r="G140" s="9"/>
      <c r="H140" s="24"/>
      <c r="I140" s="9"/>
      <c r="J140" s="114" t="s">
        <v>46</v>
      </c>
      <c r="K140" s="9"/>
      <c r="L140" s="43"/>
      <c r="M140" s="49"/>
    </row>
    <row r="141" spans="1:14" ht="15.6">
      <c r="A141" s="20"/>
      <c r="C141" s="15"/>
      <c r="D141" s="77" t="s">
        <v>47</v>
      </c>
      <c r="E141" s="76" t="s">
        <v>48</v>
      </c>
      <c r="F141" s="78"/>
      <c r="G141" s="76" t="s">
        <v>49</v>
      </c>
      <c r="H141" s="15"/>
      <c r="I141" s="78"/>
      <c r="J141" s="115" t="s">
        <v>50</v>
      </c>
      <c r="K141" s="9"/>
      <c r="L141" s="24"/>
      <c r="M141" s="24"/>
    </row>
    <row r="142" spans="1:14" ht="15.6">
      <c r="A142" s="20"/>
      <c r="C142" s="15"/>
      <c r="D142" s="9"/>
      <c r="E142" s="116"/>
      <c r="F142" s="117"/>
      <c r="G142" s="77"/>
      <c r="H142" s="15"/>
      <c r="I142" s="117"/>
      <c r="J142" s="39"/>
    </row>
    <row r="143" spans="1:14">
      <c r="A143" s="20">
        <f>+A117+1</f>
        <v>38</v>
      </c>
      <c r="C143" s="15" t="s">
        <v>99</v>
      </c>
      <c r="D143" s="9"/>
      <c r="E143" s="9"/>
      <c r="I143" s="9"/>
      <c r="J143" s="39"/>
    </row>
    <row r="144" spans="1:14">
      <c r="A144" s="20">
        <f t="shared" ref="A144:A149" si="2">+A143+1</f>
        <v>39</v>
      </c>
      <c r="C144" s="15" t="s">
        <v>56</v>
      </c>
      <c r="D144" s="9" t="s">
        <v>100</v>
      </c>
      <c r="E144" s="118">
        <v>7635372</v>
      </c>
      <c r="F144" s="9"/>
      <c r="G144" s="9" t="str">
        <f>+I216</f>
        <v>TP=</v>
      </c>
      <c r="H144" s="32">
        <f>+J216</f>
        <v>1</v>
      </c>
      <c r="I144" s="9"/>
      <c r="J144" s="39">
        <f t="shared" ref="J144:J149" si="3">+H144*E144</f>
        <v>7635372</v>
      </c>
      <c r="K144" s="9"/>
      <c r="L144" s="9"/>
      <c r="M144" s="9"/>
      <c r="N144" s="119"/>
    </row>
    <row r="145" spans="1:15">
      <c r="A145" s="20">
        <f t="shared" si="2"/>
        <v>40</v>
      </c>
      <c r="C145" s="15" t="s">
        <v>101</v>
      </c>
      <c r="D145" s="9" t="s">
        <v>102</v>
      </c>
      <c r="E145" s="118">
        <v>0</v>
      </c>
      <c r="F145" s="9"/>
      <c r="G145" s="9" t="str">
        <f>+G144</f>
        <v>TP=</v>
      </c>
      <c r="H145" s="32">
        <f>+H144</f>
        <v>1</v>
      </c>
      <c r="I145" s="9"/>
      <c r="J145" s="39">
        <f t="shared" si="3"/>
        <v>0</v>
      </c>
      <c r="K145" s="9"/>
      <c r="L145" s="9"/>
      <c r="M145" s="9"/>
      <c r="N145" s="119"/>
    </row>
    <row r="146" spans="1:15">
      <c r="A146" s="20">
        <f t="shared" si="2"/>
        <v>41</v>
      </c>
      <c r="C146" s="15" t="s">
        <v>103</v>
      </c>
      <c r="D146" s="9" t="s">
        <v>104</v>
      </c>
      <c r="E146" s="118">
        <v>2094936</v>
      </c>
      <c r="F146" s="9"/>
      <c r="G146" s="9" t="s">
        <v>63</v>
      </c>
      <c r="H146" s="32">
        <f>+$J$224</f>
        <v>1</v>
      </c>
      <c r="I146" s="9"/>
      <c r="J146" s="39">
        <f t="shared" si="3"/>
        <v>2094936</v>
      </c>
      <c r="K146" s="9"/>
      <c r="L146" s="9"/>
      <c r="M146" s="9"/>
      <c r="N146" s="50"/>
      <c r="O146" s="50"/>
    </row>
    <row r="147" spans="1:15" ht="15.6">
      <c r="A147" s="20">
        <f t="shared" si="2"/>
        <v>42</v>
      </c>
      <c r="C147" s="15" t="s">
        <v>105</v>
      </c>
      <c r="D147" s="15" t="str">
        <f>" (Note "&amp;A273&amp;" &amp; Attach 3, line 171, column A)"</f>
        <v xml:space="preserve"> (Note D &amp; Attach 3, line 171, column A)</v>
      </c>
      <c r="E147" s="81">
        <f>+'3 - Cost Support'!G55</f>
        <v>0</v>
      </c>
      <c r="F147" s="9"/>
      <c r="G147" s="9" t="s">
        <v>41</v>
      </c>
      <c r="H147" s="32">
        <v>1</v>
      </c>
      <c r="I147" s="9"/>
      <c r="J147" s="39">
        <f>+E147</f>
        <v>0</v>
      </c>
      <c r="K147" s="82"/>
      <c r="L147" s="9"/>
      <c r="M147" s="9"/>
    </row>
    <row r="148" spans="1:15">
      <c r="A148" s="20">
        <f t="shared" si="2"/>
        <v>43</v>
      </c>
      <c r="C148" s="15" t="s">
        <v>106</v>
      </c>
      <c r="D148" s="15" t="str">
        <f>" (Note "&amp;A273&amp;" &amp; Attach 3, line 172, column C)"</f>
        <v xml:space="preserve"> (Note D &amp; Attach 3, line 172, column C)</v>
      </c>
      <c r="E148" s="81">
        <f>+'3 - Cost Support'!H64</f>
        <v>0</v>
      </c>
      <c r="F148" s="9"/>
      <c r="G148" s="120" t="str">
        <f>+G144</f>
        <v>TP=</v>
      </c>
      <c r="H148" s="32">
        <f>+H144</f>
        <v>1</v>
      </c>
      <c r="I148" s="9"/>
      <c r="J148" s="39">
        <f t="shared" si="3"/>
        <v>0</v>
      </c>
      <c r="K148" s="9"/>
      <c r="L148" s="9"/>
      <c r="M148" s="9"/>
    </row>
    <row r="149" spans="1:15">
      <c r="A149" s="20">
        <f t="shared" si="2"/>
        <v>44</v>
      </c>
      <c r="C149" s="15" t="s">
        <v>107</v>
      </c>
      <c r="D149" s="9" t="s">
        <v>108</v>
      </c>
      <c r="E149" s="81">
        <f>+'3 - Cost Support'!E132</f>
        <v>0</v>
      </c>
      <c r="F149" s="9"/>
      <c r="G149" s="120" t="str">
        <f>+G145</f>
        <v>TP=</v>
      </c>
      <c r="H149" s="32">
        <f>+H144</f>
        <v>1</v>
      </c>
      <c r="I149" s="9"/>
      <c r="J149" s="39">
        <f t="shared" si="3"/>
        <v>0</v>
      </c>
      <c r="K149" s="9"/>
      <c r="L149" s="9"/>
      <c r="M149" s="9"/>
    </row>
    <row r="150" spans="1:15" ht="15.6">
      <c r="A150" s="121" t="s">
        <v>109</v>
      </c>
      <c r="C150" s="15" t="s">
        <v>110</v>
      </c>
      <c r="D150" s="9" t="s">
        <v>111</v>
      </c>
      <c r="E150" s="122">
        <v>0</v>
      </c>
      <c r="F150" s="9"/>
      <c r="G150" s="9" t="s">
        <v>41</v>
      </c>
      <c r="H150" s="32">
        <v>1</v>
      </c>
      <c r="I150" s="9"/>
      <c r="J150" s="39">
        <f t="shared" ref="J150:J152" si="4">+E150</f>
        <v>0</v>
      </c>
      <c r="K150" s="82"/>
      <c r="L150" s="9"/>
      <c r="M150" s="9"/>
    </row>
    <row r="151" spans="1:15">
      <c r="A151" s="121" t="s">
        <v>112</v>
      </c>
      <c r="C151" s="15" t="s">
        <v>113</v>
      </c>
      <c r="D151" s="9" t="s">
        <v>114</v>
      </c>
      <c r="E151" s="81">
        <f>+'8a - Workpaper'!I21</f>
        <v>0</v>
      </c>
      <c r="F151" s="9"/>
      <c r="G151" s="9" t="s">
        <v>41</v>
      </c>
      <c r="H151" s="32">
        <v>1</v>
      </c>
      <c r="I151" s="9"/>
      <c r="J151" s="39">
        <f t="shared" si="4"/>
        <v>0</v>
      </c>
      <c r="K151" s="9"/>
      <c r="L151" s="9"/>
      <c r="M151" s="9"/>
    </row>
    <row r="152" spans="1:15">
      <c r="A152" s="121" t="s">
        <v>115</v>
      </c>
      <c r="C152" s="15" t="s">
        <v>116</v>
      </c>
      <c r="D152" s="9" t="s">
        <v>117</v>
      </c>
      <c r="E152" s="81">
        <f>+E150-E151</f>
        <v>0</v>
      </c>
      <c r="F152" s="9"/>
      <c r="G152" s="9" t="s">
        <v>41</v>
      </c>
      <c r="H152" s="32">
        <v>1</v>
      </c>
      <c r="I152" s="9"/>
      <c r="J152" s="39">
        <f t="shared" si="4"/>
        <v>0</v>
      </c>
      <c r="K152" s="9"/>
      <c r="L152" s="9"/>
      <c r="M152" s="9"/>
    </row>
    <row r="153" spans="1:15">
      <c r="A153" s="20">
        <f>+A149+1</f>
        <v>45</v>
      </c>
      <c r="C153" s="15" t="str">
        <f>"TOTAL O&amp;M   (sum lines "&amp;A144&amp;", "&amp;A146&amp;", "&amp;A148&amp;", "&amp;A149&amp;", "&amp;A151&amp;", "&amp;A152&amp;" less lines "&amp;A145&amp;" &amp; "&amp;A147&amp;", "&amp;A150&amp;") (Note D)"</f>
        <v>TOTAL O&amp;M   (sum lines 39, 41, 43, 44, 44b, 44c less lines 40 &amp; 42, 44a) (Note D)</v>
      </c>
      <c r="D153" s="9"/>
      <c r="E153" s="33">
        <f>+E144-E145+E146-E147+E148+E149-E150+E151+E152</f>
        <v>9730308</v>
      </c>
      <c r="F153" s="9"/>
      <c r="G153" s="9"/>
      <c r="H153" s="9"/>
      <c r="I153" s="9"/>
      <c r="J153" s="33">
        <f>+J144-J145+J146-J147+J148+J149-J150+J151+J152</f>
        <v>9730308</v>
      </c>
      <c r="K153" s="9"/>
      <c r="L153" s="9"/>
      <c r="M153" s="9"/>
    </row>
    <row r="154" spans="1:15">
      <c r="A154" s="20"/>
      <c r="D154" s="9"/>
      <c r="E154" s="39"/>
      <c r="F154" s="9"/>
      <c r="G154" s="9"/>
      <c r="H154" s="9"/>
      <c r="I154" s="9"/>
      <c r="J154" s="39"/>
      <c r="K154" s="9"/>
      <c r="L154" s="9"/>
      <c r="M154" s="9"/>
    </row>
    <row r="155" spans="1:15">
      <c r="A155" s="20">
        <f>+A153+1</f>
        <v>46</v>
      </c>
      <c r="C155" s="15" t="s">
        <v>118</v>
      </c>
      <c r="D155" s="9"/>
      <c r="E155" s="33"/>
      <c r="F155" s="9"/>
      <c r="G155" s="9"/>
      <c r="H155" s="9"/>
      <c r="I155" s="9"/>
      <c r="J155" s="33"/>
      <c r="K155" s="9"/>
      <c r="L155" s="9"/>
      <c r="M155" s="9"/>
    </row>
    <row r="156" spans="1:15">
      <c r="A156" s="20">
        <f>+A155+1</f>
        <v>47</v>
      </c>
      <c r="C156" s="15" t="str">
        <f>+C144</f>
        <v xml:space="preserve">  Transmission </v>
      </c>
      <c r="D156" s="9" t="s">
        <v>119</v>
      </c>
      <c r="E156" s="118">
        <f>'2 - Cost Support '!F105-'2 - Cost Support '!F93</f>
        <v>4574188.3380507678</v>
      </c>
      <c r="F156" s="9"/>
      <c r="G156" s="9" t="s">
        <v>58</v>
      </c>
      <c r="H156" s="32">
        <f>+J$216</f>
        <v>1</v>
      </c>
      <c r="I156" s="9"/>
      <c r="J156" s="39">
        <f>+H156*E156</f>
        <v>4574188.3380507678</v>
      </c>
      <c r="K156" s="9"/>
      <c r="L156" s="9"/>
      <c r="M156" s="9"/>
      <c r="N156" s="119"/>
    </row>
    <row r="157" spans="1:15">
      <c r="A157" s="20">
        <f>+A156+1</f>
        <v>48</v>
      </c>
      <c r="C157" s="15" t="s">
        <v>120</v>
      </c>
      <c r="D157" s="9" t="s">
        <v>121</v>
      </c>
      <c r="E157" s="118">
        <f>('2 - Cost Support '!F153-'2 - Cost Support '!F141)+('2 - Cost Support '!F137-'2 - Cost Support '!F125)</f>
        <v>1524146.1882495352</v>
      </c>
      <c r="F157" s="9"/>
      <c r="G157" s="9" t="s">
        <v>63</v>
      </c>
      <c r="H157" s="32">
        <f>+$J$224</f>
        <v>1</v>
      </c>
      <c r="I157" s="9"/>
      <c r="J157" s="39">
        <f>+H157*E157</f>
        <v>1524146.1882495352</v>
      </c>
      <c r="K157" s="9"/>
      <c r="L157" s="9"/>
      <c r="M157" s="9"/>
      <c r="N157" s="45"/>
    </row>
    <row r="158" spans="1:15">
      <c r="A158" s="20">
        <f>+A157+1</f>
        <v>49</v>
      </c>
      <c r="C158" s="101" t="s">
        <v>122</v>
      </c>
      <c r="D158" s="96" t="s">
        <v>123</v>
      </c>
      <c r="E158" s="97">
        <f>+'3 - Cost Support'!H9</f>
        <v>0</v>
      </c>
      <c r="F158" s="96"/>
      <c r="G158" s="96" t="s">
        <v>41</v>
      </c>
      <c r="H158" s="98">
        <v>1</v>
      </c>
      <c r="I158" s="96"/>
      <c r="J158" s="123">
        <f>+H158*E158</f>
        <v>0</v>
      </c>
      <c r="K158" s="9"/>
      <c r="L158" s="9"/>
      <c r="M158" s="9"/>
      <c r="N158" s="45"/>
    </row>
    <row r="159" spans="1:15">
      <c r="A159" s="20">
        <f>+A158+1</f>
        <v>50</v>
      </c>
      <c r="C159" s="100" t="str">
        <f>"TOTAL DEPRECIATION (Sum lines "&amp;A156&amp;"-"&amp;A158&amp;")"</f>
        <v>TOTAL DEPRECIATION (Sum lines 47-49)</v>
      </c>
      <c r="D159" s="9"/>
      <c r="E159" s="118">
        <f>SUM(E156:E158)</f>
        <v>6098334.5263003027</v>
      </c>
      <c r="F159" s="9"/>
      <c r="G159" s="9"/>
      <c r="H159" s="32"/>
      <c r="I159" s="9"/>
      <c r="J159" s="33">
        <f>SUM(J156:J158)</f>
        <v>6098334.5263003027</v>
      </c>
      <c r="K159" s="9"/>
      <c r="L159" s="9"/>
      <c r="N159" s="9"/>
      <c r="O159" s="50"/>
    </row>
    <row r="160" spans="1:15">
      <c r="A160" s="20"/>
      <c r="C160" s="15"/>
      <c r="D160" s="9"/>
      <c r="E160" s="33"/>
      <c r="F160" s="9"/>
      <c r="G160" s="9"/>
      <c r="H160" s="32"/>
      <c r="I160" s="9"/>
      <c r="J160" s="33"/>
      <c r="K160" s="9"/>
      <c r="L160" s="9"/>
      <c r="N160" s="9"/>
    </row>
    <row r="161" spans="1:15">
      <c r="A161" s="20">
        <f>+A159+1</f>
        <v>51</v>
      </c>
      <c r="C161" s="15" t="str">
        <f>"TAXES OTHER THAN INCOME TAXES  (Note "&amp;A279&amp;")"</f>
        <v>TAXES OTHER THAN INCOME TAXES  (Note E)</v>
      </c>
      <c r="D161" s="15"/>
      <c r="E161" s="33"/>
      <c r="F161" s="9"/>
      <c r="G161" s="9"/>
      <c r="H161" s="32"/>
      <c r="I161" s="9"/>
      <c r="J161" s="33"/>
      <c r="K161" s="9"/>
      <c r="L161" s="9"/>
      <c r="N161" s="9"/>
    </row>
    <row r="162" spans="1:15">
      <c r="A162" s="20">
        <f t="shared" ref="A162:A168" si="5">+A161+1</f>
        <v>52</v>
      </c>
      <c r="C162" s="15" t="s">
        <v>124</v>
      </c>
      <c r="D162" s="15"/>
      <c r="E162" s="33"/>
      <c r="F162" s="9"/>
      <c r="G162" s="9"/>
      <c r="H162" s="32"/>
      <c r="I162" s="9"/>
      <c r="J162" s="33"/>
      <c r="K162" s="9"/>
      <c r="L162" s="9"/>
      <c r="N162" s="9"/>
    </row>
    <row r="163" spans="1:15">
      <c r="A163" s="20">
        <f t="shared" si="5"/>
        <v>53</v>
      </c>
      <c r="C163" s="15" t="s">
        <v>125</v>
      </c>
      <c r="D163" s="124" t="s">
        <v>126</v>
      </c>
      <c r="E163" s="118">
        <v>0</v>
      </c>
      <c r="F163" s="9"/>
      <c r="G163" s="9" t="s">
        <v>63</v>
      </c>
      <c r="H163" s="32">
        <f>+J$224</f>
        <v>1</v>
      </c>
      <c r="I163" s="9"/>
      <c r="J163" s="39">
        <f>+H163*E163</f>
        <v>0</v>
      </c>
      <c r="K163" s="9"/>
      <c r="L163" s="9"/>
      <c r="N163" s="9"/>
    </row>
    <row r="164" spans="1:15">
      <c r="A164" s="20">
        <f t="shared" si="5"/>
        <v>54</v>
      </c>
      <c r="C164" s="15" t="s">
        <v>127</v>
      </c>
      <c r="D164" s="124" t="s">
        <v>126</v>
      </c>
      <c r="E164" s="118">
        <v>0</v>
      </c>
      <c r="F164" s="9"/>
      <c r="G164" s="9" t="str">
        <f>+G163</f>
        <v>W/S</v>
      </c>
      <c r="H164" s="32">
        <f>+J$224</f>
        <v>1</v>
      </c>
      <c r="I164" s="9"/>
      <c r="J164" s="39">
        <f>+H164*E164</f>
        <v>0</v>
      </c>
      <c r="K164" s="9"/>
      <c r="L164" s="9"/>
      <c r="N164" s="9"/>
    </row>
    <row r="165" spans="1:15">
      <c r="A165" s="20">
        <f t="shared" si="5"/>
        <v>55</v>
      </c>
      <c r="C165" s="15" t="s">
        <v>128</v>
      </c>
      <c r="D165" s="125" t="s">
        <v>22</v>
      </c>
      <c r="E165" s="33"/>
      <c r="F165" s="9"/>
      <c r="G165" s="9"/>
      <c r="H165" s="32"/>
      <c r="I165" s="9"/>
      <c r="J165" s="33"/>
      <c r="K165" s="9"/>
      <c r="L165" s="9"/>
      <c r="N165" s="9"/>
    </row>
    <row r="166" spans="1:15">
      <c r="A166" s="20">
        <f t="shared" si="5"/>
        <v>56</v>
      </c>
      <c r="C166" s="15" t="s">
        <v>129</v>
      </c>
      <c r="D166" s="124" t="s">
        <v>126</v>
      </c>
      <c r="E166" s="118">
        <v>5214153</v>
      </c>
      <c r="F166" s="9"/>
      <c r="G166" s="9" t="s">
        <v>97</v>
      </c>
      <c r="H166" s="92">
        <f>+H$83</f>
        <v>1</v>
      </c>
      <c r="I166" s="9"/>
      <c r="J166" s="39">
        <f>+H166*E166</f>
        <v>5214153</v>
      </c>
      <c r="K166" s="9"/>
      <c r="L166" s="9"/>
      <c r="N166" s="9"/>
    </row>
    <row r="167" spans="1:15">
      <c r="A167" s="20">
        <f t="shared" si="5"/>
        <v>57</v>
      </c>
      <c r="C167" s="15" t="s">
        <v>130</v>
      </c>
      <c r="D167" s="124" t="s">
        <v>126</v>
      </c>
      <c r="E167" s="118">
        <v>0</v>
      </c>
      <c r="F167" s="9"/>
      <c r="G167" s="9" t="s">
        <v>55</v>
      </c>
      <c r="H167" s="126">
        <v>0</v>
      </c>
      <c r="I167" s="9"/>
      <c r="J167" s="39">
        <f>+H167*E167</f>
        <v>0</v>
      </c>
      <c r="K167" s="9"/>
      <c r="L167" s="9"/>
      <c r="N167" s="9"/>
    </row>
    <row r="168" spans="1:15">
      <c r="A168" s="20">
        <f t="shared" si="5"/>
        <v>58</v>
      </c>
      <c r="C168" s="15" t="s">
        <v>131</v>
      </c>
      <c r="D168" s="124" t="s">
        <v>126</v>
      </c>
      <c r="E168" s="118">
        <v>0</v>
      </c>
      <c r="F168" s="9"/>
      <c r="G168" s="9" t="str">
        <f>+G166</f>
        <v>GP</v>
      </c>
      <c r="H168" s="92">
        <f>+H$83</f>
        <v>1</v>
      </c>
      <c r="I168" s="9"/>
      <c r="J168" s="39">
        <f>+H168*E168</f>
        <v>0</v>
      </c>
      <c r="K168" s="9"/>
      <c r="L168" s="9"/>
      <c r="N168" s="9"/>
    </row>
    <row r="169" spans="1:15">
      <c r="A169" s="20">
        <f>+A168+1</f>
        <v>59</v>
      </c>
      <c r="C169" s="15" t="str">
        <f>"TOTAL OTHER TAXES  (sum lines "&amp;A163&amp;"-"&amp;A168&amp;")"</f>
        <v>TOTAL OTHER TAXES  (sum lines 53-58)</v>
      </c>
      <c r="D169" s="9"/>
      <c r="E169" s="33">
        <f>SUM(E163:E168)</f>
        <v>5214153</v>
      </c>
      <c r="F169" s="9"/>
      <c r="G169" s="9"/>
      <c r="H169" s="32"/>
      <c r="I169" s="9"/>
      <c r="J169" s="33">
        <f>SUM(J163:J168)</f>
        <v>5214153</v>
      </c>
      <c r="K169" s="9"/>
      <c r="L169" s="9"/>
      <c r="M169" s="66"/>
      <c r="N169" s="9"/>
      <c r="O169" s="50"/>
    </row>
    <row r="170" spans="1:15">
      <c r="A170" s="20"/>
      <c r="C170" s="15"/>
      <c r="D170" s="9"/>
      <c r="E170" s="9"/>
      <c r="F170" s="9"/>
      <c r="G170" s="9"/>
      <c r="H170" s="32"/>
      <c r="I170" s="9"/>
      <c r="J170" s="33"/>
      <c r="K170" s="9"/>
      <c r="L170" s="9"/>
      <c r="N170" s="9"/>
    </row>
    <row r="171" spans="1:15">
      <c r="A171" s="20">
        <f>+A169+1</f>
        <v>60</v>
      </c>
      <c r="C171" s="15" t="s">
        <v>132</v>
      </c>
      <c r="D171" s="9" t="str">
        <f>" (Note "&amp;A282&amp;")"</f>
        <v xml:space="preserve"> (Note F)</v>
      </c>
      <c r="E171" s="9"/>
      <c r="F171" s="9"/>
      <c r="H171" s="88"/>
      <c r="I171" s="9"/>
      <c r="J171" s="39"/>
      <c r="K171" s="9"/>
      <c r="L171" s="9"/>
      <c r="N171" s="9"/>
    </row>
    <row r="172" spans="1:15">
      <c r="A172" s="20">
        <f t="shared" ref="A172:A180" si="6">+A171+1</f>
        <v>61</v>
      </c>
      <c r="C172" s="127" t="s">
        <v>133</v>
      </c>
      <c r="D172" s="9"/>
      <c r="E172" s="163">
        <f>IF(E289&gt;0,1-(((1-E290)*(1-E289))/(1-E290*E289*E291)),0)</f>
        <v>0.26134999999999997</v>
      </c>
      <c r="F172" s="9"/>
      <c r="H172" s="128"/>
      <c r="I172" s="45"/>
      <c r="J172" s="39"/>
      <c r="K172" s="9"/>
      <c r="L172" s="129"/>
      <c r="M172" s="130"/>
      <c r="N172" s="9"/>
    </row>
    <row r="173" spans="1:15">
      <c r="A173" s="20">
        <f t="shared" si="6"/>
        <v>62</v>
      </c>
      <c r="C173" s="5" t="s">
        <v>134</v>
      </c>
      <c r="D173" s="9"/>
      <c r="E173" s="163">
        <f>IF(K232&gt;0,(E172/(1-E172))*(1-K229/K232),0)</f>
        <v>0.25872018356843285</v>
      </c>
      <c r="F173" s="9"/>
      <c r="H173" s="128"/>
      <c r="I173" s="45"/>
      <c r="J173" s="39"/>
      <c r="K173" s="9"/>
      <c r="L173" s="129"/>
      <c r="M173" s="50"/>
      <c r="N173" s="9"/>
    </row>
    <row r="174" spans="1:15">
      <c r="A174" s="20">
        <f t="shared" si="6"/>
        <v>63</v>
      </c>
      <c r="C174" s="15" t="str">
        <f>"       where WCLTD=(line "&amp;A229&amp;") and R= (line "&amp;A232&amp;")"</f>
        <v xml:space="preserve">       where WCLTD=(line 92) and R= (line 95)</v>
      </c>
      <c r="D174" s="9"/>
      <c r="E174" s="9"/>
      <c r="F174" s="9"/>
      <c r="H174" s="128"/>
      <c r="I174" s="45"/>
      <c r="J174" s="39"/>
      <c r="K174" s="9"/>
      <c r="L174" s="129"/>
      <c r="N174" s="9"/>
    </row>
    <row r="175" spans="1:15">
      <c r="A175" s="20">
        <f t="shared" si="6"/>
        <v>64</v>
      </c>
      <c r="C175" s="15" t="str">
        <f>"       and FIT, SIT, p, &amp; n are as given in footnote "&amp;A282&amp;"."</f>
        <v xml:space="preserve">       and FIT, SIT, p, &amp; n are as given in footnote F.</v>
      </c>
      <c r="D175" s="9"/>
      <c r="E175" s="9"/>
      <c r="F175" s="9"/>
      <c r="H175" s="128"/>
      <c r="I175" s="45"/>
      <c r="J175" s="39"/>
      <c r="K175" s="9"/>
      <c r="L175" s="129"/>
      <c r="N175" s="9"/>
    </row>
    <row r="176" spans="1:15">
      <c r="A176" s="20">
        <f t="shared" si="6"/>
        <v>65</v>
      </c>
      <c r="C176" s="127" t="str">
        <f>"      1 / (1 - T)  = (T from line "&amp;A172&amp;")"</f>
        <v xml:space="preserve">      1 / (1 - T)  = (T from line 61)</v>
      </c>
      <c r="D176" s="9"/>
      <c r="E176" s="92">
        <f>IF(E172&gt;0,1/(1-E172),0)</f>
        <v>1.3538211602247343</v>
      </c>
      <c r="F176" s="9"/>
      <c r="H176" s="128"/>
      <c r="I176" s="45"/>
      <c r="J176" s="39"/>
      <c r="K176" s="9"/>
      <c r="L176" s="9"/>
      <c r="M176" s="130"/>
      <c r="N176" s="9"/>
    </row>
    <row r="177" spans="1:17">
      <c r="A177" s="20">
        <f t="shared" si="6"/>
        <v>66</v>
      </c>
      <c r="C177" s="15" t="s">
        <v>135</v>
      </c>
      <c r="D177" s="9"/>
      <c r="E177" s="118">
        <v>0</v>
      </c>
      <c r="F177" s="9"/>
      <c r="H177" s="128"/>
      <c r="I177" s="9"/>
      <c r="J177" s="39"/>
      <c r="K177" s="9"/>
      <c r="L177" s="9"/>
      <c r="N177" s="9"/>
    </row>
    <row r="178" spans="1:17">
      <c r="A178" s="20">
        <f t="shared" si="6"/>
        <v>67</v>
      </c>
      <c r="C178" s="131" t="s">
        <v>136</v>
      </c>
      <c r="D178" s="9" t="s">
        <v>137</v>
      </c>
      <c r="E178" s="81">
        <f>+'3 - Cost Support'!M76*'Appendix A'!E176</f>
        <v>216752.18303662087</v>
      </c>
      <c r="F178" s="9"/>
      <c r="G178" s="15" t="s">
        <v>79</v>
      </c>
      <c r="H178" s="132">
        <f>H180</f>
        <v>1</v>
      </c>
      <c r="I178" s="9"/>
      <c r="J178" s="33">
        <f>+E178*H178</f>
        <v>216752.18303662087</v>
      </c>
      <c r="K178" s="9"/>
      <c r="L178" s="9"/>
      <c r="N178" s="9"/>
    </row>
    <row r="179" spans="1:17">
      <c r="A179" s="20">
        <f t="shared" si="6"/>
        <v>68</v>
      </c>
      <c r="C179" s="127" t="s">
        <v>138</v>
      </c>
      <c r="D179" s="133"/>
      <c r="E179" s="134">
        <f>+E173*E184</f>
        <v>4546939.3577172291</v>
      </c>
      <c r="F179" s="9"/>
      <c r="G179" s="9"/>
      <c r="H179" s="38"/>
      <c r="I179" s="9"/>
      <c r="J179" s="134">
        <f>+E173*J184</f>
        <v>4546939.3577172291</v>
      </c>
      <c r="K179" s="9"/>
      <c r="L179" s="9"/>
      <c r="N179" s="9"/>
    </row>
    <row r="180" spans="1:17">
      <c r="A180" s="20">
        <f t="shared" si="6"/>
        <v>69</v>
      </c>
      <c r="C180" s="135" t="s">
        <v>139</v>
      </c>
      <c r="D180" s="136"/>
      <c r="E180" s="99">
        <f>+$E$176*E177</f>
        <v>0</v>
      </c>
      <c r="F180" s="96"/>
      <c r="G180" s="135" t="s">
        <v>79</v>
      </c>
      <c r="H180" s="102">
        <f>+H$97</f>
        <v>1</v>
      </c>
      <c r="I180" s="96"/>
      <c r="J180" s="99">
        <f>+H180*E180</f>
        <v>0</v>
      </c>
      <c r="K180" s="9"/>
      <c r="L180" s="9"/>
      <c r="N180" s="9"/>
    </row>
    <row r="181" spans="1:17">
      <c r="A181" s="20">
        <f>A180+1</f>
        <v>70</v>
      </c>
      <c r="C181" s="137" t="s">
        <v>140</v>
      </c>
      <c r="D181" s="5" t="str">
        <f>"(Sum lines "&amp;A178&amp;" to "&amp;A180&amp;")"</f>
        <v>(Sum lines 67 to 69)</v>
      </c>
      <c r="E181" s="138">
        <f>+E180+E179+E178</f>
        <v>4763691.5407538498</v>
      </c>
      <c r="F181" s="9"/>
      <c r="G181" s="9" t="s">
        <v>22</v>
      </c>
      <c r="H181" s="38" t="s">
        <v>22</v>
      </c>
      <c r="I181" s="9"/>
      <c r="J181" s="138">
        <f>+J180+J179+J178</f>
        <v>4763691.5407538498</v>
      </c>
      <c r="K181" s="9"/>
      <c r="L181" s="139"/>
      <c r="N181" s="9"/>
    </row>
    <row r="182" spans="1:17">
      <c r="A182" s="20"/>
      <c r="D182" s="139"/>
      <c r="E182" s="33"/>
      <c r="F182" s="9"/>
      <c r="G182" s="9"/>
      <c r="H182" s="38"/>
      <c r="I182" s="9"/>
      <c r="J182" s="33"/>
      <c r="K182" s="9"/>
      <c r="L182" s="139"/>
      <c r="N182" s="9"/>
    </row>
    <row r="183" spans="1:17">
      <c r="A183" s="20">
        <f>+A181+1</f>
        <v>71</v>
      </c>
      <c r="C183" s="15" t="s">
        <v>141</v>
      </c>
      <c r="D183" s="89"/>
      <c r="E183" s="39"/>
      <c r="H183" s="128"/>
      <c r="I183" s="9"/>
      <c r="K183" s="9"/>
      <c r="L183" s="139"/>
      <c r="N183" s="9"/>
    </row>
    <row r="184" spans="1:17">
      <c r="A184" s="20">
        <f>+A183+1</f>
        <v>72</v>
      </c>
      <c r="C184" s="137" t="str">
        <f>" [ Rate Base (line "&amp;A117&amp;") * Rate of Return (line "&amp;A232&amp;")]"</f>
        <v xml:space="preserve"> [ Rate Base (line 37) * Rate of Return (line 95)]</v>
      </c>
      <c r="D184" s="15"/>
      <c r="E184" s="33">
        <f>+K232*E117</f>
        <v>17574737.676059742</v>
      </c>
      <c r="F184" s="9"/>
      <c r="G184" s="9" t="s">
        <v>55</v>
      </c>
      <c r="H184" s="128"/>
      <c r="I184" s="9"/>
      <c r="J184" s="33">
        <f>+J117*K232</f>
        <v>17574737.676059742</v>
      </c>
      <c r="K184" s="9"/>
      <c r="L184" s="139"/>
      <c r="N184" s="9"/>
    </row>
    <row r="185" spans="1:17">
      <c r="A185" s="20"/>
      <c r="C185" s="15"/>
      <c r="D185" s="15"/>
      <c r="E185" s="9"/>
      <c r="F185" s="9"/>
      <c r="G185" s="9"/>
      <c r="H185" s="128"/>
      <c r="I185" s="9"/>
      <c r="J185" s="140"/>
      <c r="K185" s="9"/>
      <c r="L185" s="139"/>
      <c r="N185" s="9"/>
    </row>
    <row r="186" spans="1:17">
      <c r="A186" s="20">
        <f>+A184+1</f>
        <v>73</v>
      </c>
      <c r="C186" s="15" t="str">
        <f>"Rev Requirement before Incentive Projects  (sum lines "&amp;A153&amp;", "&amp;A159&amp;", "&amp;A169&amp;", "&amp;A181&amp;", "&amp;A184&amp;")"</f>
        <v>Rev Requirement before Incentive Projects  (sum lines 45, 50, 59, 70, 72)</v>
      </c>
      <c r="D186" s="15"/>
      <c r="E186" s="140">
        <f>+E153+E159+E169+E181+E184</f>
        <v>43381224.74311389</v>
      </c>
      <c r="F186" s="51"/>
      <c r="G186" s="51"/>
      <c r="H186" s="141"/>
      <c r="I186" s="51"/>
      <c r="J186" s="140">
        <f>+J153+J159+J169+J181+J184</f>
        <v>43381224.74311389</v>
      </c>
      <c r="L186" s="139"/>
      <c r="N186" s="9"/>
      <c r="O186" s="50"/>
    </row>
    <row r="187" spans="1:17">
      <c r="A187" s="20"/>
      <c r="C187" s="15"/>
      <c r="D187" s="15"/>
      <c r="E187" s="142"/>
      <c r="F187" s="9"/>
      <c r="G187" s="9"/>
      <c r="H187" s="128"/>
      <c r="I187" s="9"/>
      <c r="J187" s="140"/>
      <c r="K187" s="9"/>
      <c r="L187" s="139"/>
      <c r="M187" s="9"/>
      <c r="N187" s="45"/>
    </row>
    <row r="188" spans="1:17">
      <c r="A188" s="20">
        <f>+A186+1</f>
        <v>74</v>
      </c>
      <c r="C188" s="15" t="s">
        <v>142</v>
      </c>
      <c r="D188" s="15"/>
      <c r="E188" s="93">
        <f>+'4 - Incentives'!I136+'4 - Incentives'!K136-'4 - Incentives'!Q136</f>
        <v>1239275.7347132221</v>
      </c>
      <c r="F188" s="9"/>
      <c r="G188" s="9" t="s">
        <v>41</v>
      </c>
      <c r="H188" s="32">
        <v>1</v>
      </c>
      <c r="I188" s="9"/>
      <c r="J188" s="140">
        <f>+H188*E188</f>
        <v>1239275.7347132221</v>
      </c>
      <c r="K188" s="9"/>
      <c r="L188" s="9"/>
      <c r="M188" s="9"/>
      <c r="N188" s="45"/>
    </row>
    <row r="189" spans="1:17">
      <c r="A189" s="20"/>
      <c r="C189" s="15" t="s">
        <v>143</v>
      </c>
      <c r="D189" s="15"/>
      <c r="E189" s="93"/>
      <c r="F189" s="9"/>
      <c r="G189" s="9"/>
      <c r="H189" s="32"/>
      <c r="I189" s="9"/>
      <c r="J189" s="140"/>
      <c r="K189" s="9"/>
      <c r="L189" s="9"/>
      <c r="M189" s="9"/>
      <c r="N189" s="45"/>
    </row>
    <row r="190" spans="1:17">
      <c r="A190" s="20"/>
      <c r="C190" s="15"/>
      <c r="D190" s="15"/>
      <c r="E190" s="9"/>
      <c r="F190" s="9"/>
      <c r="G190" s="9"/>
      <c r="H190" s="128"/>
      <c r="I190" s="9"/>
      <c r="J190" s="140"/>
      <c r="K190" s="9"/>
      <c r="L190" s="9"/>
      <c r="M190" s="9"/>
      <c r="N190" s="45"/>
    </row>
    <row r="191" spans="1:17" ht="15.6" thickBot="1">
      <c r="A191" s="20">
        <f>+A188+1</f>
        <v>75</v>
      </c>
      <c r="C191" s="15" t="str">
        <f>"Total Revenue Requirement  (sum lines "&amp;A186&amp;" &amp; "&amp;A188&amp;")"</f>
        <v>Total Revenue Requirement  (sum lines 73 &amp; 74)</v>
      </c>
      <c r="D191" s="9"/>
      <c r="E191" s="104">
        <f>+E184+E181+E169+E159+E153+E188</f>
        <v>44620500.477827109</v>
      </c>
      <c r="F191" s="9"/>
      <c r="G191" s="9"/>
      <c r="H191" s="9"/>
      <c r="I191" s="9"/>
      <c r="J191" s="104">
        <f>+J184+J181+J169+J159+J153+J188</f>
        <v>44620500.477827109</v>
      </c>
      <c r="K191" s="9"/>
      <c r="L191" s="143"/>
      <c r="M191" s="9"/>
    </row>
    <row r="192" spans="1:17" ht="15.6" thickTop="1">
      <c r="A192" s="20"/>
      <c r="C192" s="144"/>
      <c r="D192" s="144"/>
      <c r="E192" s="144"/>
      <c r="F192" s="144"/>
      <c r="G192" s="144"/>
      <c r="H192" s="144"/>
      <c r="I192" s="144"/>
      <c r="J192" s="144"/>
      <c r="K192" s="144"/>
      <c r="L192" s="144"/>
      <c r="M192" s="144"/>
      <c r="N192" s="144"/>
      <c r="O192" s="144"/>
      <c r="P192" s="144"/>
      <c r="Q192" s="144"/>
    </row>
    <row r="193" spans="1:17">
      <c r="A193" s="20"/>
      <c r="C193" s="15"/>
      <c r="D193" s="144"/>
      <c r="E193" s="144"/>
      <c r="F193" s="144"/>
      <c r="G193" s="144"/>
      <c r="H193" s="144"/>
      <c r="I193" s="144"/>
      <c r="J193" s="144"/>
      <c r="K193" s="144"/>
      <c r="L193" s="144"/>
      <c r="M193" s="144"/>
      <c r="N193" s="144"/>
      <c r="O193" s="144"/>
      <c r="P193" s="144"/>
      <c r="Q193" s="144"/>
    </row>
    <row r="194" spans="1:17">
      <c r="A194" s="20"/>
      <c r="C194" s="105"/>
      <c r="D194" s="144"/>
      <c r="E194" s="144"/>
      <c r="F194" s="144"/>
      <c r="G194" s="144"/>
      <c r="H194" s="144"/>
      <c r="I194" s="144"/>
      <c r="J194" s="144"/>
      <c r="K194" s="144"/>
      <c r="L194" s="144"/>
      <c r="M194" s="144"/>
      <c r="N194" s="144"/>
      <c r="O194" s="144"/>
      <c r="P194" s="144"/>
      <c r="Q194" s="144"/>
    </row>
    <row r="195" spans="1:17">
      <c r="A195" s="20"/>
      <c r="C195" s="100"/>
      <c r="D195" s="144"/>
      <c r="E195" s="144"/>
      <c r="F195" s="144"/>
      <c r="G195" s="144"/>
      <c r="H195" s="144"/>
      <c r="I195" s="144"/>
      <c r="J195" s="144"/>
      <c r="K195" s="144"/>
      <c r="L195" s="144"/>
      <c r="M195" s="144"/>
      <c r="N195" s="144"/>
      <c r="O195" s="144"/>
      <c r="P195" s="144"/>
      <c r="Q195" s="144"/>
    </row>
    <row r="196" spans="1:17">
      <c r="A196" s="20"/>
      <c r="C196" s="105"/>
      <c r="D196" s="144"/>
      <c r="E196" s="144"/>
      <c r="F196" s="144"/>
      <c r="G196" s="144"/>
      <c r="H196" s="144"/>
      <c r="I196" s="144"/>
      <c r="J196" s="144"/>
      <c r="K196" s="144"/>
      <c r="L196" s="144"/>
      <c r="M196" s="144"/>
      <c r="N196" s="144"/>
      <c r="O196" s="144"/>
      <c r="P196" s="144"/>
      <c r="Q196" s="144"/>
    </row>
    <row r="197" spans="1:17">
      <c r="A197" s="20"/>
      <c r="C197" s="15"/>
      <c r="D197" s="144"/>
      <c r="E197" s="144"/>
      <c r="F197" s="144"/>
      <c r="G197" s="144"/>
      <c r="H197" s="144"/>
      <c r="I197" s="144"/>
      <c r="J197" s="144"/>
      <c r="K197" s="144"/>
      <c r="L197" s="144"/>
      <c r="M197" s="144"/>
      <c r="N197" s="144"/>
      <c r="O197" s="144"/>
      <c r="P197" s="144"/>
      <c r="Q197" s="144"/>
    </row>
    <row r="198" spans="1:17">
      <c r="A198" s="20"/>
      <c r="C198" s="2"/>
      <c r="D198" s="2"/>
      <c r="E198" s="3"/>
      <c r="F198" s="2"/>
      <c r="G198" s="2"/>
      <c r="H198" s="2"/>
      <c r="I198" s="2"/>
      <c r="J198" s="2"/>
      <c r="K198" s="24"/>
      <c r="L198" s="24"/>
      <c r="M198" s="4"/>
    </row>
    <row r="199" spans="1:17">
      <c r="A199" s="20"/>
      <c r="C199" s="2"/>
      <c r="D199" s="2"/>
      <c r="E199" s="3"/>
      <c r="F199" s="2"/>
      <c r="G199" s="2"/>
      <c r="H199" s="2"/>
      <c r="I199" s="2"/>
      <c r="J199" s="4"/>
      <c r="K199" s="4"/>
      <c r="L199" s="4"/>
      <c r="M199" s="4" t="s">
        <v>3</v>
      </c>
    </row>
    <row r="200" spans="1:17">
      <c r="A200" s="20"/>
      <c r="C200" s="2"/>
      <c r="D200" s="2"/>
      <c r="E200" s="3"/>
      <c r="F200" s="2"/>
      <c r="G200" s="2"/>
      <c r="H200" s="2"/>
      <c r="I200" s="2"/>
      <c r="J200" s="7"/>
      <c r="K200" s="7"/>
      <c r="L200" s="7"/>
      <c r="M200" s="7" t="s">
        <v>144</v>
      </c>
    </row>
    <row r="201" spans="1:17">
      <c r="A201" s="20"/>
      <c r="C201" s="2"/>
      <c r="D201" s="2"/>
      <c r="E201" s="3"/>
      <c r="F201" s="2"/>
      <c r="G201" s="2"/>
      <c r="H201" s="2"/>
      <c r="I201" s="2"/>
      <c r="J201" s="2"/>
      <c r="K201" s="15"/>
      <c r="L201" s="7"/>
      <c r="M201" s="7"/>
    </row>
    <row r="202" spans="1:17">
      <c r="A202" s="20"/>
      <c r="C202" s="2"/>
      <c r="D202" s="2"/>
      <c r="E202" s="3"/>
      <c r="F202" s="2"/>
      <c r="G202" s="2"/>
      <c r="H202" s="2"/>
      <c r="I202" s="2"/>
      <c r="J202" s="2"/>
      <c r="K202" s="15"/>
      <c r="L202" s="7"/>
    </row>
    <row r="203" spans="1:17">
      <c r="A203" s="20"/>
      <c r="C203" s="2" t="s">
        <v>20</v>
      </c>
      <c r="D203" s="1"/>
      <c r="E203" s="24" t="s">
        <v>145</v>
      </c>
      <c r="F203" s="2"/>
      <c r="G203" s="2"/>
      <c r="H203" s="2"/>
      <c r="I203" s="2"/>
      <c r="K203" s="15"/>
      <c r="L203" s="15"/>
    </row>
    <row r="204" spans="1:17">
      <c r="A204" s="20"/>
      <c r="C204" s="2"/>
      <c r="D204" s="9"/>
      <c r="E204" s="10" t="s">
        <v>23</v>
      </c>
      <c r="F204" s="9"/>
      <c r="G204" s="9"/>
      <c r="H204" s="9"/>
      <c r="I204" s="2"/>
      <c r="J204" s="2"/>
      <c r="K204" s="15"/>
      <c r="L204" s="15"/>
    </row>
    <row r="205" spans="1:17">
      <c r="A205" s="20"/>
      <c r="C205" s="15"/>
      <c r="D205" s="15"/>
      <c r="E205" s="15"/>
      <c r="F205" s="15"/>
      <c r="G205" s="15"/>
      <c r="H205" s="15"/>
      <c r="I205" s="15"/>
      <c r="J205" s="15"/>
      <c r="K205" s="71"/>
      <c r="L205" s="17"/>
      <c r="M205" s="18" t="str">
        <f>+M136</f>
        <v>For the 12 months ended 12/31/2023</v>
      </c>
    </row>
    <row r="206" spans="1:17" ht="15.6">
      <c r="A206" s="20"/>
      <c r="D206" s="15"/>
      <c r="E206" s="77" t="str">
        <f>E9</f>
        <v>NextEra Energy Transmission New York, Inc.</v>
      </c>
      <c r="F206" s="15"/>
      <c r="G206" s="15"/>
      <c r="H206" s="15"/>
      <c r="I206" s="15"/>
      <c r="J206" s="15"/>
      <c r="K206" s="9"/>
      <c r="M206" s="73"/>
    </row>
    <row r="207" spans="1:17" ht="15.6">
      <c r="A207" s="20"/>
      <c r="C207" s="15"/>
      <c r="E207" s="77" t="s">
        <v>146</v>
      </c>
      <c r="F207" s="15"/>
      <c r="G207" s="15"/>
      <c r="H207" s="15"/>
      <c r="I207" s="15"/>
      <c r="J207" s="15"/>
      <c r="K207" s="9"/>
      <c r="L207" s="9"/>
    </row>
    <row r="208" spans="1:17" ht="15.6">
      <c r="A208" s="20"/>
      <c r="C208" s="80"/>
      <c r="D208" s="15"/>
      <c r="E208" s="15"/>
      <c r="F208" s="15"/>
      <c r="G208" s="15"/>
      <c r="H208" s="15"/>
      <c r="I208" s="15"/>
      <c r="J208" s="15"/>
      <c r="K208" s="9"/>
      <c r="L208" s="9"/>
    </row>
    <row r="209" spans="1:14">
      <c r="A209" s="20">
        <f>+A191+1</f>
        <v>76</v>
      </c>
      <c r="C209" s="2" t="s">
        <v>147</v>
      </c>
      <c r="D209" s="15"/>
      <c r="E209" s="15"/>
      <c r="F209" s="15"/>
      <c r="G209" s="15"/>
      <c r="H209" s="15"/>
      <c r="J209" s="6"/>
      <c r="K209" s="87"/>
      <c r="L209" s="87"/>
      <c r="M209" s="6"/>
    </row>
    <row r="210" spans="1:14">
      <c r="A210" s="20"/>
      <c r="C210" s="2"/>
      <c r="D210" s="15"/>
      <c r="E210" s="15"/>
      <c r="F210" s="15"/>
      <c r="G210" s="15"/>
      <c r="H210" s="15"/>
      <c r="I210" s="15"/>
      <c r="J210" s="87"/>
      <c r="K210" s="87"/>
      <c r="L210" s="87"/>
      <c r="M210" s="145"/>
    </row>
    <row r="211" spans="1:14">
      <c r="A211" s="20">
        <f>+A209+1</f>
        <v>77</v>
      </c>
      <c r="C211" s="2" t="str">
        <f>"Total transmission plant    (line "&amp;A80&amp;", column 3)"</f>
        <v>Total transmission plant    (line 7, column 3)</v>
      </c>
      <c r="D211" s="15"/>
      <c r="E211" s="9"/>
      <c r="F211" s="9"/>
      <c r="G211" s="9"/>
      <c r="H211" s="9"/>
      <c r="I211" s="9"/>
      <c r="J211" s="31">
        <f>+E80</f>
        <v>215080772.25423953</v>
      </c>
      <c r="K211" s="9"/>
      <c r="L211" s="9"/>
      <c r="M211" s="9"/>
    </row>
    <row r="212" spans="1:14">
      <c r="A212" s="20">
        <f>+A211+1</f>
        <v>78</v>
      </c>
      <c r="C212" s="2" t="str">
        <f>"Less transmission plant excluded from ISO rates       (Note "&amp;A298&amp;")"</f>
        <v>Less transmission plant excluded from ISO rates       (Note H)</v>
      </c>
      <c r="D212" s="15"/>
      <c r="E212" s="15" t="s">
        <v>148</v>
      </c>
      <c r="F212" s="15"/>
      <c r="G212" s="15"/>
      <c r="H212" s="15"/>
      <c r="I212" s="15"/>
      <c r="J212" s="31">
        <f>+'3 - Cost Support'!G93</f>
        <v>0</v>
      </c>
      <c r="K212" s="9"/>
    </row>
    <row r="213" spans="1:14" ht="15.6" thickBot="1">
      <c r="A213" s="20">
        <f>+A212+1</f>
        <v>79</v>
      </c>
      <c r="C213" s="146" t="str">
        <f>"Less transmission plant included in OATT Ancillary Services    (Note "&amp;A298&amp;")"</f>
        <v>Less transmission plant included in OATT Ancillary Services    (Note H)</v>
      </c>
      <c r="D213" s="147"/>
      <c r="E213" s="15" t="s">
        <v>148</v>
      </c>
      <c r="F213" s="9"/>
      <c r="G213" s="9"/>
      <c r="H213" s="10"/>
      <c r="I213" s="9"/>
      <c r="J213" s="31">
        <f>+'3 - Cost Support'!H93</f>
        <v>0</v>
      </c>
      <c r="K213" s="9"/>
    </row>
    <row r="214" spans="1:14">
      <c r="A214" s="20">
        <f>+A213+1</f>
        <v>80</v>
      </c>
      <c r="C214" s="2" t="str">
        <f>"Transmission plant included in ISO rates  (line "&amp;A211&amp;" less lines "&amp;A212&amp;" &amp; "&amp;A213&amp;")"</f>
        <v>Transmission plant included in ISO rates  (line 77 less lines 78 &amp; 79)</v>
      </c>
      <c r="D214" s="15"/>
      <c r="E214" s="9"/>
      <c r="F214" s="9"/>
      <c r="G214" s="9"/>
      <c r="H214" s="10"/>
      <c r="I214" s="9"/>
      <c r="J214" s="31">
        <f>SUM(J211:J213)</f>
        <v>215080772.25423953</v>
      </c>
      <c r="K214" s="9"/>
    </row>
    <row r="215" spans="1:14">
      <c r="A215" s="20"/>
      <c r="C215" s="15"/>
      <c r="D215" s="15"/>
      <c r="E215" s="9"/>
      <c r="F215" s="9"/>
      <c r="G215" s="9"/>
      <c r="H215" s="10"/>
      <c r="I215" s="9"/>
      <c r="K215" s="9"/>
    </row>
    <row r="216" spans="1:14">
      <c r="A216" s="20">
        <f>+A214+1</f>
        <v>81</v>
      </c>
      <c r="C216" s="2" t="str">
        <f>"Percentage of transmission plant included in ISO Rates (line "&amp;A214&amp;" divided by line "&amp;A211&amp;") [If line "&amp;A211&amp;" equal zero, enter 1)"</f>
        <v>Percentage of transmission plant included in ISO Rates (line 80 divided by line 77) [If line 77 equal zero, enter 1)</v>
      </c>
      <c r="D216" s="22"/>
      <c r="E216" s="22"/>
      <c r="F216" s="22"/>
      <c r="G216" s="22"/>
      <c r="H216" s="44"/>
      <c r="I216" s="9" t="s">
        <v>149</v>
      </c>
      <c r="J216" s="148">
        <f>IF(J211=0,0,J214/J211)</f>
        <v>1</v>
      </c>
      <c r="K216" s="149"/>
    </row>
    <row r="217" spans="1:14">
      <c r="A217" s="20"/>
      <c r="K217" s="9"/>
    </row>
    <row r="218" spans="1:14">
      <c r="A218" s="20">
        <f>+A216+1</f>
        <v>82</v>
      </c>
      <c r="C218" s="15" t="s">
        <v>150</v>
      </c>
      <c r="D218" s="9"/>
      <c r="F218" s="9"/>
      <c r="G218" s="9"/>
      <c r="H218" s="9"/>
      <c r="I218" s="87"/>
      <c r="J218" s="45"/>
    </row>
    <row r="219" spans="1:14" ht="15.6" thickBot="1">
      <c r="A219" s="20">
        <f t="shared" ref="A219:A224" si="7">+A218+1</f>
        <v>83</v>
      </c>
      <c r="C219" s="15"/>
      <c r="D219" s="150" t="s">
        <v>151</v>
      </c>
      <c r="E219" s="151" t="s">
        <v>152</v>
      </c>
      <c r="F219" s="151" t="s">
        <v>58</v>
      </c>
      <c r="G219" s="9"/>
      <c r="H219" s="151" t="s">
        <v>153</v>
      </c>
      <c r="I219" s="9"/>
      <c r="M219" s="45"/>
    </row>
    <row r="220" spans="1:14">
      <c r="A220" s="20">
        <f t="shared" si="7"/>
        <v>84</v>
      </c>
      <c r="C220" s="15" t="s">
        <v>53</v>
      </c>
      <c r="D220" s="9" t="s">
        <v>154</v>
      </c>
      <c r="E220" s="152">
        <v>0</v>
      </c>
      <c r="F220" s="134">
        <v>0</v>
      </c>
      <c r="G220" s="129"/>
      <c r="H220" s="134">
        <f>+F220*E220</f>
        <v>0</v>
      </c>
      <c r="I220" s="9"/>
      <c r="K220" s="9"/>
      <c r="L220" s="9"/>
      <c r="M220" s="45"/>
      <c r="N220" s="84"/>
    </row>
    <row r="221" spans="1:14">
      <c r="A221" s="20">
        <f t="shared" si="7"/>
        <v>85</v>
      </c>
      <c r="C221" s="15" t="s">
        <v>72</v>
      </c>
      <c r="D221" s="9" t="s">
        <v>155</v>
      </c>
      <c r="E221" s="152">
        <v>0</v>
      </c>
      <c r="F221" s="152">
        <f>+J216</f>
        <v>1</v>
      </c>
      <c r="H221" s="134">
        <f>+F221*E221</f>
        <v>0</v>
      </c>
      <c r="I221" s="9"/>
      <c r="K221" s="9"/>
      <c r="L221" s="9"/>
      <c r="M221" s="45"/>
      <c r="N221" s="84"/>
    </row>
    <row r="222" spans="1:14">
      <c r="A222" s="20">
        <f t="shared" si="7"/>
        <v>86</v>
      </c>
      <c r="C222" s="15" t="s">
        <v>59</v>
      </c>
      <c r="D222" s="9" t="s">
        <v>156</v>
      </c>
      <c r="E222" s="152">
        <v>0</v>
      </c>
      <c r="F222" s="134">
        <v>0</v>
      </c>
      <c r="G222" s="129"/>
      <c r="H222" s="134">
        <f>+F222*E222</f>
        <v>0</v>
      </c>
      <c r="I222" s="9"/>
      <c r="J222" s="10" t="s">
        <v>157</v>
      </c>
      <c r="K222" s="9"/>
      <c r="L222" s="9"/>
      <c r="M222" s="45"/>
      <c r="N222" s="84"/>
    </row>
    <row r="223" spans="1:14" ht="15.6" thickBot="1">
      <c r="A223" s="20">
        <f t="shared" si="7"/>
        <v>87</v>
      </c>
      <c r="C223" s="15" t="s">
        <v>158</v>
      </c>
      <c r="D223" s="9" t="s">
        <v>159</v>
      </c>
      <c r="E223" s="153">
        <v>0</v>
      </c>
      <c r="F223" s="134">
        <v>0</v>
      </c>
      <c r="G223" s="129"/>
      <c r="H223" s="154">
        <f>+F223*E223</f>
        <v>0</v>
      </c>
      <c r="I223" s="9"/>
      <c r="J223" s="25" t="s">
        <v>160</v>
      </c>
      <c r="K223" s="9"/>
      <c r="L223" s="9"/>
      <c r="M223" s="45"/>
    </row>
    <row r="224" spans="1:14">
      <c r="A224" s="20">
        <f t="shared" si="7"/>
        <v>88</v>
      </c>
      <c r="C224" s="15" t="str">
        <f>"  Total  (sum lines "&amp;A220&amp;"-"&amp;A223&amp;") [TP equals 1 if there are no wages &amp; salaries]"</f>
        <v xml:space="preserve">  Total  (sum lines 84-87) [TP equals 1 if there are no wages &amp; salaries]</v>
      </c>
      <c r="D224" s="9"/>
      <c r="E224" s="134">
        <f>SUM(E220:E223)</f>
        <v>0</v>
      </c>
      <c r="F224" s="9"/>
      <c r="G224" s="9"/>
      <c r="H224" s="134">
        <f>SUM(H220:H223)</f>
        <v>0</v>
      </c>
      <c r="I224" s="43" t="s">
        <v>161</v>
      </c>
      <c r="J224" s="92">
        <v>1</v>
      </c>
      <c r="K224" s="10" t="s">
        <v>161</v>
      </c>
      <c r="L224" s="10" t="s">
        <v>162</v>
      </c>
      <c r="M224" s="45"/>
    </row>
    <row r="225" spans="1:14">
      <c r="A225" s="20"/>
      <c r="B225" s="112"/>
      <c r="C225" s="2"/>
      <c r="D225" s="9"/>
      <c r="E225" s="9"/>
      <c r="F225" s="9"/>
      <c r="G225" s="9"/>
      <c r="H225" s="9"/>
      <c r="I225" s="9"/>
      <c r="J225" s="9"/>
      <c r="K225" s="9"/>
      <c r="L225" s="155"/>
      <c r="M225" s="156"/>
    </row>
    <row r="226" spans="1:14">
      <c r="A226" s="20">
        <f>+A224+1</f>
        <v>89</v>
      </c>
      <c r="B226" s="112"/>
      <c r="C226" s="2" t="str">
        <f>"RETURN (R)      (Note "&amp;A302&amp;")"</f>
        <v>RETURN (R)      (Note J)</v>
      </c>
      <c r="D226" s="9"/>
      <c r="E226" s="112"/>
      <c r="F226" s="112"/>
      <c r="G226" s="112"/>
      <c r="H226" s="112"/>
      <c r="I226" s="112"/>
      <c r="J226" s="9"/>
      <c r="K226" s="9"/>
      <c r="L226" s="9"/>
      <c r="M226" s="45"/>
    </row>
    <row r="227" spans="1:14">
      <c r="A227" s="20">
        <f t="shared" ref="A227:A232" si="8">+A226+1</f>
        <v>90</v>
      </c>
      <c r="C227" s="15"/>
      <c r="D227" s="9"/>
      <c r="E227" s="9"/>
      <c r="F227" s="9"/>
      <c r="G227" s="9"/>
      <c r="I227" s="9"/>
      <c r="J227" s="9"/>
      <c r="K227" s="9"/>
      <c r="L227" s="9"/>
      <c r="M227" s="45"/>
    </row>
    <row r="228" spans="1:14" ht="15.6" thickBot="1">
      <c r="A228" s="20">
        <f t="shared" si="8"/>
        <v>91</v>
      </c>
      <c r="C228" s="15"/>
      <c r="D228" s="9"/>
      <c r="F228" s="26" t="s">
        <v>152</v>
      </c>
      <c r="G228" s="26" t="s">
        <v>163</v>
      </c>
      <c r="H228" s="9"/>
      <c r="I228" s="151" t="s">
        <v>164</v>
      </c>
      <c r="J228" s="9"/>
      <c r="K228" s="26" t="s">
        <v>165</v>
      </c>
      <c r="L228" s="9"/>
      <c r="M228" s="45"/>
    </row>
    <row r="229" spans="1:14" ht="15.6">
      <c r="A229" s="20">
        <f t="shared" si="8"/>
        <v>92</v>
      </c>
      <c r="C229" s="2" t="s">
        <v>166</v>
      </c>
      <c r="D229" s="9" t="s">
        <v>167</v>
      </c>
      <c r="F229" s="157">
        <f>+'3 - Cost Support (cont.)'!Q14</f>
        <v>120527237.89538461</v>
      </c>
      <c r="G229" s="158">
        <f>IF(F$232=0,0,F229/F$232)</f>
        <v>0.46999999999999992</v>
      </c>
      <c r="H229" s="70"/>
      <c r="I229" s="159">
        <f>+'3 - Cost Support (cont.)'!P35</f>
        <v>0.04</v>
      </c>
      <c r="K229" s="160">
        <f>+I229*G229</f>
        <v>1.8799999999999997E-2</v>
      </c>
      <c r="L229" s="161" t="s">
        <v>168</v>
      </c>
      <c r="M229" s="82"/>
      <c r="N229" s="84"/>
    </row>
    <row r="230" spans="1:14">
      <c r="A230" s="20">
        <f t="shared" si="8"/>
        <v>93</v>
      </c>
      <c r="C230" s="2" t="s">
        <v>169</v>
      </c>
      <c r="D230" s="9" t="s">
        <v>170</v>
      </c>
      <c r="F230" s="31">
        <f>+'3 - Cost Support (cont.)'!Q16</f>
        <v>0</v>
      </c>
      <c r="G230" s="158">
        <f>IF(F$232=0,0,F230/F$232)</f>
        <v>0</v>
      </c>
      <c r="H230" s="70"/>
      <c r="I230" s="159">
        <f>+'3 - Cost Support (cont.)'!P40</f>
        <v>0</v>
      </c>
      <c r="K230" s="160">
        <f>+I230*G230</f>
        <v>0</v>
      </c>
      <c r="L230" s="9"/>
      <c r="M230" s="45"/>
    </row>
    <row r="231" spans="1:14" ht="15.6" thickBot="1">
      <c r="A231" s="20">
        <f t="shared" si="8"/>
        <v>94</v>
      </c>
      <c r="C231" s="2" t="str">
        <f>"  Common Stock "</f>
        <v xml:space="preserve">  Common Stock </v>
      </c>
      <c r="D231" s="9" t="s">
        <v>171</v>
      </c>
      <c r="F231" s="162">
        <f>+'3 - Cost Support (cont.)'!Q22</f>
        <v>135913693.7969231</v>
      </c>
      <c r="G231" s="158">
        <f>IF(F$232=0,0,F231/F$232)</f>
        <v>0.53</v>
      </c>
      <c r="H231" s="70"/>
      <c r="I231" s="163">
        <v>9.6500000000000002E-2</v>
      </c>
      <c r="K231" s="164">
        <f>+I231*G231</f>
        <v>5.1145000000000003E-2</v>
      </c>
      <c r="L231" s="9"/>
      <c r="M231" s="45"/>
      <c r="N231" s="84"/>
    </row>
    <row r="232" spans="1:14">
      <c r="A232" s="20">
        <f t="shared" si="8"/>
        <v>95</v>
      </c>
      <c r="C232" s="15" t="str">
        <f>"Total  (sum lines "&amp;A229&amp;"-"&amp;A231&amp;")"</f>
        <v>Total  (sum lines 92-94)</v>
      </c>
      <c r="F232" s="134">
        <f>SUM(F229:F231)</f>
        <v>256440931.69230771</v>
      </c>
      <c r="G232" s="9" t="s">
        <v>22</v>
      </c>
      <c r="H232" s="9"/>
      <c r="I232" s="9"/>
      <c r="J232" s="9"/>
      <c r="K232" s="160">
        <f>SUM(K229:K231)</f>
        <v>6.9945000000000007E-2</v>
      </c>
      <c r="L232" s="161" t="s">
        <v>172</v>
      </c>
      <c r="M232" s="45"/>
      <c r="N232" s="45"/>
    </row>
    <row r="233" spans="1:14">
      <c r="F233" s="9"/>
      <c r="G233" s="9"/>
      <c r="H233" s="9"/>
      <c r="I233" s="9"/>
      <c r="L233" s="165"/>
      <c r="M233" s="45"/>
      <c r="N233" s="45"/>
    </row>
    <row r="234" spans="1:14">
      <c r="F234" s="9"/>
      <c r="G234" s="9"/>
      <c r="H234" s="9"/>
      <c r="I234" s="9"/>
      <c r="M234" s="45"/>
    </row>
    <row r="235" spans="1:14" ht="15.6">
      <c r="C235" s="166" t="s">
        <v>173</v>
      </c>
      <c r="F235" s="9"/>
      <c r="G235" s="9"/>
      <c r="H235" s="10" t="s">
        <v>174</v>
      </c>
      <c r="I235" s="10"/>
      <c r="J235" s="48" t="s">
        <v>175</v>
      </c>
      <c r="K235" s="50"/>
      <c r="M235" s="48" t="s">
        <v>176</v>
      </c>
    </row>
    <row r="236" spans="1:14" ht="60">
      <c r="A236" s="49"/>
      <c r="C236" s="50"/>
      <c r="D236" s="50" t="s">
        <v>177</v>
      </c>
      <c r="F236" s="10"/>
      <c r="G236" s="10"/>
      <c r="H236" s="167" t="s">
        <v>178</v>
      </c>
      <c r="J236" s="47" t="s">
        <v>179</v>
      </c>
      <c r="M236" s="50" t="s">
        <v>36</v>
      </c>
      <c r="N236" s="45"/>
    </row>
    <row r="237" spans="1:14">
      <c r="A237" s="49">
        <f>+A232+1</f>
        <v>96</v>
      </c>
      <c r="C237" s="5" t="s">
        <v>180</v>
      </c>
      <c r="D237" s="5" t="str">
        <f>"(Line "&amp;A94&amp;" and Transmission CIACs)"</f>
        <v>(Line 19 and Transmission CIACs)</v>
      </c>
      <c r="F237" s="9"/>
      <c r="G237" s="9"/>
      <c r="H237" s="168">
        <f>+'4 - Incentives'!C119+'4 - Incentives'!C120</f>
        <v>177920517.32962844</v>
      </c>
      <c r="I237" s="9"/>
      <c r="J237" s="168">
        <f>'4 - Incentives'!C118+'4 - Incentives'!C121</f>
        <v>73344586.338392615</v>
      </c>
      <c r="M237" s="66">
        <f>+H237+J237</f>
        <v>251265103.66802105</v>
      </c>
    </row>
    <row r="238" spans="1:14">
      <c r="A238" s="49">
        <f t="shared" ref="A238:A244" si="9">+A237+1</f>
        <v>97</v>
      </c>
      <c r="C238" s="50" t="s">
        <v>181</v>
      </c>
      <c r="D238" s="5" t="str">
        <f>"(Line "&amp;A102&amp;")"</f>
        <v>(Line 26)</v>
      </c>
      <c r="F238" s="9"/>
      <c r="G238" s="9"/>
      <c r="H238" s="168">
        <v>0</v>
      </c>
      <c r="J238" s="159">
        <v>0</v>
      </c>
      <c r="M238" s="66">
        <f>+J102</f>
        <v>0</v>
      </c>
    </row>
    <row r="239" spans="1:14">
      <c r="A239" s="49">
        <f t="shared" si="9"/>
        <v>98</v>
      </c>
      <c r="C239" s="169" t="s">
        <v>182</v>
      </c>
      <c r="D239" s="5" t="str">
        <f>"(Line "&amp;A106&amp;")"</f>
        <v>(Line 29)</v>
      </c>
      <c r="F239" s="9"/>
      <c r="G239" s="9"/>
      <c r="H239" s="168">
        <v>0</v>
      </c>
      <c r="I239" s="9"/>
      <c r="M239" s="66">
        <f>+J106</f>
        <v>0</v>
      </c>
    </row>
    <row r="240" spans="1:14">
      <c r="A240" s="49">
        <f t="shared" si="9"/>
        <v>99</v>
      </c>
      <c r="C240" s="169" t="s">
        <v>183</v>
      </c>
      <c r="D240" s="5" t="str">
        <f>"(Line "&amp;A105&amp;")"</f>
        <v>(Line 28)</v>
      </c>
      <c r="F240" s="9"/>
      <c r="G240" s="9"/>
      <c r="H240" s="168">
        <v>0</v>
      </c>
      <c r="I240" s="9"/>
      <c r="M240" s="66">
        <f>+H240</f>
        <v>0</v>
      </c>
    </row>
    <row r="241" spans="1:13" ht="27.75" customHeight="1">
      <c r="A241" s="49">
        <f t="shared" si="9"/>
        <v>100</v>
      </c>
      <c r="C241" s="170" t="str">
        <f>+C235</f>
        <v>Development of Base Carrying charge and Summary of Incentive and Non-Incentive Investments</v>
      </c>
      <c r="F241" s="9"/>
      <c r="G241" s="9"/>
      <c r="H241" s="171">
        <v>0</v>
      </c>
      <c r="I241" s="9"/>
      <c r="J241" s="171">
        <v>0</v>
      </c>
      <c r="K241" s="172"/>
      <c r="L241" s="172"/>
      <c r="M241" s="66">
        <f>SUM(M237:M240)</f>
        <v>251265103.66802105</v>
      </c>
    </row>
    <row r="242" spans="1:13">
      <c r="A242" s="49">
        <f t="shared" si="9"/>
        <v>101</v>
      </c>
      <c r="C242" s="5" t="s">
        <v>184</v>
      </c>
      <c r="D242" s="5" t="s">
        <v>185</v>
      </c>
      <c r="F242" s="9"/>
      <c r="G242" s="9"/>
      <c r="H242" s="9"/>
      <c r="I242" s="9"/>
      <c r="M242" s="66">
        <f>+J181+J184</f>
        <v>22338429.21681359</v>
      </c>
    </row>
    <row r="243" spans="1:13">
      <c r="A243" s="49">
        <f t="shared" si="9"/>
        <v>102</v>
      </c>
      <c r="C243" s="5" t="str">
        <f>+C19</f>
        <v>Total Revenue Credits</v>
      </c>
      <c r="D243" s="173" t="s">
        <v>186</v>
      </c>
      <c r="F243" s="9"/>
      <c r="G243" s="9"/>
      <c r="H243" s="9"/>
      <c r="I243" s="9"/>
      <c r="M243" s="66">
        <f>+J19</f>
        <v>0</v>
      </c>
    </row>
    <row r="244" spans="1:13">
      <c r="A244" s="49">
        <f t="shared" si="9"/>
        <v>103</v>
      </c>
      <c r="C244" s="50" t="s">
        <v>187</v>
      </c>
      <c r="D244" s="50" t="s">
        <v>188</v>
      </c>
      <c r="F244" s="9"/>
      <c r="G244" s="9"/>
      <c r="H244" s="9"/>
      <c r="I244" s="9"/>
      <c r="M244" s="91">
        <f>IF(M241=0,0,(M242-M243)/M241)</f>
        <v>8.8903826638528319E-2</v>
      </c>
    </row>
    <row r="245" spans="1:13">
      <c r="C245" s="43"/>
      <c r="D245" s="43"/>
      <c r="E245" s="43"/>
      <c r="F245" s="9"/>
      <c r="G245" s="9"/>
      <c r="H245" s="74"/>
      <c r="I245" s="9"/>
      <c r="J245" s="174"/>
      <c r="M245" s="175"/>
    </row>
    <row r="246" spans="1:13">
      <c r="E246" s="91"/>
      <c r="F246" s="9"/>
      <c r="G246" s="9"/>
      <c r="H246" s="81"/>
      <c r="I246" s="9"/>
      <c r="M246" s="45"/>
    </row>
    <row r="247" spans="1:13">
      <c r="F247" s="9"/>
      <c r="G247" s="9"/>
      <c r="H247" s="9"/>
      <c r="I247" s="9"/>
      <c r="M247" s="45"/>
    </row>
    <row r="248" spans="1:13">
      <c r="A248" s="20"/>
      <c r="C248" s="15"/>
      <c r="E248" s="15"/>
      <c r="F248" s="15"/>
      <c r="G248" s="15"/>
      <c r="H248" s="15"/>
      <c r="I248" s="15"/>
      <c r="J248" s="15"/>
      <c r="K248" s="15"/>
      <c r="L248" s="9"/>
      <c r="M248" s="45"/>
    </row>
    <row r="249" spans="1:13" ht="17.399999999999999">
      <c r="A249" s="176"/>
      <c r="B249" s="176"/>
      <c r="C249" s="176"/>
      <c r="D249" s="144"/>
      <c r="E249" s="144"/>
      <c r="F249" s="144"/>
      <c r="G249" s="144"/>
      <c r="H249" s="144"/>
      <c r="I249" s="144"/>
      <c r="J249" s="144"/>
      <c r="K249" s="144"/>
    </row>
    <row r="250" spans="1:13">
      <c r="C250" s="2"/>
      <c r="D250" s="2"/>
      <c r="E250" s="3"/>
      <c r="F250" s="2"/>
      <c r="G250" s="2"/>
      <c r="H250" s="2"/>
      <c r="I250" s="2"/>
      <c r="J250" s="2"/>
      <c r="K250" s="24"/>
      <c r="L250" s="24"/>
      <c r="M250" s="4"/>
    </row>
    <row r="251" spans="1:13">
      <c r="C251" s="2"/>
      <c r="D251" s="2"/>
      <c r="E251" s="3"/>
      <c r="F251" s="2"/>
      <c r="G251" s="2"/>
      <c r="H251" s="2"/>
      <c r="I251" s="2"/>
      <c r="J251" s="4"/>
      <c r="K251" s="4"/>
      <c r="L251" s="4"/>
      <c r="M251" s="4"/>
    </row>
    <row r="252" spans="1:13">
      <c r="C252" s="2"/>
      <c r="D252" s="2"/>
      <c r="E252" s="3"/>
      <c r="F252" s="2"/>
      <c r="G252" s="2"/>
      <c r="H252" s="2"/>
      <c r="I252" s="2"/>
      <c r="J252" s="7"/>
      <c r="K252" s="7"/>
      <c r="L252" s="7"/>
      <c r="M252" s="4" t="s">
        <v>3</v>
      </c>
    </row>
    <row r="253" spans="1:13">
      <c r="C253" s="2"/>
      <c r="D253" s="2"/>
      <c r="E253" s="3"/>
      <c r="F253" s="2"/>
      <c r="G253" s="2"/>
      <c r="H253" s="2"/>
      <c r="I253" s="2"/>
      <c r="J253" s="2"/>
      <c r="K253" s="15"/>
      <c r="L253" s="7"/>
      <c r="M253" s="7" t="s">
        <v>189</v>
      </c>
    </row>
    <row r="254" spans="1:13" ht="15.6">
      <c r="C254" s="2"/>
      <c r="D254" s="80" t="s">
        <v>190</v>
      </c>
      <c r="F254" s="2"/>
      <c r="G254" s="2"/>
      <c r="H254" s="2"/>
      <c r="I254" s="2"/>
      <c r="J254" s="2"/>
      <c r="K254" s="15"/>
      <c r="L254" s="7"/>
    </row>
    <row r="255" spans="1:13">
      <c r="C255" s="2" t="s">
        <v>20</v>
      </c>
      <c r="D255" s="1"/>
      <c r="E255" s="1" t="s">
        <v>21</v>
      </c>
      <c r="F255" s="2"/>
      <c r="G255" s="2"/>
      <c r="H255" s="2"/>
      <c r="I255" s="2"/>
      <c r="K255" s="15"/>
      <c r="L255" s="15"/>
    </row>
    <row r="256" spans="1:13">
      <c r="C256" s="2"/>
      <c r="D256" s="9" t="s">
        <v>22</v>
      </c>
      <c r="E256" s="9" t="s">
        <v>23</v>
      </c>
      <c r="F256" s="9"/>
      <c r="G256" s="9"/>
      <c r="H256" s="9"/>
      <c r="I256" s="2"/>
      <c r="J256" s="2"/>
      <c r="K256" s="15"/>
      <c r="L256" s="15"/>
    </row>
    <row r="257" spans="1:14">
      <c r="A257" s="20"/>
      <c r="C257" s="15"/>
      <c r="D257" s="15"/>
      <c r="E257" s="15"/>
      <c r="F257" s="15"/>
      <c r="G257" s="15"/>
      <c r="H257" s="15"/>
      <c r="I257" s="15"/>
      <c r="J257" s="15"/>
      <c r="K257" s="71"/>
      <c r="L257" s="17"/>
      <c r="M257" s="18" t="str">
        <f>+M205</f>
        <v>For the 12 months ended 12/31/2023</v>
      </c>
    </row>
    <row r="258" spans="1:14" ht="15.6">
      <c r="A258" s="20"/>
      <c r="D258" s="15"/>
      <c r="E258" s="75" t="str">
        <f>E9</f>
        <v>NextEra Energy Transmission New York, Inc.</v>
      </c>
      <c r="F258" s="15"/>
      <c r="G258" s="15"/>
      <c r="H258" s="15"/>
      <c r="I258" s="15"/>
      <c r="J258" s="15"/>
      <c r="K258" s="9"/>
      <c r="M258" s="73"/>
    </row>
    <row r="259" spans="1:14">
      <c r="A259" s="20"/>
      <c r="C259" s="15"/>
      <c r="D259" s="24"/>
      <c r="F259" s="15"/>
      <c r="G259" s="15"/>
      <c r="H259" s="15"/>
      <c r="I259" s="15"/>
      <c r="J259" s="15"/>
      <c r="K259" s="9"/>
      <c r="L259" s="9"/>
    </row>
    <row r="260" spans="1:14" ht="15.6">
      <c r="A260" s="20"/>
      <c r="B260" s="112"/>
      <c r="C260" s="177"/>
      <c r="D260" s="24"/>
      <c r="E260" s="9"/>
      <c r="F260" s="9"/>
      <c r="G260" s="9"/>
      <c r="H260" s="9"/>
      <c r="I260" s="2"/>
      <c r="J260" s="1"/>
      <c r="K260" s="178"/>
      <c r="L260" s="179"/>
      <c r="M260" s="180"/>
    </row>
    <row r="261" spans="1:14" s="176" customFormat="1" ht="18">
      <c r="A261" s="181"/>
      <c r="B261" s="182"/>
      <c r="C261" s="183"/>
      <c r="F261" s="184"/>
      <c r="G261" s="184"/>
      <c r="H261" s="184"/>
      <c r="I261" s="185"/>
      <c r="J261" s="186"/>
      <c r="K261" s="187"/>
      <c r="L261" s="188"/>
      <c r="M261" s="189"/>
    </row>
    <row r="262" spans="1:14" s="176" customFormat="1" ht="18">
      <c r="A262" s="181"/>
      <c r="B262" s="182"/>
      <c r="C262" s="183"/>
      <c r="D262" s="190"/>
      <c r="E262" s="184"/>
      <c r="F262" s="184"/>
      <c r="G262" s="184"/>
      <c r="H262" s="184"/>
      <c r="I262" s="185"/>
      <c r="J262" s="186"/>
      <c r="K262" s="187"/>
      <c r="L262" s="188"/>
      <c r="M262" s="189"/>
    </row>
    <row r="263" spans="1:14" s="176" customFormat="1" ht="18">
      <c r="A263" s="181"/>
      <c r="B263" s="182"/>
      <c r="C263" s="182" t="s">
        <v>191</v>
      </c>
      <c r="D263" s="181"/>
      <c r="E263" s="191"/>
      <c r="F263" s="191"/>
      <c r="G263" s="191"/>
      <c r="H263" s="191"/>
      <c r="I263" s="182"/>
      <c r="J263" s="191"/>
      <c r="K263" s="182"/>
      <c r="L263" s="191"/>
      <c r="M263" s="189"/>
    </row>
    <row r="264" spans="1:14" s="176" customFormat="1" ht="18">
      <c r="A264" s="181"/>
      <c r="B264" s="182"/>
      <c r="C264" s="182" t="s">
        <v>192</v>
      </c>
      <c r="D264" s="181"/>
      <c r="E264" s="191"/>
      <c r="F264" s="191"/>
      <c r="G264" s="191"/>
      <c r="H264" s="191"/>
      <c r="I264" s="182"/>
      <c r="J264" s="191"/>
      <c r="K264" s="182"/>
      <c r="L264" s="191"/>
      <c r="M264" s="189"/>
    </row>
    <row r="265" spans="1:14" s="176" customFormat="1" ht="18">
      <c r="A265" s="181" t="s">
        <v>193</v>
      </c>
      <c r="B265" s="182"/>
      <c r="C265" s="182"/>
      <c r="D265" s="182"/>
      <c r="E265" s="191"/>
      <c r="F265" s="191"/>
      <c r="G265" s="191"/>
      <c r="H265" s="191"/>
      <c r="I265" s="182"/>
      <c r="J265" s="191"/>
      <c r="K265" s="182"/>
      <c r="L265" s="191"/>
      <c r="M265" s="189"/>
    </row>
    <row r="266" spans="1:14" s="176" customFormat="1" ht="18.600000000000001" thickBot="1">
      <c r="A266" s="192" t="s">
        <v>194</v>
      </c>
      <c r="B266" s="182"/>
      <c r="C266" s="182"/>
      <c r="D266" s="182"/>
      <c r="E266" s="191"/>
      <c r="F266" s="191"/>
      <c r="G266" s="191"/>
      <c r="H266" s="191"/>
      <c r="I266" s="182"/>
      <c r="J266" s="191"/>
      <c r="K266" s="182"/>
      <c r="L266" s="191"/>
      <c r="M266" s="189"/>
    </row>
    <row r="267" spans="1:14" s="176" customFormat="1" ht="18">
      <c r="A267" s="193" t="s">
        <v>195</v>
      </c>
      <c r="B267" s="194"/>
      <c r="C267" s="194" t="s">
        <v>196</v>
      </c>
      <c r="D267" s="194"/>
      <c r="E267" s="194"/>
      <c r="F267" s="194"/>
      <c r="G267" s="194"/>
      <c r="H267" s="194"/>
      <c r="I267" s="194"/>
      <c r="J267" s="194"/>
      <c r="K267" s="194"/>
      <c r="L267" s="194"/>
      <c r="M267" s="193"/>
    </row>
    <row r="268" spans="1:14" s="176" customFormat="1" ht="18">
      <c r="A268" s="193"/>
      <c r="B268" s="194"/>
      <c r="C268" s="194" t="s">
        <v>197</v>
      </c>
      <c r="D268" s="194"/>
      <c r="E268" s="194"/>
      <c r="F268" s="194"/>
      <c r="G268" s="194"/>
      <c r="H268" s="194"/>
      <c r="I268" s="194"/>
      <c r="J268" s="194"/>
      <c r="K268" s="194"/>
      <c r="L268" s="194"/>
      <c r="M268" s="193"/>
    </row>
    <row r="269" spans="1:14" s="176" customFormat="1" ht="18">
      <c r="A269" s="193"/>
      <c r="B269" s="194"/>
      <c r="C269" s="194" t="str">
        <f>"   to utilize amortization of tax credits against taxable income as discussed in Note "&amp;A282&amp;".  Account 281 is not allocated."</f>
        <v xml:space="preserve">   to utilize amortization of tax credits against taxable income as discussed in Note F.  Account 281 is not allocated.</v>
      </c>
      <c r="D269" s="194"/>
      <c r="E269" s="194"/>
      <c r="F269" s="194"/>
      <c r="G269" s="194"/>
      <c r="H269" s="194"/>
      <c r="I269" s="194"/>
      <c r="J269" s="194"/>
      <c r="K269" s="194"/>
      <c r="L269" s="194"/>
      <c r="M269" s="193"/>
    </row>
    <row r="270" spans="1:14" s="176" customFormat="1" ht="18">
      <c r="A270" s="193" t="s">
        <v>198</v>
      </c>
      <c r="B270" s="194"/>
      <c r="C270" s="194" t="s">
        <v>199</v>
      </c>
      <c r="D270" s="194"/>
      <c r="E270" s="194"/>
      <c r="F270" s="194"/>
      <c r="G270" s="194"/>
      <c r="H270" s="194"/>
      <c r="I270" s="194"/>
      <c r="J270" s="194"/>
      <c r="K270" s="194"/>
      <c r="L270" s="194"/>
      <c r="M270" s="193"/>
    </row>
    <row r="271" spans="1:14" s="176" customFormat="1" ht="18">
      <c r="A271" s="193" t="s">
        <v>200</v>
      </c>
      <c r="B271" s="194"/>
      <c r="C271" s="194" t="s">
        <v>201</v>
      </c>
      <c r="D271" s="194"/>
      <c r="E271" s="194"/>
      <c r="F271" s="194"/>
      <c r="G271" s="194"/>
      <c r="H271" s="194"/>
      <c r="I271" s="194"/>
      <c r="J271" s="194"/>
      <c r="K271" s="194"/>
      <c r="L271" s="194"/>
      <c r="M271" s="193"/>
    </row>
    <row r="272" spans="1:14" s="176" customFormat="1" ht="18">
      <c r="A272" s="193"/>
      <c r="B272" s="194"/>
      <c r="C272" s="194" t="s">
        <v>202</v>
      </c>
      <c r="D272" s="194"/>
      <c r="E272" s="194"/>
      <c r="F272" s="194"/>
      <c r="G272" s="194"/>
      <c r="H272" s="194"/>
      <c r="I272" s="194"/>
      <c r="J272" s="194"/>
      <c r="K272" s="194"/>
      <c r="L272" s="194"/>
      <c r="M272" s="193"/>
      <c r="N272" s="1047"/>
    </row>
    <row r="273" spans="1:14" s="176" customFormat="1" ht="18">
      <c r="A273" s="193" t="s">
        <v>203</v>
      </c>
      <c r="B273" s="194"/>
      <c r="C273" s="195" t="s">
        <v>204</v>
      </c>
      <c r="D273" s="194"/>
      <c r="E273" s="194"/>
      <c r="F273" s="194"/>
      <c r="G273" s="194"/>
      <c r="H273" s="194"/>
      <c r="I273" s="194"/>
      <c r="J273" s="194"/>
      <c r="K273" s="195"/>
      <c r="L273" s="194"/>
      <c r="M273" s="193"/>
      <c r="N273" s="1048"/>
    </row>
    <row r="274" spans="1:14" s="176" customFormat="1" ht="18">
      <c r="A274" s="193"/>
      <c r="B274" s="194"/>
      <c r="C274" s="195" t="s">
        <v>205</v>
      </c>
      <c r="D274" s="194"/>
      <c r="E274" s="194"/>
      <c r="F274" s="194"/>
      <c r="G274" s="194"/>
      <c r="H274" s="194"/>
      <c r="I274" s="194"/>
      <c r="J274" s="194"/>
      <c r="K274" s="195"/>
      <c r="L274" s="194"/>
      <c r="M274" s="193"/>
      <c r="N274" s="1048"/>
    </row>
    <row r="275" spans="1:14" s="176" customFormat="1" ht="18">
      <c r="A275" s="193"/>
      <c r="B275" s="194"/>
      <c r="C275" s="195" t="s">
        <v>206</v>
      </c>
      <c r="D275" s="194"/>
      <c r="E275" s="194"/>
      <c r="F275" s="194"/>
      <c r="G275" s="194"/>
      <c r="H275" s="194"/>
      <c r="I275" s="194"/>
      <c r="J275" s="194"/>
      <c r="K275" s="194"/>
      <c r="L275" s="194"/>
      <c r="M275" s="193"/>
      <c r="N275" s="1049"/>
    </row>
    <row r="276" spans="1:14" s="176" customFormat="1" ht="18">
      <c r="A276" s="193"/>
      <c r="B276" s="194"/>
      <c r="C276" s="195" t="s">
        <v>207</v>
      </c>
      <c r="D276" s="194"/>
      <c r="E276" s="194"/>
      <c r="F276" s="194"/>
      <c r="G276" s="194"/>
      <c r="H276" s="194"/>
      <c r="I276" s="194"/>
      <c r="J276" s="194"/>
      <c r="K276" s="196"/>
      <c r="L276" s="194"/>
      <c r="M276" s="193"/>
      <c r="N276" s="1048"/>
    </row>
    <row r="277" spans="1:14" s="176" customFormat="1" ht="18">
      <c r="A277" s="193"/>
      <c r="B277" s="194"/>
      <c r="C277" s="195" t="s">
        <v>208</v>
      </c>
      <c r="D277" s="194"/>
      <c r="E277" s="194"/>
      <c r="F277" s="194"/>
      <c r="G277" s="194"/>
      <c r="H277" s="194"/>
      <c r="I277" s="194"/>
      <c r="J277" s="194"/>
      <c r="K277" s="194"/>
      <c r="L277" s="194"/>
      <c r="M277" s="193"/>
      <c r="N277" s="1048"/>
    </row>
    <row r="278" spans="1:14" s="176" customFormat="1" ht="18">
      <c r="A278" s="193"/>
      <c r="B278" s="194"/>
      <c r="C278" s="195" t="s">
        <v>209</v>
      </c>
      <c r="D278" s="194"/>
      <c r="E278" s="194"/>
      <c r="F278" s="194"/>
      <c r="G278" s="194"/>
      <c r="H278" s="194"/>
      <c r="I278" s="194"/>
      <c r="J278" s="194"/>
      <c r="K278" s="194"/>
      <c r="L278" s="194"/>
      <c r="M278" s="193"/>
      <c r="N278" s="1048"/>
    </row>
    <row r="279" spans="1:14" s="176" customFormat="1" ht="18">
      <c r="A279" s="193" t="s">
        <v>210</v>
      </c>
      <c r="B279" s="194"/>
      <c r="C279" s="194" t="s">
        <v>211</v>
      </c>
      <c r="D279" s="194"/>
      <c r="E279" s="194"/>
      <c r="F279" s="194"/>
      <c r="G279" s="194"/>
      <c r="H279" s="194"/>
      <c r="I279" s="194"/>
      <c r="J279" s="194"/>
      <c r="K279" s="194"/>
      <c r="L279" s="194"/>
      <c r="M279" s="193"/>
    </row>
    <row r="280" spans="1:14" s="176" customFormat="1" ht="18">
      <c r="A280" s="193"/>
      <c r="B280" s="194"/>
      <c r="C280" s="194" t="s">
        <v>212</v>
      </c>
      <c r="D280" s="194"/>
      <c r="E280" s="194"/>
      <c r="F280" s="194"/>
      <c r="G280" s="194"/>
      <c r="H280" s="194"/>
      <c r="I280" s="194"/>
      <c r="J280" s="194"/>
      <c r="K280" s="194"/>
      <c r="L280" s="194"/>
      <c r="M280" s="193"/>
    </row>
    <row r="281" spans="1:14" s="176" customFormat="1" ht="18">
      <c r="A281" s="193"/>
      <c r="B281" s="194"/>
      <c r="C281" s="194" t="s">
        <v>213</v>
      </c>
      <c r="D281" s="194"/>
      <c r="E281" s="194"/>
      <c r="F281" s="194"/>
      <c r="G281" s="194"/>
      <c r="H281" s="194"/>
      <c r="I281" s="194"/>
      <c r="J281" s="194"/>
      <c r="K281" s="194"/>
      <c r="L281" s="194"/>
      <c r="M281" s="193"/>
    </row>
    <row r="282" spans="1:14" s="176" customFormat="1" ht="18">
      <c r="A282" s="193" t="s">
        <v>214</v>
      </c>
      <c r="B282" s="194"/>
      <c r="C282" s="194" t="s">
        <v>215</v>
      </c>
      <c r="D282" s="194"/>
      <c r="E282" s="194"/>
      <c r="F282" s="194"/>
      <c r="G282" s="194"/>
      <c r="H282" s="194"/>
      <c r="I282" s="194"/>
      <c r="J282" s="194"/>
      <c r="K282" s="194"/>
      <c r="L282" s="194"/>
      <c r="M282" s="193"/>
    </row>
    <row r="283" spans="1:14" s="176" customFormat="1" ht="18">
      <c r="A283" s="193"/>
      <c r="B283" s="194"/>
      <c r="C283" s="194" t="s">
        <v>216</v>
      </c>
      <c r="D283" s="194"/>
      <c r="E283" s="194"/>
      <c r="F283" s="194"/>
      <c r="G283" s="194"/>
      <c r="H283" s="194"/>
      <c r="I283" s="194"/>
      <c r="J283" s="194"/>
      <c r="K283" s="194"/>
      <c r="L283" s="194"/>
      <c r="M283" s="193"/>
    </row>
    <row r="284" spans="1:14" s="176" customFormat="1" ht="18">
      <c r="A284" s="193"/>
      <c r="B284" s="194"/>
      <c r="C284" s="194" t="s">
        <v>217</v>
      </c>
      <c r="D284" s="194"/>
      <c r="E284" s="194"/>
      <c r="F284" s="194"/>
      <c r="G284" s="194"/>
      <c r="H284" s="197"/>
      <c r="I284" s="194"/>
      <c r="J284" s="194"/>
      <c r="K284" s="194"/>
      <c r="L284" s="194"/>
      <c r="M284" s="193"/>
    </row>
    <row r="285" spans="1:14" s="176" customFormat="1" ht="18">
      <c r="A285" s="193"/>
      <c r="B285" s="194"/>
      <c r="C285" s="194" t="s">
        <v>218</v>
      </c>
      <c r="D285" s="194"/>
      <c r="E285" s="194"/>
      <c r="F285" s="194"/>
      <c r="G285" s="194"/>
      <c r="I285" s="194"/>
      <c r="J285" s="194"/>
      <c r="K285" s="194"/>
      <c r="L285" s="194"/>
      <c r="M285" s="193"/>
    </row>
    <row r="286" spans="1:14" s="176" customFormat="1" ht="18">
      <c r="A286" s="193"/>
      <c r="B286" s="194"/>
      <c r="C286" s="197" t="s">
        <v>219</v>
      </c>
      <c r="D286" s="194"/>
      <c r="E286" s="194"/>
      <c r="F286" s="194"/>
      <c r="G286" s="194"/>
      <c r="H286" s="197"/>
      <c r="I286" s="194"/>
      <c r="J286" s="194"/>
      <c r="K286" s="194"/>
      <c r="L286" s="194"/>
      <c r="M286" s="193"/>
    </row>
    <row r="287" spans="1:14" s="176" customFormat="1" ht="18">
      <c r="A287" s="193"/>
      <c r="B287" s="194"/>
      <c r="C287" s="194" t="s">
        <v>220</v>
      </c>
      <c r="D287" s="194"/>
      <c r="E287" s="194"/>
      <c r="F287" s="194"/>
      <c r="G287" s="194"/>
      <c r="H287" s="197"/>
      <c r="I287" s="194"/>
      <c r="J287" s="194"/>
      <c r="K287" s="194"/>
      <c r="L287" s="194"/>
      <c r="M287" s="193"/>
    </row>
    <row r="288" spans="1:14" s="176" customFormat="1" ht="18">
      <c r="A288" s="193"/>
      <c r="B288" s="194"/>
      <c r="C288" s="194"/>
      <c r="D288" s="194"/>
      <c r="E288" s="196"/>
      <c r="F288" s="196"/>
      <c r="G288" s="196"/>
      <c r="H288" s="196"/>
      <c r="I288" s="196"/>
      <c r="J288" s="194"/>
      <c r="K288" s="196"/>
      <c r="L288" s="198"/>
      <c r="M288" s="199"/>
    </row>
    <row r="289" spans="1:254" s="176" customFormat="1" ht="18">
      <c r="A289" s="193" t="s">
        <v>22</v>
      </c>
      <c r="B289" s="194"/>
      <c r="C289" s="194" t="s">
        <v>221</v>
      </c>
      <c r="D289" s="194" t="s">
        <v>222</v>
      </c>
      <c r="E289" s="200">
        <v>0.21</v>
      </c>
      <c r="F289" s="194"/>
      <c r="G289" s="194"/>
      <c r="H289" s="194"/>
      <c r="I289" s="194"/>
      <c r="J289" s="194"/>
      <c r="K289" s="194"/>
      <c r="L289" s="194"/>
      <c r="M289" s="193"/>
    </row>
    <row r="290" spans="1:254" s="176" customFormat="1" ht="18">
      <c r="A290" s="193"/>
      <c r="B290" s="194"/>
      <c r="C290" s="194"/>
      <c r="D290" s="194" t="s">
        <v>223</v>
      </c>
      <c r="E290" s="201">
        <f>'3 - Cost Support'!M73</f>
        <v>6.5000000000000002E-2</v>
      </c>
      <c r="F290" s="194" t="s">
        <v>224</v>
      </c>
      <c r="G290" s="194"/>
      <c r="H290" s="194"/>
      <c r="I290" s="194"/>
      <c r="J290" s="194"/>
      <c r="K290" s="194"/>
      <c r="L290" s="194"/>
      <c r="M290" s="202"/>
      <c r="N290" s="203"/>
    </row>
    <row r="291" spans="1:254" s="176" customFormat="1" ht="18">
      <c r="A291" s="193"/>
      <c r="B291" s="194"/>
      <c r="C291" s="194"/>
      <c r="D291" s="194" t="s">
        <v>225</v>
      </c>
      <c r="E291" s="204">
        <v>0</v>
      </c>
      <c r="F291" s="194" t="s">
        <v>226</v>
      </c>
      <c r="G291" s="194"/>
      <c r="H291" s="194"/>
      <c r="I291" s="194"/>
      <c r="J291" s="194"/>
      <c r="K291" s="194"/>
      <c r="L291" s="194"/>
      <c r="M291" s="193"/>
    </row>
    <row r="292" spans="1:254" s="176" customFormat="1" ht="18">
      <c r="A292" s="193"/>
      <c r="B292" s="194"/>
      <c r="C292" s="195" t="s">
        <v>227</v>
      </c>
      <c r="D292" s="194"/>
      <c r="E292" s="205"/>
      <c r="F292" s="194"/>
      <c r="G292" s="194"/>
      <c r="H292" s="194"/>
      <c r="I292" s="194"/>
      <c r="J292" s="194"/>
      <c r="K292" s="194"/>
      <c r="L292" s="194"/>
      <c r="M292" s="193"/>
    </row>
    <row r="293" spans="1:254" s="176" customFormat="1" ht="18">
      <c r="A293" s="193"/>
      <c r="B293" s="194"/>
      <c r="C293" s="194" t="s">
        <v>228</v>
      </c>
      <c r="D293" s="194"/>
      <c r="E293" s="205"/>
      <c r="F293" s="194"/>
      <c r="G293" s="194"/>
      <c r="H293" s="194"/>
      <c r="I293" s="194"/>
      <c r="J293" s="194"/>
      <c r="K293" s="194"/>
      <c r="L293" s="194"/>
      <c r="M293" s="193"/>
    </row>
    <row r="294" spans="1:254" s="176" customFormat="1" ht="18">
      <c r="A294" s="193"/>
      <c r="B294" s="194"/>
      <c r="C294" s="194" t="s">
        <v>229</v>
      </c>
      <c r="D294" s="194"/>
      <c r="E294" s="205"/>
      <c r="F294" s="194"/>
      <c r="G294" s="194"/>
      <c r="H294" s="194"/>
      <c r="I294" s="194"/>
      <c r="J294" s="194"/>
      <c r="K294" s="194"/>
      <c r="L294" s="194"/>
      <c r="M294" s="193"/>
    </row>
    <row r="295" spans="1:254" s="176" customFormat="1" ht="18" customHeight="1">
      <c r="A295" s="193" t="s">
        <v>230</v>
      </c>
      <c r="B295" s="194"/>
      <c r="C295" s="1055" t="s">
        <v>983</v>
      </c>
      <c r="D295" s="1055"/>
      <c r="E295" s="1055"/>
      <c r="F295" s="1055"/>
      <c r="G295" s="1055"/>
      <c r="H295" s="1055"/>
      <c r="I295" s="1055"/>
      <c r="J295" s="1055"/>
      <c r="K295" s="1055"/>
      <c r="L295" s="194"/>
      <c r="M295" s="193"/>
    </row>
    <row r="296" spans="1:254" s="176" customFormat="1" ht="18">
      <c r="A296" s="193"/>
      <c r="B296" s="194"/>
      <c r="C296" s="1055"/>
      <c r="D296" s="1055"/>
      <c r="E296" s="1055"/>
      <c r="F296" s="1055"/>
      <c r="G296" s="1055"/>
      <c r="H296" s="1055"/>
      <c r="I296" s="1055"/>
      <c r="J296" s="1055"/>
      <c r="K296" s="1055"/>
      <c r="L296" s="196"/>
      <c r="M296" s="193"/>
    </row>
    <row r="297" spans="1:254" s="176" customFormat="1" ht="18">
      <c r="A297" s="193"/>
      <c r="B297" s="194"/>
      <c r="C297" s="1055"/>
      <c r="D297" s="1055"/>
      <c r="E297" s="1055"/>
      <c r="F297" s="1055"/>
      <c r="G297" s="1055"/>
      <c r="H297" s="1055"/>
      <c r="I297" s="1055"/>
      <c r="J297" s="1055"/>
      <c r="K297" s="1055"/>
      <c r="L297" s="196"/>
      <c r="M297" s="193"/>
    </row>
    <row r="298" spans="1:254" s="176" customFormat="1" ht="18">
      <c r="A298" s="193" t="s">
        <v>231</v>
      </c>
      <c r="B298" s="194"/>
      <c r="C298" s="194" t="s">
        <v>232</v>
      </c>
      <c r="D298" s="194"/>
      <c r="E298" s="194"/>
      <c r="F298" s="194"/>
      <c r="G298" s="194"/>
      <c r="H298" s="194"/>
      <c r="I298" s="194"/>
      <c r="J298" s="194"/>
      <c r="K298" s="194"/>
      <c r="L298" s="194"/>
      <c r="M298" s="193"/>
    </row>
    <row r="299" spans="1:254" s="176" customFormat="1" ht="18">
      <c r="A299" s="193"/>
      <c r="B299" s="194"/>
      <c r="C299" s="194" t="s">
        <v>233</v>
      </c>
      <c r="D299" s="194"/>
      <c r="E299" s="194"/>
      <c r="F299" s="194"/>
      <c r="G299" s="194"/>
      <c r="H299" s="194"/>
      <c r="I299" s="194"/>
      <c r="J299" s="194"/>
      <c r="K299" s="194"/>
      <c r="L299" s="194"/>
      <c r="M299" s="193"/>
    </row>
    <row r="300" spans="1:254" s="176" customFormat="1" ht="18">
      <c r="A300" s="193"/>
      <c r="B300" s="194"/>
      <c r="C300" s="194" t="s">
        <v>234</v>
      </c>
      <c r="D300" s="194"/>
      <c r="E300" s="194"/>
      <c r="F300" s="194"/>
      <c r="G300" s="194"/>
      <c r="H300" s="194"/>
      <c r="I300" s="194"/>
      <c r="J300" s="194"/>
      <c r="K300" s="194"/>
      <c r="L300" s="194"/>
      <c r="M300" s="193"/>
    </row>
    <row r="301" spans="1:254" s="176" customFormat="1" ht="18">
      <c r="A301" s="193" t="s">
        <v>235</v>
      </c>
      <c r="B301" s="194"/>
      <c r="C301" s="194" t="s">
        <v>236</v>
      </c>
      <c r="D301" s="194"/>
      <c r="E301" s="194"/>
      <c r="F301" s="194"/>
      <c r="G301" s="194"/>
      <c r="H301" s="194"/>
      <c r="I301" s="194"/>
      <c r="J301" s="194"/>
      <c r="K301" s="194"/>
      <c r="L301" s="194"/>
      <c r="M301" s="193"/>
    </row>
    <row r="302" spans="1:254" s="176" customFormat="1" ht="18">
      <c r="A302" s="193" t="s">
        <v>237</v>
      </c>
      <c r="B302" s="194"/>
      <c r="C302" s="206" t="s">
        <v>238</v>
      </c>
      <c r="D302" s="194"/>
      <c r="E302" s="194"/>
      <c r="F302" s="194"/>
      <c r="G302" s="194"/>
      <c r="H302" s="194"/>
      <c r="I302" s="194"/>
      <c r="J302" s="194"/>
      <c r="K302" s="194"/>
      <c r="L302" s="194"/>
      <c r="M302" s="193"/>
    </row>
    <row r="303" spans="1:254" s="176" customFormat="1" ht="15.75" hidden="1" customHeight="1">
      <c r="A303" s="207"/>
      <c r="B303" s="207"/>
      <c r="C303" s="208"/>
      <c r="D303" s="208"/>
      <c r="E303" s="208"/>
      <c r="F303" s="208"/>
      <c r="G303" s="208"/>
      <c r="H303" s="208"/>
      <c r="I303" s="208"/>
      <c r="J303" s="208"/>
      <c r="K303" s="208"/>
      <c r="L303" s="208"/>
      <c r="M303" s="207"/>
      <c r="N303" s="209"/>
      <c r="O303" s="209"/>
      <c r="P303" s="209"/>
      <c r="Q303" s="209"/>
      <c r="R303" s="209"/>
      <c r="S303" s="209"/>
      <c r="T303" s="209"/>
      <c r="U303" s="209"/>
      <c r="V303" s="209"/>
      <c r="W303" s="209"/>
      <c r="X303" s="209"/>
      <c r="Y303" s="209"/>
      <c r="Z303" s="209"/>
      <c r="AA303" s="209"/>
      <c r="AB303" s="209"/>
      <c r="AC303" s="209"/>
      <c r="AD303" s="209"/>
      <c r="AE303" s="209"/>
      <c r="AF303" s="209"/>
      <c r="AG303" s="209"/>
      <c r="AH303" s="209"/>
      <c r="AI303" s="209"/>
      <c r="AJ303" s="209"/>
      <c r="AK303" s="209"/>
      <c r="AL303" s="209"/>
      <c r="AM303" s="209"/>
      <c r="AN303" s="209"/>
      <c r="AO303" s="209"/>
      <c r="AP303" s="209"/>
      <c r="AQ303" s="209"/>
      <c r="AR303" s="209"/>
      <c r="AS303" s="209"/>
      <c r="AT303" s="209"/>
      <c r="AU303" s="209"/>
      <c r="AV303" s="209"/>
      <c r="AW303" s="209"/>
      <c r="AX303" s="209"/>
      <c r="AY303" s="209"/>
      <c r="AZ303" s="209"/>
      <c r="BA303" s="209"/>
      <c r="BB303" s="209"/>
      <c r="BC303" s="209"/>
      <c r="BD303" s="209"/>
      <c r="BE303" s="209"/>
      <c r="BF303" s="209"/>
      <c r="BG303" s="209"/>
      <c r="BH303" s="209"/>
      <c r="BI303" s="209"/>
      <c r="BJ303" s="209"/>
      <c r="BK303" s="209"/>
      <c r="BL303" s="209"/>
      <c r="BM303" s="209"/>
      <c r="BN303" s="209"/>
      <c r="BO303" s="209"/>
      <c r="BP303" s="209"/>
      <c r="BQ303" s="209"/>
      <c r="BR303" s="209"/>
      <c r="BS303" s="209"/>
      <c r="BT303" s="209"/>
      <c r="BU303" s="209"/>
      <c r="BV303" s="209"/>
      <c r="BW303" s="209"/>
      <c r="BX303" s="209"/>
      <c r="BY303" s="209"/>
      <c r="BZ303" s="209"/>
      <c r="CA303" s="209"/>
      <c r="CB303" s="209"/>
      <c r="CC303" s="209"/>
      <c r="CD303" s="209"/>
      <c r="CE303" s="209"/>
      <c r="CF303" s="209"/>
      <c r="CG303" s="209"/>
      <c r="CH303" s="209"/>
      <c r="CI303" s="209"/>
      <c r="CJ303" s="209"/>
      <c r="CK303" s="209"/>
      <c r="CL303" s="209"/>
      <c r="CM303" s="209"/>
      <c r="CN303" s="209"/>
      <c r="CO303" s="209"/>
      <c r="CP303" s="209"/>
      <c r="CQ303" s="209"/>
      <c r="CR303" s="209"/>
      <c r="CS303" s="209"/>
      <c r="CT303" s="209"/>
      <c r="CU303" s="209"/>
      <c r="CV303" s="209"/>
      <c r="CW303" s="209"/>
      <c r="CX303" s="209"/>
      <c r="CY303" s="209"/>
      <c r="CZ303" s="209"/>
      <c r="DA303" s="209"/>
      <c r="DB303" s="209"/>
      <c r="DC303" s="209"/>
      <c r="DD303" s="209"/>
      <c r="DE303" s="209"/>
      <c r="DF303" s="209"/>
      <c r="DG303" s="209"/>
      <c r="DH303" s="209"/>
      <c r="DI303" s="209"/>
      <c r="DJ303" s="209"/>
      <c r="DK303" s="209"/>
      <c r="DL303" s="209"/>
      <c r="DM303" s="209"/>
      <c r="DN303" s="209"/>
      <c r="DO303" s="209"/>
      <c r="DP303" s="209"/>
      <c r="DQ303" s="209"/>
      <c r="DR303" s="209"/>
      <c r="DS303" s="209"/>
      <c r="DT303" s="209"/>
      <c r="DU303" s="209"/>
      <c r="DV303" s="209"/>
      <c r="DW303" s="209"/>
      <c r="DX303" s="209"/>
      <c r="DY303" s="209"/>
      <c r="DZ303" s="209"/>
      <c r="EA303" s="209"/>
      <c r="EB303" s="209"/>
      <c r="EC303" s="209"/>
      <c r="ED303" s="209"/>
      <c r="EE303" s="209"/>
      <c r="EF303" s="209"/>
      <c r="EG303" s="209"/>
      <c r="EH303" s="209"/>
      <c r="EI303" s="209"/>
      <c r="EJ303" s="209"/>
      <c r="EK303" s="209"/>
      <c r="EL303" s="209"/>
      <c r="EM303" s="209"/>
      <c r="EN303" s="209"/>
      <c r="EO303" s="209"/>
      <c r="EP303" s="209"/>
      <c r="EQ303" s="209"/>
      <c r="ER303" s="209"/>
      <c r="ES303" s="209"/>
      <c r="ET303" s="209"/>
      <c r="EU303" s="209"/>
      <c r="EV303" s="209"/>
      <c r="EW303" s="209"/>
      <c r="EX303" s="209"/>
      <c r="EY303" s="209"/>
      <c r="EZ303" s="209"/>
      <c r="FA303" s="209"/>
      <c r="FB303" s="209"/>
      <c r="FC303" s="209"/>
      <c r="FD303" s="209"/>
      <c r="FE303" s="209"/>
      <c r="FF303" s="209"/>
      <c r="FG303" s="209"/>
      <c r="FH303" s="209"/>
      <c r="FI303" s="209"/>
      <c r="FJ303" s="209"/>
      <c r="FK303" s="209"/>
      <c r="FL303" s="209"/>
      <c r="FM303" s="209"/>
      <c r="FN303" s="209"/>
      <c r="FO303" s="209"/>
      <c r="FP303" s="209"/>
      <c r="FQ303" s="209"/>
      <c r="FR303" s="209"/>
      <c r="FS303" s="209"/>
      <c r="FT303" s="209"/>
      <c r="FU303" s="209"/>
      <c r="FV303" s="209"/>
      <c r="FW303" s="209"/>
      <c r="FX303" s="209"/>
      <c r="FY303" s="209"/>
      <c r="FZ303" s="209"/>
      <c r="GA303" s="209"/>
      <c r="GB303" s="209"/>
      <c r="GC303" s="209"/>
      <c r="GD303" s="209"/>
      <c r="GE303" s="209"/>
      <c r="GF303" s="209"/>
      <c r="GG303" s="209"/>
      <c r="GH303" s="209"/>
      <c r="GI303" s="209"/>
      <c r="GJ303" s="209"/>
      <c r="GK303" s="209"/>
      <c r="GL303" s="209"/>
      <c r="GM303" s="209"/>
      <c r="GN303" s="209"/>
      <c r="GO303" s="209"/>
      <c r="GP303" s="209"/>
      <c r="GQ303" s="209"/>
      <c r="GR303" s="209"/>
      <c r="GS303" s="209"/>
      <c r="GT303" s="209"/>
      <c r="GU303" s="209"/>
      <c r="GV303" s="209"/>
      <c r="GW303" s="209"/>
      <c r="GX303" s="209"/>
      <c r="GY303" s="209"/>
      <c r="GZ303" s="209"/>
      <c r="HA303" s="209"/>
      <c r="HB303" s="209"/>
      <c r="HC303" s="209"/>
      <c r="HD303" s="209"/>
      <c r="HE303" s="209"/>
      <c r="HF303" s="209"/>
      <c r="HG303" s="209"/>
      <c r="HH303" s="209"/>
      <c r="HI303" s="209"/>
      <c r="HJ303" s="209"/>
      <c r="HK303" s="209"/>
      <c r="HL303" s="209"/>
      <c r="HM303" s="209"/>
      <c r="HN303" s="209"/>
      <c r="HO303" s="209"/>
      <c r="HP303" s="209"/>
      <c r="HQ303" s="209"/>
      <c r="HR303" s="209"/>
      <c r="HS303" s="209"/>
      <c r="HT303" s="209"/>
      <c r="HU303" s="209"/>
      <c r="HV303" s="209"/>
      <c r="HW303" s="209"/>
      <c r="HX303" s="209"/>
      <c r="HY303" s="209"/>
      <c r="HZ303" s="209"/>
      <c r="IA303" s="209"/>
      <c r="IB303" s="209"/>
      <c r="IC303" s="209"/>
      <c r="ID303" s="209"/>
      <c r="IE303" s="209"/>
      <c r="IF303" s="209"/>
      <c r="IG303" s="209"/>
      <c r="IH303" s="209"/>
      <c r="II303" s="209"/>
      <c r="IJ303" s="209"/>
      <c r="IK303" s="209"/>
      <c r="IL303" s="209"/>
      <c r="IM303" s="209"/>
      <c r="IN303" s="209"/>
      <c r="IO303" s="209"/>
      <c r="IP303" s="209"/>
      <c r="IQ303" s="209"/>
      <c r="IR303" s="209"/>
      <c r="IS303" s="209"/>
      <c r="IT303" s="209"/>
    </row>
    <row r="304" spans="1:254" s="176" customFormat="1" ht="60" customHeight="1">
      <c r="A304" s="210" t="s">
        <v>239</v>
      </c>
      <c r="B304" s="207"/>
      <c r="C304" s="1052" t="s">
        <v>240</v>
      </c>
      <c r="D304" s="1052"/>
      <c r="E304" s="1052"/>
      <c r="F304" s="1052"/>
      <c r="G304" s="1052"/>
      <c r="H304" s="1052"/>
      <c r="I304" s="1052"/>
      <c r="J304" s="1052"/>
      <c r="K304" s="1052"/>
      <c r="L304" s="1052"/>
      <c r="M304" s="207"/>
      <c r="N304" s="209"/>
      <c r="O304" s="209"/>
      <c r="P304" s="209"/>
      <c r="Q304" s="209"/>
      <c r="R304" s="209"/>
      <c r="S304" s="209"/>
      <c r="T304" s="209"/>
      <c r="U304" s="209"/>
      <c r="V304" s="209"/>
      <c r="W304" s="209"/>
      <c r="X304" s="209"/>
      <c r="Y304" s="209"/>
      <c r="Z304" s="209"/>
      <c r="AA304" s="209"/>
      <c r="AB304" s="209"/>
      <c r="AC304" s="209"/>
      <c r="AD304" s="209"/>
      <c r="AE304" s="209"/>
      <c r="AF304" s="209"/>
      <c r="AG304" s="209"/>
      <c r="AH304" s="209"/>
      <c r="AI304" s="209"/>
      <c r="AJ304" s="209"/>
      <c r="AK304" s="209"/>
      <c r="AL304" s="209"/>
      <c r="AM304" s="209"/>
      <c r="AN304" s="209"/>
      <c r="AO304" s="209"/>
      <c r="AP304" s="209"/>
      <c r="AQ304" s="209"/>
      <c r="AR304" s="209"/>
      <c r="AS304" s="209"/>
      <c r="AT304" s="209"/>
      <c r="AU304" s="209"/>
      <c r="AV304" s="209"/>
      <c r="AW304" s="209"/>
      <c r="AX304" s="209"/>
      <c r="AY304" s="209"/>
      <c r="AZ304" s="209"/>
      <c r="BA304" s="209"/>
      <c r="BB304" s="209"/>
      <c r="BC304" s="209"/>
      <c r="BD304" s="209"/>
      <c r="BE304" s="209"/>
      <c r="BF304" s="209"/>
      <c r="BG304" s="209"/>
      <c r="BH304" s="209"/>
      <c r="BI304" s="209"/>
      <c r="BJ304" s="209"/>
      <c r="BK304" s="209"/>
      <c r="BL304" s="209"/>
      <c r="BM304" s="209"/>
      <c r="BN304" s="209"/>
      <c r="BO304" s="209"/>
      <c r="BP304" s="209"/>
      <c r="BQ304" s="209"/>
      <c r="BR304" s="209"/>
      <c r="BS304" s="209"/>
      <c r="BT304" s="209"/>
      <c r="BU304" s="209"/>
      <c r="BV304" s="209"/>
      <c r="BW304" s="209"/>
      <c r="BX304" s="209"/>
      <c r="BY304" s="209"/>
      <c r="BZ304" s="209"/>
      <c r="CA304" s="209"/>
      <c r="CB304" s="209"/>
      <c r="CC304" s="209"/>
      <c r="CD304" s="209"/>
      <c r="CE304" s="209"/>
      <c r="CF304" s="209"/>
      <c r="CG304" s="209"/>
      <c r="CH304" s="209"/>
      <c r="CI304" s="209"/>
      <c r="CJ304" s="209"/>
      <c r="CK304" s="209"/>
      <c r="CL304" s="209"/>
      <c r="CM304" s="209"/>
      <c r="CN304" s="209"/>
      <c r="CO304" s="209"/>
      <c r="CP304" s="209"/>
      <c r="CQ304" s="209"/>
      <c r="CR304" s="209"/>
      <c r="CS304" s="209"/>
      <c r="CT304" s="209"/>
      <c r="CU304" s="209"/>
      <c r="CV304" s="209"/>
      <c r="CW304" s="209"/>
      <c r="CX304" s="209"/>
      <c r="CY304" s="209"/>
      <c r="CZ304" s="209"/>
      <c r="DA304" s="209"/>
      <c r="DB304" s="209"/>
      <c r="DC304" s="209"/>
      <c r="DD304" s="209"/>
      <c r="DE304" s="209"/>
      <c r="DF304" s="209"/>
      <c r="DG304" s="209"/>
      <c r="DH304" s="209"/>
      <c r="DI304" s="209"/>
      <c r="DJ304" s="209"/>
      <c r="DK304" s="209"/>
      <c r="DL304" s="209"/>
      <c r="DM304" s="209"/>
      <c r="DN304" s="209"/>
      <c r="DO304" s="209"/>
      <c r="DP304" s="209"/>
      <c r="DQ304" s="209"/>
      <c r="DR304" s="209"/>
      <c r="DS304" s="209"/>
      <c r="DT304" s="209"/>
      <c r="DU304" s="209"/>
      <c r="DV304" s="209"/>
      <c r="DW304" s="209"/>
      <c r="DX304" s="209"/>
      <c r="DY304" s="209"/>
      <c r="DZ304" s="209"/>
      <c r="EA304" s="209"/>
      <c r="EB304" s="209"/>
      <c r="EC304" s="209"/>
      <c r="ED304" s="209"/>
      <c r="EE304" s="209"/>
      <c r="EF304" s="209"/>
      <c r="EG304" s="209"/>
      <c r="EH304" s="209"/>
      <c r="EI304" s="209"/>
      <c r="EJ304" s="209"/>
      <c r="EK304" s="209"/>
      <c r="EL304" s="209"/>
      <c r="EM304" s="209"/>
      <c r="EN304" s="209"/>
      <c r="EO304" s="209"/>
      <c r="EP304" s="209"/>
      <c r="EQ304" s="209"/>
      <c r="ER304" s="209"/>
      <c r="ES304" s="209"/>
      <c r="ET304" s="209"/>
      <c r="EU304" s="209"/>
      <c r="EV304" s="209"/>
      <c r="EW304" s="209"/>
      <c r="EX304" s="209"/>
      <c r="EY304" s="209"/>
      <c r="EZ304" s="209"/>
      <c r="FA304" s="209"/>
      <c r="FB304" s="209"/>
      <c r="FC304" s="209"/>
      <c r="FD304" s="209"/>
      <c r="FE304" s="209"/>
      <c r="FF304" s="209"/>
      <c r="FG304" s="209"/>
      <c r="FH304" s="209"/>
      <c r="FI304" s="209"/>
      <c r="FJ304" s="209"/>
      <c r="FK304" s="209"/>
      <c r="FL304" s="209"/>
      <c r="FM304" s="209"/>
      <c r="FN304" s="209"/>
      <c r="FO304" s="209"/>
      <c r="FP304" s="209"/>
      <c r="FQ304" s="209"/>
      <c r="FR304" s="209"/>
      <c r="FS304" s="209"/>
      <c r="FT304" s="209"/>
      <c r="FU304" s="209"/>
      <c r="FV304" s="209"/>
      <c r="FW304" s="209"/>
      <c r="FX304" s="209"/>
      <c r="FY304" s="209"/>
      <c r="FZ304" s="209"/>
      <c r="GA304" s="209"/>
      <c r="GB304" s="209"/>
      <c r="GC304" s="209"/>
      <c r="GD304" s="209"/>
      <c r="GE304" s="209"/>
      <c r="GF304" s="209"/>
      <c r="GG304" s="209"/>
      <c r="GH304" s="209"/>
      <c r="GI304" s="209"/>
      <c r="GJ304" s="209"/>
      <c r="GK304" s="209"/>
      <c r="GL304" s="209"/>
      <c r="GM304" s="209"/>
      <c r="GN304" s="209"/>
      <c r="GO304" s="209"/>
      <c r="GP304" s="209"/>
      <c r="GQ304" s="209"/>
      <c r="GR304" s="209"/>
      <c r="GS304" s="209"/>
      <c r="GT304" s="209"/>
      <c r="GU304" s="209"/>
      <c r="GV304" s="209"/>
      <c r="GW304" s="209"/>
      <c r="GX304" s="209"/>
      <c r="GY304" s="209"/>
      <c r="GZ304" s="209"/>
      <c r="HA304" s="209"/>
      <c r="HB304" s="209"/>
      <c r="HC304" s="209"/>
      <c r="HD304" s="209"/>
      <c r="HE304" s="209"/>
      <c r="HF304" s="209"/>
      <c r="HG304" s="209"/>
      <c r="HH304" s="209"/>
      <c r="HI304" s="209"/>
      <c r="HJ304" s="209"/>
      <c r="HK304" s="209"/>
      <c r="HL304" s="209"/>
      <c r="HM304" s="209"/>
      <c r="HN304" s="209"/>
      <c r="HO304" s="209"/>
      <c r="HP304" s="209"/>
      <c r="HQ304" s="209"/>
      <c r="HR304" s="209"/>
      <c r="HS304" s="209"/>
      <c r="HT304" s="209"/>
      <c r="HU304" s="209"/>
      <c r="HV304" s="209"/>
      <c r="HW304" s="209"/>
      <c r="HX304" s="209"/>
      <c r="HY304" s="209"/>
      <c r="HZ304" s="209"/>
      <c r="IA304" s="209"/>
      <c r="IB304" s="209"/>
      <c r="IC304" s="209"/>
      <c r="ID304" s="209"/>
      <c r="IE304" s="209"/>
      <c r="IF304" s="209"/>
      <c r="IG304" s="209"/>
      <c r="IH304" s="209"/>
      <c r="II304" s="209"/>
      <c r="IJ304" s="209"/>
      <c r="IK304" s="209"/>
      <c r="IL304" s="209"/>
      <c r="IM304" s="209"/>
      <c r="IN304" s="209"/>
      <c r="IO304" s="209"/>
      <c r="IP304" s="209"/>
      <c r="IQ304" s="209"/>
      <c r="IR304" s="209"/>
      <c r="IS304" s="209"/>
      <c r="IT304" s="209"/>
    </row>
    <row r="305" spans="1:254" s="176" customFormat="1" ht="18">
      <c r="A305" s="211" t="s">
        <v>241</v>
      </c>
      <c r="B305" s="207"/>
      <c r="C305" s="195" t="s">
        <v>242</v>
      </c>
      <c r="D305" s="207"/>
      <c r="E305" s="207"/>
      <c r="F305" s="207"/>
      <c r="G305" s="207"/>
      <c r="H305" s="207"/>
      <c r="I305" s="207"/>
      <c r="J305" s="207"/>
      <c r="K305" s="207"/>
      <c r="L305" s="207"/>
      <c r="M305" s="207"/>
      <c r="N305" s="209"/>
      <c r="O305" s="209"/>
      <c r="P305" s="209"/>
      <c r="Q305" s="209"/>
      <c r="R305" s="209"/>
      <c r="S305" s="209"/>
      <c r="T305" s="209"/>
      <c r="U305" s="209"/>
      <c r="V305" s="209"/>
      <c r="W305" s="209"/>
      <c r="X305" s="209"/>
      <c r="Y305" s="209"/>
      <c r="Z305" s="209"/>
      <c r="AA305" s="209"/>
      <c r="AB305" s="209"/>
      <c r="AC305" s="209"/>
      <c r="AD305" s="209"/>
      <c r="AE305" s="209"/>
      <c r="AF305" s="209"/>
      <c r="AG305" s="209"/>
      <c r="AH305" s="209"/>
      <c r="AI305" s="209"/>
      <c r="AJ305" s="209"/>
      <c r="AK305" s="209"/>
      <c r="AL305" s="209"/>
      <c r="AM305" s="209"/>
      <c r="AN305" s="209"/>
      <c r="AO305" s="209"/>
      <c r="AP305" s="209"/>
      <c r="AQ305" s="209"/>
      <c r="AR305" s="209"/>
      <c r="AS305" s="209"/>
      <c r="AT305" s="209"/>
      <c r="AU305" s="209"/>
      <c r="AV305" s="209"/>
      <c r="AW305" s="209"/>
      <c r="AX305" s="209"/>
      <c r="AY305" s="209"/>
      <c r="AZ305" s="209"/>
      <c r="BA305" s="209"/>
      <c r="BB305" s="209"/>
      <c r="BC305" s="209"/>
      <c r="BD305" s="209"/>
      <c r="BE305" s="209"/>
      <c r="BF305" s="209"/>
      <c r="BG305" s="209"/>
      <c r="BH305" s="209"/>
      <c r="BI305" s="209"/>
      <c r="BJ305" s="209"/>
      <c r="BK305" s="209"/>
      <c r="BL305" s="209"/>
      <c r="BM305" s="209"/>
      <c r="BN305" s="209"/>
      <c r="BO305" s="209"/>
      <c r="BP305" s="209"/>
      <c r="BQ305" s="209"/>
      <c r="BR305" s="209"/>
      <c r="BS305" s="209"/>
      <c r="BT305" s="209"/>
      <c r="BU305" s="209"/>
      <c r="BV305" s="209"/>
      <c r="BW305" s="209"/>
      <c r="BX305" s="209"/>
      <c r="BY305" s="209"/>
      <c r="BZ305" s="209"/>
      <c r="CA305" s="209"/>
      <c r="CB305" s="209"/>
      <c r="CC305" s="209"/>
      <c r="CD305" s="209"/>
      <c r="CE305" s="209"/>
      <c r="CF305" s="209"/>
      <c r="CG305" s="209"/>
      <c r="CH305" s="209"/>
      <c r="CI305" s="209"/>
      <c r="CJ305" s="209"/>
      <c r="CK305" s="209"/>
      <c r="CL305" s="209"/>
      <c r="CM305" s="209"/>
      <c r="CN305" s="209"/>
      <c r="CO305" s="209"/>
      <c r="CP305" s="209"/>
      <c r="CQ305" s="209"/>
      <c r="CR305" s="209"/>
      <c r="CS305" s="209"/>
      <c r="CT305" s="209"/>
      <c r="CU305" s="209"/>
      <c r="CV305" s="209"/>
      <c r="CW305" s="209"/>
      <c r="CX305" s="209"/>
      <c r="CY305" s="209"/>
      <c r="CZ305" s="209"/>
      <c r="DA305" s="209"/>
      <c r="DB305" s="209"/>
      <c r="DC305" s="209"/>
      <c r="DD305" s="209"/>
      <c r="DE305" s="209"/>
      <c r="DF305" s="209"/>
      <c r="DG305" s="209"/>
      <c r="DH305" s="209"/>
      <c r="DI305" s="209"/>
      <c r="DJ305" s="209"/>
      <c r="DK305" s="209"/>
      <c r="DL305" s="209"/>
      <c r="DM305" s="209"/>
      <c r="DN305" s="209"/>
      <c r="DO305" s="209"/>
      <c r="DP305" s="209"/>
      <c r="DQ305" s="209"/>
      <c r="DR305" s="209"/>
      <c r="DS305" s="209"/>
      <c r="DT305" s="209"/>
      <c r="DU305" s="209"/>
      <c r="DV305" s="209"/>
      <c r="DW305" s="209"/>
      <c r="DX305" s="209"/>
      <c r="DY305" s="209"/>
      <c r="DZ305" s="209"/>
      <c r="EA305" s="209"/>
      <c r="EB305" s="209"/>
      <c r="EC305" s="209"/>
      <c r="ED305" s="209"/>
      <c r="EE305" s="209"/>
      <c r="EF305" s="209"/>
      <c r="EG305" s="209"/>
      <c r="EH305" s="209"/>
      <c r="EI305" s="209"/>
      <c r="EJ305" s="209"/>
      <c r="EK305" s="209"/>
      <c r="EL305" s="209"/>
      <c r="EM305" s="209"/>
      <c r="EN305" s="209"/>
      <c r="EO305" s="209"/>
      <c r="EP305" s="209"/>
      <c r="EQ305" s="209"/>
      <c r="ER305" s="209"/>
      <c r="ES305" s="209"/>
      <c r="ET305" s="209"/>
      <c r="EU305" s="209"/>
      <c r="EV305" s="209"/>
      <c r="EW305" s="209"/>
      <c r="EX305" s="209"/>
      <c r="EY305" s="209"/>
      <c r="EZ305" s="209"/>
      <c r="FA305" s="209"/>
      <c r="FB305" s="209"/>
      <c r="FC305" s="209"/>
      <c r="FD305" s="209"/>
      <c r="FE305" s="209"/>
      <c r="FF305" s="209"/>
      <c r="FG305" s="209"/>
      <c r="FH305" s="209"/>
      <c r="FI305" s="209"/>
      <c r="FJ305" s="209"/>
      <c r="FK305" s="209"/>
      <c r="FL305" s="209"/>
      <c r="FM305" s="209"/>
      <c r="FN305" s="209"/>
      <c r="FO305" s="209"/>
      <c r="FP305" s="209"/>
      <c r="FQ305" s="209"/>
      <c r="FR305" s="209"/>
      <c r="FS305" s="209"/>
      <c r="FT305" s="209"/>
      <c r="FU305" s="209"/>
      <c r="FV305" s="209"/>
      <c r="FW305" s="209"/>
      <c r="FX305" s="209"/>
      <c r="FY305" s="209"/>
      <c r="FZ305" s="209"/>
      <c r="GA305" s="209"/>
      <c r="GB305" s="209"/>
      <c r="GC305" s="209"/>
      <c r="GD305" s="209"/>
      <c r="GE305" s="209"/>
      <c r="GF305" s="209"/>
      <c r="GG305" s="209"/>
      <c r="GH305" s="209"/>
      <c r="GI305" s="209"/>
      <c r="GJ305" s="209"/>
      <c r="GK305" s="209"/>
      <c r="GL305" s="209"/>
      <c r="GM305" s="209"/>
      <c r="GN305" s="209"/>
      <c r="GO305" s="209"/>
      <c r="GP305" s="209"/>
      <c r="GQ305" s="209"/>
      <c r="GR305" s="209"/>
      <c r="GS305" s="209"/>
      <c r="GT305" s="209"/>
      <c r="GU305" s="209"/>
      <c r="GV305" s="209"/>
      <c r="GW305" s="209"/>
      <c r="GX305" s="209"/>
      <c r="GY305" s="209"/>
      <c r="GZ305" s="209"/>
      <c r="HA305" s="209"/>
      <c r="HB305" s="209"/>
      <c r="HC305" s="209"/>
      <c r="HD305" s="209"/>
      <c r="HE305" s="209"/>
      <c r="HF305" s="209"/>
      <c r="HG305" s="209"/>
      <c r="HH305" s="209"/>
      <c r="HI305" s="209"/>
      <c r="HJ305" s="209"/>
      <c r="HK305" s="209"/>
      <c r="HL305" s="209"/>
      <c r="HM305" s="209"/>
      <c r="HN305" s="209"/>
      <c r="HO305" s="209"/>
      <c r="HP305" s="209"/>
      <c r="HQ305" s="209"/>
      <c r="HR305" s="209"/>
      <c r="HS305" s="209"/>
      <c r="HT305" s="209"/>
      <c r="HU305" s="209"/>
      <c r="HV305" s="209"/>
      <c r="HW305" s="209"/>
      <c r="HX305" s="209"/>
      <c r="HY305" s="209"/>
      <c r="HZ305" s="209"/>
      <c r="IA305" s="209"/>
      <c r="IB305" s="209"/>
      <c r="IC305" s="209"/>
      <c r="ID305" s="209"/>
      <c r="IE305" s="209"/>
      <c r="IF305" s="209"/>
      <c r="IG305" s="209"/>
      <c r="IH305" s="209"/>
      <c r="II305" s="209"/>
      <c r="IJ305" s="209"/>
      <c r="IK305" s="209"/>
      <c r="IL305" s="209"/>
      <c r="IM305" s="209"/>
      <c r="IN305" s="209"/>
      <c r="IO305" s="209"/>
      <c r="IP305" s="209"/>
      <c r="IQ305" s="209"/>
      <c r="IR305" s="209"/>
      <c r="IS305" s="209"/>
      <c r="IT305" s="209"/>
    </row>
    <row r="306" spans="1:254" s="176" customFormat="1" ht="18">
      <c r="A306" s="193"/>
      <c r="B306" s="194"/>
      <c r="C306" s="195" t="s">
        <v>243</v>
      </c>
      <c r="D306" s="194"/>
      <c r="E306" s="194"/>
      <c r="F306" s="194"/>
      <c r="G306" s="194"/>
      <c r="H306" s="194"/>
      <c r="I306" s="194"/>
      <c r="J306" s="194"/>
      <c r="K306" s="194"/>
      <c r="L306" s="194"/>
      <c r="M306" s="193"/>
    </row>
    <row r="307" spans="1:254" s="176" customFormat="1" ht="18">
      <c r="A307" s="193" t="s">
        <v>244</v>
      </c>
      <c r="B307" s="194"/>
      <c r="C307" s="196" t="s">
        <v>245</v>
      </c>
      <c r="D307" s="195"/>
      <c r="E307" s="195"/>
      <c r="F307" s="195"/>
      <c r="G307" s="195"/>
      <c r="H307" s="195"/>
      <c r="I307" s="195"/>
      <c r="J307" s="195"/>
      <c r="K307" s="195"/>
      <c r="L307" s="195"/>
      <c r="M307" s="193"/>
    </row>
    <row r="308" spans="1:254" s="176" customFormat="1" ht="18">
      <c r="A308" s="212" t="s">
        <v>246</v>
      </c>
      <c r="B308" s="196"/>
      <c r="C308" s="195" t="s">
        <v>247</v>
      </c>
      <c r="D308" s="195"/>
      <c r="E308" s="195"/>
      <c r="F308" s="195"/>
      <c r="G308" s="195"/>
      <c r="H308" s="195"/>
      <c r="I308" s="195"/>
      <c r="J308" s="195"/>
      <c r="K308" s="195"/>
      <c r="L308" s="195"/>
      <c r="M308" s="196"/>
    </row>
    <row r="309" spans="1:254" s="176" customFormat="1" ht="18">
      <c r="A309" s="212" t="s">
        <v>248</v>
      </c>
      <c r="B309" s="196"/>
      <c r="C309" s="213" t="s">
        <v>249</v>
      </c>
      <c r="D309" s="195"/>
      <c r="E309" s="195"/>
      <c r="F309" s="195"/>
      <c r="G309" s="195"/>
      <c r="H309" s="195"/>
      <c r="I309" s="195"/>
      <c r="J309" s="195"/>
      <c r="K309" s="195"/>
      <c r="L309" s="195"/>
      <c r="M309" s="196"/>
    </row>
    <row r="310" spans="1:254" s="176" customFormat="1" ht="18">
      <c r="A310" s="196"/>
      <c r="B310" s="196"/>
      <c r="C310" s="213" t="s">
        <v>250</v>
      </c>
      <c r="D310" s="195"/>
      <c r="E310" s="195"/>
      <c r="F310" s="195"/>
      <c r="G310" s="195"/>
      <c r="H310" s="195"/>
      <c r="I310" s="195"/>
      <c r="J310" s="195"/>
      <c r="K310" s="195"/>
      <c r="L310" s="195"/>
      <c r="M310" s="196"/>
    </row>
    <row r="311" spans="1:254" s="176" customFormat="1" ht="21.75" customHeight="1">
      <c r="A311" s="212" t="s">
        <v>251</v>
      </c>
      <c r="B311" s="196"/>
      <c r="C311" s="195" t="s">
        <v>252</v>
      </c>
      <c r="D311" s="195"/>
      <c r="E311" s="195"/>
      <c r="F311" s="195"/>
      <c r="G311" s="195"/>
      <c r="H311" s="195"/>
      <c r="I311" s="195"/>
      <c r="J311" s="195"/>
      <c r="K311" s="195"/>
      <c r="L311" s="195"/>
      <c r="M311" s="196"/>
    </row>
    <row r="312" spans="1:254" s="176" customFormat="1" ht="22.5" customHeight="1">
      <c r="A312" s="196"/>
      <c r="B312" s="196"/>
      <c r="C312" s="195" t="s">
        <v>253</v>
      </c>
      <c r="D312" s="195"/>
      <c r="E312" s="195"/>
      <c r="F312" s="195"/>
      <c r="G312" s="195"/>
      <c r="H312" s="195"/>
      <c r="I312" s="195"/>
      <c r="J312" s="195"/>
      <c r="K312" s="195"/>
      <c r="L312" s="195"/>
      <c r="M312" s="196"/>
    </row>
    <row r="313" spans="1:254" s="176" customFormat="1" ht="18">
      <c r="A313" s="196"/>
      <c r="B313" s="196"/>
      <c r="C313" s="207"/>
      <c r="D313" s="207"/>
      <c r="E313" s="214"/>
      <c r="F313" s="214"/>
      <c r="G313" s="207"/>
      <c r="H313" s="215"/>
      <c r="I313" s="196"/>
      <c r="J313" s="196"/>
      <c r="K313" s="196"/>
      <c r="L313" s="196"/>
      <c r="M313" s="196"/>
    </row>
    <row r="314" spans="1:254" s="176" customFormat="1" ht="18">
      <c r="A314" s="196"/>
      <c r="B314" s="196"/>
      <c r="C314" s="207"/>
      <c r="D314" s="207"/>
      <c r="E314" s="214"/>
      <c r="F314" s="214"/>
      <c r="G314" s="207"/>
      <c r="H314" s="216"/>
      <c r="I314" s="196"/>
      <c r="J314" s="196"/>
      <c r="K314" s="196"/>
      <c r="L314" s="196"/>
      <c r="M314" s="196"/>
    </row>
    <row r="315" spans="1:254" s="176" customFormat="1" ht="18">
      <c r="A315" s="196"/>
      <c r="B315" s="196"/>
      <c r="C315" s="196"/>
      <c r="D315" s="196"/>
      <c r="E315" s="196"/>
      <c r="F315" s="196"/>
      <c r="G315" s="196"/>
      <c r="H315" s="196"/>
      <c r="I315" s="196"/>
      <c r="J315" s="196"/>
      <c r="K315" s="196"/>
      <c r="L315" s="196"/>
      <c r="M315" s="196"/>
    </row>
    <row r="316" spans="1:254" s="176" customFormat="1" ht="18">
      <c r="A316" s="196"/>
      <c r="B316" s="196"/>
      <c r="C316" s="196"/>
      <c r="D316" s="196"/>
      <c r="E316" s="196"/>
      <c r="F316" s="196"/>
      <c r="G316" s="196"/>
      <c r="H316" s="196"/>
      <c r="I316" s="196"/>
      <c r="J316" s="196"/>
      <c r="K316" s="196"/>
      <c r="L316" s="196"/>
      <c r="M316" s="196"/>
    </row>
    <row r="317" spans="1:254" s="176" customFormat="1" ht="18">
      <c r="A317" s="196"/>
      <c r="B317" s="196"/>
      <c r="C317" s="196"/>
      <c r="D317" s="196"/>
      <c r="E317" s="196"/>
      <c r="F317" s="196"/>
      <c r="G317" s="196"/>
      <c r="H317" s="196"/>
      <c r="I317" s="196"/>
      <c r="J317" s="196"/>
      <c r="K317" s="196"/>
      <c r="L317" s="196"/>
      <c r="M317" s="196"/>
    </row>
    <row r="318" spans="1:254" s="176" customFormat="1" ht="18">
      <c r="A318" s="196"/>
      <c r="B318" s="196"/>
      <c r="C318" s="196"/>
      <c r="D318" s="196"/>
      <c r="E318" s="196"/>
      <c r="F318" s="196"/>
      <c r="G318" s="196"/>
      <c r="H318" s="196"/>
      <c r="I318" s="196"/>
      <c r="J318" s="196"/>
      <c r="K318" s="196"/>
      <c r="L318" s="196"/>
      <c r="M318" s="196"/>
    </row>
    <row r="319" spans="1:254" s="176" customFormat="1" ht="18">
      <c r="A319" s="196"/>
      <c r="B319" s="196"/>
      <c r="C319" s="196"/>
      <c r="D319" s="196"/>
      <c r="E319" s="196"/>
      <c r="F319" s="196"/>
      <c r="G319" s="196"/>
      <c r="H319" s="196"/>
      <c r="I319" s="196"/>
      <c r="J319" s="196"/>
      <c r="K319" s="196"/>
      <c r="L319" s="196"/>
      <c r="M319" s="196"/>
    </row>
    <row r="320" spans="1:254" s="176" customFormat="1" ht="18">
      <c r="A320" s="196"/>
      <c r="B320" s="196"/>
      <c r="C320" s="196"/>
      <c r="D320" s="196"/>
      <c r="E320" s="196"/>
      <c r="F320" s="196"/>
      <c r="G320" s="196"/>
      <c r="H320" s="196"/>
      <c r="I320" s="196"/>
      <c r="J320" s="196"/>
      <c r="K320" s="196"/>
      <c r="L320" s="196"/>
      <c r="M320" s="196"/>
    </row>
    <row r="321" spans="1:13" s="176" customFormat="1" ht="18">
      <c r="A321" s="196"/>
      <c r="B321" s="196"/>
      <c r="C321" s="196"/>
      <c r="D321" s="196"/>
      <c r="E321" s="196"/>
      <c r="F321" s="196"/>
      <c r="G321" s="196"/>
      <c r="H321" s="196"/>
      <c r="I321" s="196"/>
      <c r="J321" s="196"/>
      <c r="K321" s="196"/>
      <c r="L321" s="196"/>
      <c r="M321" s="196"/>
    </row>
    <row r="322" spans="1:13" s="176" customFormat="1" ht="18">
      <c r="A322" s="196"/>
      <c r="B322" s="196"/>
      <c r="C322" s="196"/>
      <c r="D322" s="196"/>
      <c r="E322" s="196"/>
      <c r="F322" s="196"/>
      <c r="G322" s="196"/>
      <c r="H322" s="196"/>
      <c r="I322" s="196"/>
      <c r="J322" s="196"/>
      <c r="K322" s="196"/>
      <c r="L322" s="196"/>
      <c r="M322" s="196"/>
    </row>
    <row r="323" spans="1:13" s="176" customFormat="1" ht="18">
      <c r="A323" s="196"/>
      <c r="B323" s="196"/>
      <c r="C323" s="196"/>
      <c r="D323" s="196"/>
      <c r="E323" s="196"/>
      <c r="F323" s="196"/>
      <c r="G323" s="196"/>
      <c r="H323" s="196"/>
      <c r="I323" s="196"/>
      <c r="J323" s="196"/>
      <c r="K323" s="196"/>
      <c r="L323" s="196"/>
      <c r="M323" s="196"/>
    </row>
    <row r="324" spans="1:13" s="176" customFormat="1" ht="18">
      <c r="A324" s="196"/>
      <c r="B324" s="196"/>
      <c r="C324" s="196"/>
      <c r="D324" s="196"/>
      <c r="E324" s="196"/>
      <c r="F324" s="196"/>
      <c r="G324" s="196"/>
      <c r="H324" s="196"/>
      <c r="I324" s="196"/>
      <c r="J324" s="196"/>
      <c r="K324" s="196"/>
      <c r="L324" s="196"/>
      <c r="M324" s="196"/>
    </row>
    <row r="325" spans="1:13" s="176" customFormat="1" ht="18">
      <c r="A325" s="196"/>
      <c r="B325" s="196"/>
      <c r="C325" s="196"/>
      <c r="D325" s="196"/>
      <c r="E325" s="196"/>
      <c r="F325" s="196"/>
      <c r="G325" s="196"/>
      <c r="H325" s="196"/>
      <c r="I325" s="196"/>
      <c r="J325" s="196"/>
      <c r="K325" s="196"/>
      <c r="L325" s="196"/>
      <c r="M325" s="196"/>
    </row>
    <row r="326" spans="1:13" s="176" customFormat="1" ht="18">
      <c r="A326" s="196"/>
      <c r="B326" s="196"/>
      <c r="C326" s="196"/>
      <c r="D326" s="196"/>
      <c r="E326" s="196"/>
      <c r="F326" s="196"/>
      <c r="G326" s="196"/>
      <c r="H326" s="196"/>
      <c r="I326" s="196"/>
      <c r="J326" s="196"/>
      <c r="K326" s="196"/>
      <c r="L326" s="196"/>
      <c r="M326" s="196"/>
    </row>
    <row r="327" spans="1:13" s="176" customFormat="1" ht="18">
      <c r="A327" s="196"/>
      <c r="B327" s="196"/>
      <c r="C327" s="196"/>
      <c r="D327" s="196"/>
      <c r="E327" s="196"/>
      <c r="F327" s="196"/>
      <c r="G327" s="196"/>
      <c r="H327" s="196"/>
      <c r="I327" s="196"/>
      <c r="J327" s="196"/>
      <c r="K327" s="196"/>
      <c r="L327" s="196"/>
      <c r="M327" s="196"/>
    </row>
    <row r="328" spans="1:13" s="176" customFormat="1" ht="18">
      <c r="A328" s="196"/>
      <c r="B328" s="196"/>
      <c r="C328" s="196"/>
      <c r="D328" s="196"/>
      <c r="E328" s="196"/>
      <c r="F328" s="196"/>
      <c r="G328" s="196"/>
      <c r="H328" s="196"/>
      <c r="I328" s="196"/>
      <c r="J328" s="196"/>
      <c r="K328" s="196"/>
      <c r="L328" s="196"/>
      <c r="M328" s="196"/>
    </row>
    <row r="329" spans="1:13" s="176" customFormat="1" ht="18">
      <c r="A329" s="196"/>
      <c r="B329" s="196"/>
      <c r="C329" s="196"/>
      <c r="D329" s="196"/>
      <c r="E329" s="196"/>
      <c r="F329" s="196"/>
      <c r="G329" s="196"/>
      <c r="H329" s="196"/>
      <c r="I329" s="196"/>
      <c r="J329" s="196"/>
      <c r="K329" s="196"/>
      <c r="L329" s="196"/>
      <c r="M329" s="196"/>
    </row>
    <row r="330" spans="1:13" s="176" customFormat="1" ht="18">
      <c r="A330" s="196"/>
      <c r="B330" s="196"/>
      <c r="C330" s="196"/>
      <c r="D330" s="196"/>
      <c r="E330" s="196"/>
      <c r="F330" s="196"/>
      <c r="G330" s="196"/>
      <c r="H330" s="196"/>
      <c r="I330" s="196"/>
      <c r="J330" s="196"/>
      <c r="K330" s="196"/>
      <c r="L330" s="196"/>
      <c r="M330" s="196"/>
    </row>
    <row r="331" spans="1:13" s="176" customFormat="1" ht="18">
      <c r="A331" s="196"/>
      <c r="B331" s="196"/>
      <c r="C331" s="196"/>
      <c r="D331" s="196"/>
      <c r="E331" s="196"/>
      <c r="F331" s="196"/>
      <c r="G331" s="196"/>
      <c r="H331" s="196"/>
      <c r="I331" s="196"/>
      <c r="J331" s="196"/>
      <c r="K331" s="196"/>
      <c r="L331" s="196"/>
      <c r="M331" s="196"/>
    </row>
    <row r="332" spans="1:13" s="176" customFormat="1" ht="18">
      <c r="A332" s="196"/>
      <c r="B332" s="196"/>
      <c r="C332" s="196"/>
      <c r="D332" s="196"/>
      <c r="E332" s="196"/>
      <c r="F332" s="196"/>
      <c r="G332" s="196"/>
      <c r="H332" s="196"/>
      <c r="I332" s="196"/>
      <c r="J332" s="196"/>
      <c r="K332" s="196"/>
      <c r="L332" s="196"/>
      <c r="M332" s="196"/>
    </row>
    <row r="333" spans="1:13" s="176" customFormat="1" ht="18">
      <c r="A333" s="196"/>
      <c r="B333" s="196"/>
      <c r="C333" s="196"/>
      <c r="D333" s="196"/>
      <c r="E333" s="196"/>
      <c r="F333" s="196"/>
      <c r="G333" s="196"/>
      <c r="H333" s="196"/>
      <c r="I333" s="196"/>
      <c r="J333" s="196"/>
      <c r="K333" s="196"/>
      <c r="L333" s="196"/>
      <c r="M333" s="196"/>
    </row>
    <row r="334" spans="1:13" s="176" customFormat="1" ht="18">
      <c r="A334" s="196"/>
      <c r="B334" s="196"/>
      <c r="C334" s="196"/>
      <c r="D334" s="196"/>
      <c r="E334" s="196"/>
      <c r="F334" s="196"/>
      <c r="G334" s="196"/>
      <c r="H334" s="196"/>
      <c r="I334" s="196"/>
      <c r="J334" s="196"/>
      <c r="K334" s="196"/>
      <c r="L334" s="196"/>
      <c r="M334" s="196"/>
    </row>
    <row r="335" spans="1:13" s="176" customFormat="1" ht="18">
      <c r="A335" s="196"/>
      <c r="B335" s="196"/>
      <c r="C335" s="196"/>
      <c r="D335" s="196"/>
      <c r="E335" s="196"/>
      <c r="F335" s="196"/>
      <c r="G335" s="196"/>
      <c r="H335" s="196"/>
      <c r="I335" s="196"/>
      <c r="J335" s="196"/>
      <c r="K335" s="196"/>
      <c r="L335" s="196"/>
      <c r="M335" s="196"/>
    </row>
    <row r="336" spans="1:13" s="176" customFormat="1" ht="18">
      <c r="A336" s="196"/>
      <c r="B336" s="196"/>
      <c r="C336" s="196"/>
      <c r="D336" s="196"/>
      <c r="E336" s="196"/>
      <c r="F336" s="196"/>
      <c r="G336" s="196"/>
      <c r="H336" s="196"/>
      <c r="I336" s="196"/>
      <c r="J336" s="196"/>
      <c r="K336" s="196"/>
      <c r="L336" s="196"/>
      <c r="M336" s="196"/>
    </row>
    <row r="337" spans="1:13" s="176" customFormat="1" ht="18">
      <c r="A337" s="196"/>
      <c r="B337" s="196"/>
      <c r="C337" s="196"/>
      <c r="D337" s="196"/>
      <c r="E337" s="196"/>
      <c r="F337" s="196"/>
      <c r="G337" s="196"/>
      <c r="H337" s="196"/>
      <c r="I337" s="196"/>
      <c r="J337" s="196"/>
      <c r="K337" s="196"/>
      <c r="L337" s="196"/>
      <c r="M337" s="196"/>
    </row>
    <row r="338" spans="1:13" s="176" customFormat="1" ht="18">
      <c r="A338" s="196"/>
      <c r="B338" s="196"/>
      <c r="C338" s="196"/>
      <c r="D338" s="196"/>
      <c r="E338" s="196"/>
      <c r="F338" s="196"/>
      <c r="G338" s="196"/>
      <c r="H338" s="196"/>
      <c r="I338" s="196"/>
      <c r="J338" s="196"/>
      <c r="K338" s="196"/>
      <c r="L338" s="196"/>
      <c r="M338" s="196"/>
    </row>
    <row r="339" spans="1:13" s="176" customFormat="1" ht="18">
      <c r="A339" s="196"/>
      <c r="B339" s="196"/>
      <c r="C339" s="196"/>
      <c r="D339" s="196"/>
      <c r="E339" s="196"/>
      <c r="F339" s="196"/>
      <c r="G339" s="196"/>
      <c r="H339" s="196"/>
      <c r="I339" s="196"/>
      <c r="J339" s="196"/>
      <c r="K339" s="196"/>
      <c r="L339" s="196"/>
      <c r="M339" s="196"/>
    </row>
    <row r="340" spans="1:13" s="176" customFormat="1" ht="18">
      <c r="A340" s="196"/>
      <c r="B340" s="196"/>
      <c r="C340" s="196"/>
      <c r="D340" s="196"/>
      <c r="E340" s="196"/>
      <c r="F340" s="196"/>
      <c r="G340" s="196"/>
      <c r="H340" s="196"/>
      <c r="I340" s="196"/>
      <c r="J340" s="196"/>
      <c r="K340" s="196"/>
      <c r="L340" s="196"/>
      <c r="M340" s="196"/>
    </row>
    <row r="341" spans="1:13" s="176" customFormat="1" ht="18">
      <c r="A341" s="196"/>
      <c r="B341" s="196"/>
      <c r="C341" s="196"/>
      <c r="D341" s="196"/>
      <c r="E341" s="196"/>
      <c r="F341" s="196"/>
      <c r="G341" s="196"/>
      <c r="H341" s="196"/>
      <c r="I341" s="196"/>
      <c r="J341" s="196"/>
      <c r="K341" s="196"/>
      <c r="L341" s="196"/>
      <c r="M341" s="196"/>
    </row>
    <row r="342" spans="1:13" s="176" customFormat="1" ht="18">
      <c r="A342" s="196"/>
      <c r="B342" s="196"/>
      <c r="C342" s="196"/>
      <c r="D342" s="196"/>
      <c r="E342" s="196"/>
      <c r="F342" s="196"/>
      <c r="G342" s="196"/>
      <c r="H342" s="196"/>
      <c r="I342" s="196"/>
      <c r="J342" s="196"/>
      <c r="K342" s="196"/>
      <c r="L342" s="196"/>
      <c r="M342" s="196"/>
    </row>
    <row r="343" spans="1:13" s="176" customFormat="1" ht="18">
      <c r="A343" s="196"/>
      <c r="B343" s="196"/>
      <c r="C343" s="196"/>
      <c r="D343" s="196"/>
      <c r="E343" s="196"/>
      <c r="F343" s="196"/>
      <c r="G343" s="196"/>
      <c r="H343" s="196"/>
      <c r="I343" s="196"/>
      <c r="J343" s="196"/>
      <c r="K343" s="196"/>
      <c r="L343" s="196"/>
      <c r="M343" s="196"/>
    </row>
    <row r="344" spans="1:13" s="176" customFormat="1" ht="18">
      <c r="A344" s="196"/>
      <c r="B344" s="196"/>
      <c r="C344" s="196"/>
      <c r="D344" s="196"/>
      <c r="E344" s="196"/>
      <c r="F344" s="196"/>
      <c r="G344" s="196"/>
      <c r="H344" s="196"/>
      <c r="I344" s="196"/>
      <c r="J344" s="196"/>
      <c r="K344" s="196"/>
      <c r="L344" s="196"/>
      <c r="M344" s="196"/>
    </row>
    <row r="345" spans="1:13" s="176" customFormat="1" ht="18">
      <c r="A345" s="196"/>
      <c r="B345" s="196"/>
      <c r="C345" s="196"/>
      <c r="D345" s="196"/>
      <c r="E345" s="196"/>
      <c r="F345" s="196"/>
      <c r="G345" s="196"/>
      <c r="H345" s="196"/>
      <c r="I345" s="196"/>
      <c r="J345" s="196"/>
      <c r="K345" s="196"/>
      <c r="L345" s="196"/>
      <c r="M345" s="196"/>
    </row>
    <row r="346" spans="1:13" s="176" customFormat="1" ht="18">
      <c r="A346" s="196"/>
      <c r="B346" s="196"/>
      <c r="C346" s="196"/>
      <c r="D346" s="196"/>
      <c r="E346" s="196"/>
      <c r="F346" s="196"/>
      <c r="G346" s="196"/>
      <c r="H346" s="196"/>
      <c r="I346" s="196"/>
      <c r="J346" s="196"/>
      <c r="K346" s="196"/>
      <c r="L346" s="196"/>
      <c r="M346" s="196"/>
    </row>
    <row r="347" spans="1:13" s="176" customFormat="1" ht="18">
      <c r="A347" s="196"/>
      <c r="B347" s="196"/>
      <c r="C347" s="196"/>
      <c r="D347" s="196"/>
      <c r="E347" s="196"/>
      <c r="F347" s="196"/>
      <c r="G347" s="196"/>
      <c r="H347" s="196"/>
      <c r="I347" s="196"/>
      <c r="J347" s="196"/>
      <c r="K347" s="196"/>
      <c r="L347" s="196"/>
      <c r="M347" s="196"/>
    </row>
    <row r="348" spans="1:13" s="176" customFormat="1" ht="18">
      <c r="A348" s="196"/>
      <c r="B348" s="196"/>
      <c r="C348" s="196"/>
      <c r="D348" s="196"/>
      <c r="E348" s="196"/>
      <c r="F348" s="196"/>
      <c r="G348" s="196"/>
      <c r="H348" s="196"/>
      <c r="I348" s="196"/>
      <c r="J348" s="196"/>
      <c r="K348" s="196"/>
      <c r="L348" s="196"/>
      <c r="M348" s="196"/>
    </row>
    <row r="349" spans="1:13" s="176" customFormat="1" ht="18">
      <c r="A349" s="196"/>
      <c r="B349" s="196"/>
      <c r="C349" s="196"/>
      <c r="D349" s="196"/>
      <c r="E349" s="196"/>
      <c r="F349" s="196"/>
      <c r="G349" s="196"/>
      <c r="H349" s="196"/>
      <c r="I349" s="196"/>
      <c r="J349" s="196"/>
      <c r="K349" s="196"/>
      <c r="L349" s="196"/>
      <c r="M349" s="196"/>
    </row>
    <row r="350" spans="1:13" s="176" customFormat="1" ht="18">
      <c r="A350" s="196"/>
      <c r="B350" s="196"/>
      <c r="C350" s="196"/>
      <c r="D350" s="196"/>
      <c r="E350" s="196"/>
      <c r="F350" s="196"/>
      <c r="G350" s="196"/>
      <c r="H350" s="196"/>
      <c r="I350" s="196"/>
      <c r="J350" s="196"/>
      <c r="K350" s="196"/>
      <c r="L350" s="196"/>
      <c r="M350" s="196"/>
    </row>
    <row r="351" spans="1:13" s="176" customFormat="1" ht="18">
      <c r="A351" s="196"/>
      <c r="B351" s="196"/>
      <c r="C351" s="196"/>
      <c r="D351" s="196"/>
      <c r="E351" s="196"/>
      <c r="F351" s="196"/>
      <c r="G351" s="196"/>
      <c r="H351" s="196"/>
      <c r="I351" s="196"/>
      <c r="J351" s="196"/>
      <c r="K351" s="196"/>
      <c r="L351" s="196"/>
      <c r="M351" s="196"/>
    </row>
    <row r="352" spans="1:13" s="176" customFormat="1" ht="18">
      <c r="A352" s="196"/>
      <c r="B352" s="196"/>
      <c r="C352" s="196"/>
      <c r="D352" s="196"/>
      <c r="E352" s="196"/>
      <c r="F352" s="196"/>
      <c r="G352" s="196"/>
      <c r="H352" s="196"/>
      <c r="I352" s="196"/>
      <c r="J352" s="196"/>
      <c r="K352" s="196"/>
      <c r="L352" s="196"/>
      <c r="M352" s="196"/>
    </row>
    <row r="353" spans="1:13" s="176" customFormat="1" ht="18">
      <c r="A353" s="196"/>
      <c r="B353" s="196"/>
      <c r="C353" s="196"/>
      <c r="D353" s="196"/>
      <c r="E353" s="196"/>
      <c r="F353" s="196"/>
      <c r="G353" s="196"/>
      <c r="H353" s="196"/>
      <c r="I353" s="196"/>
      <c r="J353" s="196"/>
      <c r="K353" s="196"/>
      <c r="L353" s="196"/>
      <c r="M353" s="196"/>
    </row>
    <row r="354" spans="1:13" s="176" customFormat="1" ht="18">
      <c r="A354" s="196"/>
      <c r="B354" s="196"/>
      <c r="C354" s="196"/>
      <c r="D354" s="196"/>
      <c r="E354" s="196"/>
      <c r="F354" s="196"/>
      <c r="G354" s="196"/>
      <c r="H354" s="196"/>
      <c r="I354" s="196"/>
      <c r="J354" s="196"/>
      <c r="K354" s="196"/>
      <c r="L354" s="196"/>
      <c r="M354" s="196"/>
    </row>
    <row r="355" spans="1:13" s="176" customFormat="1" ht="18">
      <c r="A355" s="196"/>
      <c r="B355" s="196"/>
      <c r="C355" s="196"/>
      <c r="D355" s="196"/>
      <c r="E355" s="196"/>
      <c r="F355" s="196"/>
      <c r="G355" s="196"/>
      <c r="H355" s="196"/>
      <c r="I355" s="196"/>
      <c r="J355" s="196"/>
      <c r="K355" s="196"/>
      <c r="L355" s="196"/>
      <c r="M355" s="196"/>
    </row>
    <row r="356" spans="1:13" s="176" customFormat="1" ht="18">
      <c r="A356" s="196"/>
      <c r="B356" s="196"/>
      <c r="C356" s="196"/>
      <c r="D356" s="196"/>
      <c r="E356" s="196"/>
      <c r="F356" s="196"/>
      <c r="G356" s="196"/>
      <c r="H356" s="196"/>
      <c r="I356" s="196"/>
      <c r="J356" s="196"/>
      <c r="K356" s="196"/>
      <c r="L356" s="196"/>
      <c r="M356" s="196"/>
    </row>
    <row r="357" spans="1:13" s="176" customFormat="1" ht="18">
      <c r="A357" s="196"/>
      <c r="B357" s="196"/>
      <c r="C357" s="196"/>
      <c r="D357" s="196"/>
      <c r="E357" s="196"/>
      <c r="F357" s="196"/>
      <c r="G357" s="196"/>
      <c r="H357" s="196"/>
      <c r="I357" s="196"/>
      <c r="J357" s="196"/>
      <c r="K357" s="196"/>
      <c r="L357" s="196"/>
      <c r="M357" s="196"/>
    </row>
    <row r="358" spans="1:13" s="176" customFormat="1" ht="18">
      <c r="A358" s="196"/>
      <c r="B358" s="196"/>
      <c r="C358" s="196"/>
      <c r="D358" s="196"/>
      <c r="E358" s="196"/>
      <c r="F358" s="196"/>
      <c r="G358" s="196"/>
      <c r="H358" s="196"/>
      <c r="I358" s="196"/>
      <c r="J358" s="196"/>
      <c r="K358" s="196"/>
      <c r="L358" s="196"/>
      <c r="M358" s="196"/>
    </row>
    <row r="359" spans="1:13" s="176" customFormat="1" ht="18">
      <c r="A359" s="196"/>
      <c r="B359" s="196"/>
      <c r="C359" s="196"/>
      <c r="D359" s="196"/>
      <c r="E359" s="196"/>
      <c r="F359" s="196"/>
      <c r="G359" s="196"/>
      <c r="H359" s="196"/>
      <c r="I359" s="196"/>
      <c r="J359" s="196"/>
      <c r="K359" s="196"/>
      <c r="L359" s="196"/>
      <c r="M359" s="196"/>
    </row>
    <row r="360" spans="1:13" s="176" customFormat="1" ht="18">
      <c r="A360" s="196"/>
      <c r="B360" s="196"/>
      <c r="C360" s="196"/>
      <c r="D360" s="196"/>
      <c r="E360" s="196"/>
      <c r="F360" s="196"/>
      <c r="G360" s="196"/>
      <c r="H360" s="196"/>
      <c r="I360" s="196"/>
      <c r="J360" s="196"/>
      <c r="K360" s="196"/>
      <c r="L360" s="196"/>
      <c r="M360" s="196"/>
    </row>
    <row r="361" spans="1:13" s="176" customFormat="1" ht="18">
      <c r="A361" s="196"/>
      <c r="B361" s="196"/>
      <c r="C361" s="196"/>
      <c r="D361" s="196"/>
      <c r="E361" s="196"/>
      <c r="F361" s="196"/>
      <c r="G361" s="196"/>
      <c r="H361" s="196"/>
      <c r="I361" s="196"/>
      <c r="J361" s="196"/>
      <c r="K361" s="196"/>
      <c r="L361" s="196"/>
      <c r="M361" s="196"/>
    </row>
    <row r="362" spans="1:13" s="176" customFormat="1" ht="18">
      <c r="A362" s="196"/>
      <c r="B362" s="196"/>
      <c r="C362" s="196"/>
      <c r="D362" s="196"/>
      <c r="E362" s="196"/>
      <c r="F362" s="196"/>
      <c r="G362" s="196"/>
      <c r="H362" s="196"/>
      <c r="I362" s="196"/>
      <c r="J362" s="196"/>
      <c r="K362" s="196"/>
      <c r="L362" s="196"/>
      <c r="M362" s="196"/>
    </row>
    <row r="363" spans="1:13" s="176" customFormat="1" ht="18">
      <c r="A363" s="196"/>
      <c r="B363" s="196"/>
      <c r="C363" s="196"/>
      <c r="D363" s="196"/>
      <c r="E363" s="196"/>
      <c r="F363" s="196"/>
      <c r="G363" s="196"/>
      <c r="H363" s="196"/>
      <c r="I363" s="196"/>
      <c r="J363" s="196"/>
      <c r="K363" s="196"/>
      <c r="L363" s="196"/>
      <c r="M363" s="196"/>
    </row>
    <row r="364" spans="1:13" s="176" customFormat="1" ht="18">
      <c r="A364" s="196"/>
      <c r="B364" s="196"/>
      <c r="C364" s="196"/>
      <c r="D364" s="196"/>
      <c r="E364" s="196"/>
      <c r="F364" s="196"/>
      <c r="G364" s="196"/>
      <c r="H364" s="196"/>
      <c r="I364" s="196"/>
      <c r="J364" s="196"/>
      <c r="K364" s="196"/>
      <c r="L364" s="196"/>
      <c r="M364" s="196"/>
    </row>
    <row r="365" spans="1:13" s="176" customFormat="1" ht="18">
      <c r="A365" s="196"/>
      <c r="B365" s="196"/>
      <c r="C365" s="196"/>
      <c r="D365" s="196"/>
      <c r="E365" s="196"/>
      <c r="F365" s="196"/>
      <c r="G365" s="196"/>
      <c r="H365" s="196"/>
      <c r="I365" s="196"/>
      <c r="J365" s="196"/>
      <c r="K365" s="196"/>
      <c r="L365" s="196"/>
      <c r="M365" s="196"/>
    </row>
    <row r="366" spans="1:13" s="176" customFormat="1" ht="18">
      <c r="A366" s="196"/>
      <c r="B366" s="196"/>
      <c r="C366" s="196"/>
      <c r="D366" s="196"/>
      <c r="E366" s="196"/>
      <c r="F366" s="196"/>
      <c r="G366" s="196"/>
      <c r="H366" s="196"/>
      <c r="I366" s="196"/>
      <c r="J366" s="196"/>
      <c r="K366" s="196"/>
      <c r="L366" s="196"/>
      <c r="M366" s="196"/>
    </row>
    <row r="367" spans="1:13" s="176" customFormat="1" ht="18">
      <c r="A367" s="196"/>
      <c r="B367" s="196"/>
      <c r="C367" s="196"/>
      <c r="D367" s="196"/>
      <c r="E367" s="196"/>
      <c r="F367" s="196"/>
      <c r="G367" s="196"/>
      <c r="H367" s="196"/>
      <c r="I367" s="196"/>
      <c r="J367" s="196"/>
      <c r="K367" s="196"/>
      <c r="L367" s="196"/>
      <c r="M367" s="196"/>
    </row>
    <row r="368" spans="1:13" s="176" customFormat="1" ht="18">
      <c r="A368" s="196"/>
      <c r="B368" s="196"/>
      <c r="C368" s="196"/>
      <c r="D368" s="196"/>
      <c r="E368" s="196"/>
      <c r="F368" s="196"/>
      <c r="G368" s="196"/>
      <c r="H368" s="196"/>
      <c r="I368" s="196"/>
      <c r="J368" s="196"/>
      <c r="K368" s="196"/>
      <c r="L368" s="196"/>
      <c r="M368" s="196"/>
    </row>
    <row r="369" spans="1:13" s="176" customFormat="1" ht="18">
      <c r="A369" s="196"/>
      <c r="B369" s="196"/>
      <c r="C369" s="196"/>
      <c r="D369" s="196"/>
      <c r="E369" s="196"/>
      <c r="F369" s="196"/>
      <c r="G369" s="196"/>
      <c r="H369" s="196"/>
      <c r="I369" s="196"/>
      <c r="J369" s="196"/>
      <c r="K369" s="196"/>
      <c r="L369" s="196"/>
      <c r="M369" s="196"/>
    </row>
    <row r="370" spans="1:13" s="176" customFormat="1" ht="18">
      <c r="A370" s="196"/>
      <c r="B370" s="196"/>
      <c r="C370" s="196"/>
      <c r="D370" s="196"/>
      <c r="E370" s="196"/>
      <c r="F370" s="196"/>
      <c r="G370" s="196"/>
      <c r="H370" s="196"/>
      <c r="I370" s="196"/>
      <c r="J370" s="196"/>
      <c r="K370" s="196"/>
      <c r="L370" s="196"/>
      <c r="M370" s="196"/>
    </row>
    <row r="371" spans="1:13" s="176" customFormat="1" ht="18">
      <c r="A371" s="196"/>
      <c r="B371" s="196"/>
      <c r="C371" s="196"/>
      <c r="D371" s="196"/>
      <c r="E371" s="196"/>
      <c r="F371" s="196"/>
      <c r="G371" s="196"/>
      <c r="H371" s="196"/>
      <c r="I371" s="196"/>
      <c r="J371" s="196"/>
      <c r="K371" s="196"/>
      <c r="L371" s="196"/>
      <c r="M371" s="196"/>
    </row>
    <row r="372" spans="1:13" s="176" customFormat="1" ht="18">
      <c r="A372" s="196"/>
      <c r="B372" s="196"/>
      <c r="C372" s="196"/>
      <c r="D372" s="196"/>
      <c r="E372" s="196"/>
      <c r="F372" s="196"/>
      <c r="G372" s="196"/>
      <c r="H372" s="196"/>
      <c r="I372" s="196"/>
      <c r="J372" s="196"/>
      <c r="K372" s="196"/>
      <c r="L372" s="196"/>
      <c r="M372" s="196"/>
    </row>
    <row r="373" spans="1:13" s="176" customFormat="1" ht="18">
      <c r="A373" s="196"/>
      <c r="B373" s="196"/>
      <c r="C373" s="196"/>
      <c r="D373" s="196"/>
      <c r="E373" s="196"/>
      <c r="F373" s="196"/>
      <c r="G373" s="196"/>
      <c r="H373" s="196"/>
      <c r="I373" s="196"/>
      <c r="J373" s="196"/>
      <c r="K373" s="196"/>
      <c r="L373" s="196"/>
      <c r="M373" s="196"/>
    </row>
    <row r="374" spans="1:13" s="176" customFormat="1" ht="17.399999999999999"/>
    <row r="375" spans="1:13" s="176" customFormat="1" ht="17.399999999999999"/>
    <row r="376" spans="1:13" s="176" customFormat="1" ht="17.399999999999999"/>
    <row r="377" spans="1:13" s="176" customFormat="1" ht="17.399999999999999"/>
    <row r="378" spans="1:13" s="176" customFormat="1" ht="17.399999999999999"/>
    <row r="379" spans="1:13" s="176" customFormat="1" ht="17.399999999999999"/>
    <row r="380" spans="1:13" s="176" customFormat="1" ht="17.399999999999999"/>
    <row r="381" spans="1:13" s="176" customFormat="1" ht="17.399999999999999"/>
    <row r="382" spans="1:13" s="176" customFormat="1" ht="17.399999999999999"/>
    <row r="383" spans="1:13" s="176" customFormat="1" ht="17.399999999999999"/>
    <row r="384" spans="1:13" s="176" customFormat="1" ht="17.399999999999999"/>
    <row r="385" s="176" customFormat="1" ht="17.399999999999999"/>
    <row r="386" s="176" customFormat="1" ht="17.399999999999999"/>
    <row r="387" s="176" customFormat="1" ht="17.399999999999999"/>
    <row r="388" s="176" customFormat="1" ht="17.399999999999999"/>
    <row r="389" s="176" customFormat="1" ht="17.399999999999999"/>
    <row r="390" s="176" customFormat="1" ht="17.399999999999999"/>
    <row r="391" s="176" customFormat="1" ht="17.399999999999999"/>
    <row r="392" s="176" customFormat="1" ht="17.399999999999999"/>
    <row r="393" s="176" customFormat="1" ht="17.399999999999999"/>
    <row r="394" s="176" customFormat="1" ht="17.399999999999999"/>
    <row r="395" s="176" customFormat="1" ht="17.399999999999999"/>
    <row r="396" s="176" customFormat="1" ht="17.399999999999999"/>
    <row r="397" s="176" customFormat="1" ht="17.399999999999999"/>
    <row r="398" s="176" customFormat="1" ht="17.399999999999999"/>
    <row r="399" s="176" customFormat="1" ht="17.399999999999999"/>
    <row r="400" s="176" customFormat="1" ht="17.399999999999999"/>
    <row r="401" s="176" customFormat="1" ht="17.399999999999999"/>
    <row r="402" s="176" customFormat="1" ht="17.399999999999999"/>
    <row r="403" s="176" customFormat="1" ht="17.399999999999999"/>
    <row r="404" s="176" customFormat="1" ht="17.399999999999999"/>
    <row r="405" s="176" customFormat="1" ht="17.399999999999999"/>
    <row r="406" s="176" customFormat="1" ht="17.399999999999999"/>
    <row r="407" s="176" customFormat="1" ht="17.399999999999999"/>
    <row r="408" s="176" customFormat="1" ht="17.399999999999999"/>
    <row r="409" s="176" customFormat="1" ht="17.399999999999999"/>
    <row r="410" s="176" customFormat="1" ht="17.399999999999999"/>
    <row r="411" s="176" customFormat="1" ht="17.399999999999999"/>
    <row r="412" s="176" customFormat="1" ht="17.399999999999999"/>
    <row r="413" s="176" customFormat="1" ht="17.399999999999999"/>
    <row r="414" s="176" customFormat="1" ht="17.399999999999999"/>
    <row r="415" s="176" customFormat="1" ht="17.399999999999999"/>
    <row r="416" s="176" customFormat="1" ht="17.399999999999999"/>
    <row r="417" spans="3:17" s="176" customFormat="1" ht="17.399999999999999"/>
    <row r="418" spans="3:17" s="176" customFormat="1" ht="17.399999999999999"/>
    <row r="419" spans="3:17" s="176" customFormat="1" ht="17.399999999999999"/>
    <row r="420" spans="3:17" s="176" customFormat="1" ht="17.399999999999999"/>
    <row r="421" spans="3:17" s="176" customFormat="1" ht="17.399999999999999"/>
    <row r="422" spans="3:17" s="176" customFormat="1" ht="17.399999999999999"/>
    <row r="423" spans="3:17" s="176" customFormat="1" ht="17.399999999999999"/>
    <row r="424" spans="3:17" s="176" customFormat="1" ht="17.399999999999999"/>
    <row r="425" spans="3:17" s="176" customFormat="1" ht="17.399999999999999"/>
    <row r="426" spans="3:17" s="176" customFormat="1" ht="17.399999999999999"/>
    <row r="427" spans="3:17" s="176" customFormat="1" ht="17.399999999999999"/>
    <row r="428" spans="3:17" s="176" customFormat="1" ht="17.399999999999999"/>
    <row r="429" spans="3:17" s="176" customFormat="1" ht="17.399999999999999"/>
    <row r="430" spans="3:17" s="176" customFormat="1" ht="17.399999999999999"/>
    <row r="431" spans="3:17">
      <c r="C431" s="144"/>
      <c r="D431" s="144"/>
      <c r="E431" s="144"/>
      <c r="F431" s="144"/>
      <c r="G431" s="144"/>
      <c r="H431" s="144"/>
      <c r="I431" s="144"/>
      <c r="J431" s="144"/>
      <c r="K431" s="144"/>
      <c r="L431" s="144"/>
      <c r="M431" s="144"/>
      <c r="N431" s="144"/>
      <c r="O431" s="144"/>
      <c r="P431" s="144"/>
      <c r="Q431" s="144"/>
    </row>
    <row r="432" spans="3:17">
      <c r="C432" s="144"/>
      <c r="D432" s="144"/>
      <c r="E432" s="144"/>
      <c r="F432" s="144"/>
      <c r="G432" s="144"/>
      <c r="H432" s="144"/>
      <c r="I432" s="144"/>
      <c r="J432" s="144"/>
      <c r="K432" s="144"/>
      <c r="L432" s="144"/>
      <c r="M432" s="144"/>
      <c r="N432" s="144"/>
      <c r="O432" s="144"/>
      <c r="P432" s="144"/>
      <c r="Q432" s="144"/>
    </row>
    <row r="433" spans="3:17">
      <c r="C433" s="144"/>
      <c r="D433" s="144"/>
      <c r="E433" s="144"/>
      <c r="F433" s="144"/>
      <c r="G433" s="144"/>
      <c r="H433" s="144"/>
      <c r="I433" s="144"/>
      <c r="J433" s="144"/>
      <c r="K433" s="144"/>
      <c r="L433" s="144"/>
      <c r="M433" s="144"/>
      <c r="N433" s="144"/>
      <c r="O433" s="144"/>
      <c r="P433" s="144"/>
      <c r="Q433" s="144"/>
    </row>
    <row r="434" spans="3:17">
      <c r="C434" s="144"/>
      <c r="D434" s="144"/>
      <c r="E434" s="144"/>
      <c r="F434" s="144"/>
      <c r="G434" s="144"/>
      <c r="H434" s="144"/>
      <c r="I434" s="144"/>
      <c r="J434" s="144"/>
      <c r="K434" s="144"/>
      <c r="L434" s="144"/>
      <c r="M434" s="144"/>
      <c r="N434" s="144"/>
      <c r="O434" s="144"/>
      <c r="P434" s="144"/>
      <c r="Q434" s="144"/>
    </row>
    <row r="435" spans="3:17">
      <c r="C435" s="144"/>
      <c r="D435" s="144"/>
      <c r="E435" s="144"/>
      <c r="F435" s="144"/>
      <c r="G435" s="144"/>
      <c r="H435" s="144"/>
      <c r="I435" s="144"/>
      <c r="J435" s="144"/>
      <c r="K435" s="144"/>
      <c r="L435" s="144"/>
      <c r="M435" s="144"/>
      <c r="N435" s="144"/>
      <c r="O435" s="144"/>
      <c r="P435" s="144"/>
      <c r="Q435" s="144"/>
    </row>
    <row r="436" spans="3:17">
      <c r="C436" s="144"/>
      <c r="D436" s="144"/>
      <c r="E436" s="144"/>
      <c r="F436" s="144"/>
      <c r="G436" s="144"/>
      <c r="H436" s="144"/>
      <c r="I436" s="144"/>
      <c r="J436" s="144"/>
      <c r="K436" s="144"/>
      <c r="L436" s="144"/>
      <c r="M436" s="144"/>
      <c r="N436" s="144"/>
      <c r="O436" s="144"/>
      <c r="P436" s="144"/>
      <c r="Q436" s="144"/>
    </row>
    <row r="437" spans="3:17">
      <c r="C437" s="144"/>
      <c r="D437" s="144"/>
      <c r="E437" s="144"/>
      <c r="F437" s="144"/>
      <c r="G437" s="144"/>
      <c r="H437" s="144"/>
      <c r="I437" s="144"/>
      <c r="J437" s="144"/>
      <c r="K437" s="144"/>
      <c r="L437" s="144"/>
      <c r="M437" s="144"/>
      <c r="N437" s="144"/>
      <c r="O437" s="144"/>
      <c r="P437" s="144"/>
      <c r="Q437" s="144"/>
    </row>
    <row r="438" spans="3:17">
      <c r="C438" s="144"/>
      <c r="D438" s="144"/>
      <c r="E438" s="144"/>
      <c r="F438" s="144"/>
      <c r="G438" s="144"/>
      <c r="H438" s="144"/>
      <c r="I438" s="144"/>
      <c r="J438" s="144"/>
      <c r="K438" s="144"/>
      <c r="L438" s="144"/>
      <c r="M438" s="144"/>
      <c r="N438" s="144"/>
      <c r="O438" s="144"/>
      <c r="P438" s="144"/>
      <c r="Q438" s="144"/>
    </row>
    <row r="439" spans="3:17">
      <c r="C439" s="144"/>
      <c r="D439" s="144"/>
      <c r="E439" s="144"/>
      <c r="F439" s="144"/>
      <c r="G439" s="144"/>
      <c r="H439" s="144"/>
      <c r="I439" s="144"/>
      <c r="J439" s="144"/>
      <c r="K439" s="144"/>
      <c r="L439" s="144"/>
      <c r="M439" s="144"/>
      <c r="N439" s="144"/>
      <c r="O439" s="144"/>
      <c r="P439" s="144"/>
      <c r="Q439" s="144"/>
    </row>
    <row r="440" spans="3:17">
      <c r="C440" s="144"/>
      <c r="D440" s="144"/>
      <c r="E440" s="144"/>
      <c r="F440" s="144"/>
      <c r="G440" s="144"/>
      <c r="H440" s="144"/>
      <c r="I440" s="144"/>
      <c r="J440" s="144"/>
      <c r="K440" s="144"/>
      <c r="L440" s="144"/>
      <c r="M440" s="144"/>
      <c r="N440" s="144"/>
      <c r="O440" s="144"/>
      <c r="P440" s="144"/>
      <c r="Q440" s="144"/>
    </row>
    <row r="441" spans="3:17">
      <c r="C441" s="144"/>
      <c r="D441" s="144"/>
      <c r="E441" s="144"/>
      <c r="F441" s="144"/>
      <c r="G441" s="144"/>
      <c r="H441" s="144"/>
      <c r="I441" s="144"/>
      <c r="J441" s="144"/>
      <c r="K441" s="144"/>
      <c r="L441" s="144"/>
      <c r="M441" s="144"/>
      <c r="N441" s="144"/>
      <c r="O441" s="144"/>
      <c r="P441" s="144"/>
      <c r="Q441" s="144"/>
    </row>
    <row r="442" spans="3:17">
      <c r="C442" s="144"/>
      <c r="D442" s="144"/>
      <c r="E442" s="144"/>
      <c r="F442" s="144"/>
      <c r="G442" s="144"/>
      <c r="H442" s="144"/>
      <c r="I442" s="144"/>
      <c r="J442" s="144"/>
      <c r="K442" s="144"/>
      <c r="L442" s="144"/>
      <c r="M442" s="144"/>
      <c r="N442" s="144"/>
      <c r="O442" s="144"/>
      <c r="P442" s="144"/>
      <c r="Q442" s="144"/>
    </row>
    <row r="443" spans="3:17">
      <c r="C443" s="144"/>
      <c r="D443" s="144"/>
      <c r="E443" s="144"/>
      <c r="F443" s="144"/>
      <c r="G443" s="144"/>
      <c r="H443" s="144"/>
      <c r="I443" s="144"/>
      <c r="J443" s="144"/>
      <c r="K443" s="144"/>
      <c r="L443" s="144"/>
      <c r="M443" s="144"/>
      <c r="N443" s="144"/>
      <c r="O443" s="144"/>
      <c r="P443" s="144"/>
      <c r="Q443" s="144"/>
    </row>
    <row r="444" spans="3:17">
      <c r="C444" s="144"/>
      <c r="D444" s="144"/>
      <c r="E444" s="144"/>
      <c r="F444" s="144"/>
      <c r="G444" s="144"/>
      <c r="H444" s="144"/>
      <c r="I444" s="144"/>
      <c r="J444" s="144"/>
      <c r="K444" s="144"/>
      <c r="L444" s="144"/>
      <c r="M444" s="144"/>
      <c r="N444" s="144"/>
      <c r="O444" s="144"/>
      <c r="P444" s="144"/>
      <c r="Q444" s="144"/>
    </row>
    <row r="445" spans="3:17">
      <c r="C445" s="144"/>
      <c r="D445" s="144"/>
      <c r="E445" s="144"/>
      <c r="F445" s="144"/>
      <c r="G445" s="144"/>
      <c r="H445" s="144"/>
      <c r="I445" s="144"/>
      <c r="J445" s="144"/>
      <c r="K445" s="144"/>
      <c r="L445" s="144"/>
      <c r="M445" s="144"/>
      <c r="N445" s="144"/>
      <c r="O445" s="144"/>
      <c r="P445" s="144"/>
      <c r="Q445" s="144"/>
    </row>
    <row r="446" spans="3:17">
      <c r="C446" s="144"/>
      <c r="D446" s="144"/>
      <c r="E446" s="144"/>
      <c r="F446" s="144"/>
      <c r="G446" s="144"/>
      <c r="H446" s="144"/>
      <c r="I446" s="144"/>
      <c r="J446" s="144"/>
      <c r="K446" s="144"/>
      <c r="L446" s="144"/>
      <c r="M446" s="144"/>
      <c r="N446" s="144"/>
      <c r="O446" s="144"/>
      <c r="P446" s="144"/>
      <c r="Q446" s="144"/>
    </row>
    <row r="447" spans="3:17">
      <c r="C447" s="144"/>
      <c r="D447" s="144"/>
      <c r="E447" s="144"/>
      <c r="F447" s="144"/>
      <c r="G447" s="144"/>
      <c r="H447" s="144"/>
      <c r="I447" s="144"/>
      <c r="J447" s="144"/>
      <c r="K447" s="144"/>
      <c r="L447" s="144"/>
      <c r="M447" s="144"/>
      <c r="N447" s="144"/>
      <c r="O447" s="144"/>
      <c r="P447" s="144"/>
      <c r="Q447" s="144"/>
    </row>
    <row r="448" spans="3:17">
      <c r="C448" s="144"/>
      <c r="D448" s="144"/>
      <c r="E448" s="144"/>
      <c r="F448" s="144"/>
      <c r="G448" s="144"/>
      <c r="H448" s="144"/>
      <c r="I448" s="144"/>
      <c r="J448" s="144"/>
      <c r="K448" s="144"/>
      <c r="L448" s="144"/>
      <c r="M448" s="144"/>
      <c r="N448" s="144"/>
      <c r="O448" s="144"/>
      <c r="P448" s="144"/>
      <c r="Q448" s="144"/>
    </row>
    <row r="449" spans="3:17">
      <c r="C449" s="144"/>
      <c r="D449" s="144"/>
      <c r="E449" s="144"/>
      <c r="F449" s="144"/>
      <c r="G449" s="144"/>
      <c r="H449" s="144"/>
      <c r="I449" s="144"/>
      <c r="J449" s="144"/>
      <c r="K449" s="144"/>
      <c r="L449" s="144"/>
      <c r="M449" s="144"/>
      <c r="N449" s="144"/>
      <c r="O449" s="144"/>
      <c r="P449" s="144"/>
      <c r="Q449" s="144"/>
    </row>
    <row r="450" spans="3:17">
      <c r="C450" s="144"/>
      <c r="D450" s="144"/>
      <c r="E450" s="144"/>
      <c r="F450" s="144"/>
      <c r="G450" s="144"/>
      <c r="H450" s="144"/>
      <c r="I450" s="144"/>
      <c r="J450" s="144"/>
      <c r="K450" s="144"/>
      <c r="L450" s="144"/>
      <c r="M450" s="144"/>
      <c r="N450" s="144"/>
      <c r="O450" s="144"/>
      <c r="P450" s="144"/>
      <c r="Q450" s="144"/>
    </row>
    <row r="451" spans="3:17">
      <c r="C451" s="144"/>
      <c r="D451" s="144"/>
      <c r="E451" s="144"/>
      <c r="F451" s="144"/>
      <c r="G451" s="144"/>
      <c r="H451" s="144"/>
      <c r="I451" s="144"/>
      <c r="J451" s="144"/>
      <c r="K451" s="144"/>
      <c r="L451" s="144"/>
      <c r="M451" s="144"/>
      <c r="N451" s="144"/>
      <c r="O451" s="144"/>
      <c r="P451" s="144"/>
      <c r="Q451" s="144"/>
    </row>
    <row r="452" spans="3:17">
      <c r="C452" s="144"/>
      <c r="D452" s="144"/>
      <c r="E452" s="144"/>
      <c r="F452" s="144"/>
      <c r="G452" s="144"/>
      <c r="H452" s="144"/>
      <c r="I452" s="144"/>
      <c r="J452" s="144"/>
      <c r="K452" s="144"/>
      <c r="L452" s="144"/>
      <c r="M452" s="144"/>
      <c r="N452" s="144"/>
      <c r="O452" s="144"/>
      <c r="P452" s="144"/>
      <c r="Q452" s="144"/>
    </row>
    <row r="453" spans="3:17">
      <c r="C453" s="144"/>
      <c r="D453" s="144"/>
      <c r="E453" s="144"/>
      <c r="F453" s="144"/>
      <c r="G453" s="144"/>
      <c r="H453" s="144"/>
      <c r="I453" s="144"/>
      <c r="J453" s="144"/>
      <c r="K453" s="144"/>
      <c r="L453" s="144"/>
      <c r="M453" s="144"/>
      <c r="N453" s="144"/>
      <c r="O453" s="144"/>
      <c r="P453" s="144"/>
      <c r="Q453" s="144"/>
    </row>
    <row r="454" spans="3:17">
      <c r="C454" s="144"/>
      <c r="D454" s="144"/>
      <c r="E454" s="144"/>
      <c r="F454" s="144"/>
      <c r="G454" s="144"/>
      <c r="H454" s="144"/>
      <c r="I454" s="144"/>
      <c r="J454" s="144"/>
      <c r="K454" s="144"/>
      <c r="L454" s="144"/>
      <c r="M454" s="144"/>
      <c r="N454" s="144"/>
      <c r="O454" s="144"/>
      <c r="P454" s="144"/>
      <c r="Q454" s="144"/>
    </row>
    <row r="455" spans="3:17">
      <c r="C455" s="144"/>
      <c r="D455" s="144"/>
      <c r="E455" s="144"/>
      <c r="F455" s="144"/>
      <c r="G455" s="144"/>
      <c r="H455" s="144"/>
      <c r="I455" s="144"/>
      <c r="J455" s="144"/>
      <c r="K455" s="144"/>
      <c r="L455" s="144"/>
      <c r="M455" s="144"/>
      <c r="N455" s="144"/>
      <c r="O455" s="144"/>
      <c r="P455" s="144"/>
      <c r="Q455" s="144"/>
    </row>
    <row r="456" spans="3:17">
      <c r="C456" s="144"/>
      <c r="D456" s="144"/>
      <c r="E456" s="144"/>
      <c r="F456" s="144"/>
      <c r="G456" s="144"/>
      <c r="H456" s="144"/>
      <c r="I456" s="144"/>
      <c r="J456" s="144"/>
      <c r="K456" s="144"/>
      <c r="L456" s="144"/>
      <c r="M456" s="144"/>
      <c r="N456" s="144"/>
      <c r="O456" s="144"/>
      <c r="P456" s="144"/>
      <c r="Q456" s="144"/>
    </row>
    <row r="457" spans="3:17">
      <c r="C457" s="144"/>
      <c r="D457" s="144"/>
      <c r="E457" s="144"/>
      <c r="F457" s="144"/>
      <c r="G457" s="144"/>
      <c r="H457" s="144"/>
      <c r="I457" s="144"/>
      <c r="J457" s="144"/>
      <c r="K457" s="144"/>
      <c r="L457" s="144"/>
      <c r="M457" s="144"/>
      <c r="N457" s="144"/>
      <c r="O457" s="144"/>
      <c r="P457" s="144"/>
      <c r="Q457" s="144"/>
    </row>
    <row r="458" spans="3:17">
      <c r="C458" s="144"/>
      <c r="D458" s="144"/>
      <c r="E458" s="144"/>
      <c r="F458" s="144"/>
      <c r="G458" s="144"/>
      <c r="H458" s="144"/>
      <c r="I458" s="144"/>
      <c r="J458" s="144"/>
      <c r="K458" s="144"/>
      <c r="L458" s="144"/>
      <c r="M458" s="144"/>
      <c r="N458" s="144"/>
      <c r="O458" s="144"/>
      <c r="P458" s="144"/>
      <c r="Q458" s="144"/>
    </row>
    <row r="459" spans="3:17">
      <c r="C459" s="144"/>
      <c r="D459" s="144"/>
      <c r="E459" s="144"/>
      <c r="F459" s="144"/>
      <c r="G459" s="144"/>
      <c r="H459" s="144"/>
      <c r="I459" s="144"/>
      <c r="J459" s="144"/>
      <c r="K459" s="144"/>
      <c r="L459" s="144"/>
      <c r="M459" s="144"/>
      <c r="N459" s="144"/>
      <c r="O459" s="144"/>
      <c r="P459" s="144"/>
      <c r="Q459" s="144"/>
    </row>
    <row r="460" spans="3:17">
      <c r="C460" s="144"/>
      <c r="D460" s="144"/>
      <c r="E460" s="144"/>
      <c r="F460" s="144"/>
      <c r="G460" s="144"/>
      <c r="H460" s="144"/>
      <c r="I460" s="144"/>
      <c r="J460" s="144"/>
      <c r="K460" s="144"/>
      <c r="L460" s="144"/>
      <c r="M460" s="144"/>
      <c r="N460" s="144"/>
      <c r="O460" s="144"/>
      <c r="P460" s="144"/>
      <c r="Q460" s="144"/>
    </row>
    <row r="461" spans="3:17">
      <c r="C461" s="144"/>
      <c r="D461" s="144"/>
      <c r="E461" s="144"/>
      <c r="F461" s="144"/>
      <c r="G461" s="144"/>
      <c r="H461" s="144"/>
      <c r="I461" s="144"/>
      <c r="J461" s="144"/>
      <c r="K461" s="144"/>
      <c r="L461" s="144"/>
      <c r="M461" s="144"/>
      <c r="N461" s="144"/>
      <c r="O461" s="144"/>
      <c r="P461" s="144"/>
      <c r="Q461" s="144"/>
    </row>
    <row r="462" spans="3:17">
      <c r="C462" s="144"/>
      <c r="D462" s="144"/>
      <c r="E462" s="144"/>
      <c r="F462" s="144"/>
      <c r="G462" s="144"/>
      <c r="H462" s="144"/>
      <c r="I462" s="144"/>
      <c r="J462" s="144"/>
      <c r="K462" s="144"/>
      <c r="L462" s="144"/>
      <c r="M462" s="144"/>
      <c r="N462" s="144"/>
      <c r="O462" s="144"/>
      <c r="P462" s="144"/>
      <c r="Q462" s="144"/>
    </row>
    <row r="463" spans="3:17">
      <c r="C463" s="144"/>
      <c r="D463" s="144"/>
      <c r="E463" s="144"/>
      <c r="F463" s="144"/>
      <c r="G463" s="144"/>
      <c r="H463" s="144"/>
      <c r="I463" s="144"/>
      <c r="J463" s="144"/>
      <c r="K463" s="144"/>
      <c r="L463" s="144"/>
      <c r="M463" s="144"/>
      <c r="N463" s="144"/>
      <c r="O463" s="144"/>
      <c r="P463" s="144"/>
      <c r="Q463" s="144"/>
    </row>
    <row r="464" spans="3:17">
      <c r="C464" s="144"/>
      <c r="D464" s="144"/>
      <c r="E464" s="144"/>
      <c r="F464" s="144"/>
      <c r="G464" s="144"/>
      <c r="H464" s="144"/>
      <c r="I464" s="144"/>
      <c r="J464" s="144"/>
      <c r="K464" s="144"/>
      <c r="L464" s="144"/>
      <c r="M464" s="144"/>
      <c r="N464" s="144"/>
      <c r="O464" s="144"/>
      <c r="P464" s="144"/>
      <c r="Q464" s="144"/>
    </row>
    <row r="465" spans="3:17">
      <c r="C465" s="144"/>
      <c r="D465" s="144"/>
      <c r="E465" s="144"/>
      <c r="F465" s="144"/>
      <c r="G465" s="144"/>
      <c r="H465" s="144"/>
      <c r="I465" s="144"/>
      <c r="J465" s="144"/>
      <c r="K465" s="144"/>
      <c r="L465" s="144"/>
      <c r="M465" s="144"/>
      <c r="N465" s="144"/>
      <c r="O465" s="144"/>
      <c r="P465" s="144"/>
      <c r="Q465" s="144"/>
    </row>
    <row r="466" spans="3:17">
      <c r="C466" s="144"/>
      <c r="D466" s="144"/>
      <c r="E466" s="144"/>
      <c r="F466" s="144"/>
      <c r="G466" s="144"/>
      <c r="H466" s="144"/>
      <c r="I466" s="144"/>
      <c r="J466" s="144"/>
      <c r="K466" s="144"/>
      <c r="L466" s="144"/>
      <c r="M466" s="144"/>
      <c r="N466" s="144"/>
      <c r="O466" s="144"/>
      <c r="P466" s="144"/>
      <c r="Q466" s="144"/>
    </row>
    <row r="467" spans="3:17">
      <c r="C467" s="144"/>
      <c r="D467" s="144"/>
      <c r="E467" s="144"/>
      <c r="F467" s="144"/>
      <c r="G467" s="144"/>
      <c r="H467" s="144"/>
      <c r="I467" s="144"/>
      <c r="J467" s="144"/>
      <c r="K467" s="144"/>
      <c r="L467" s="144"/>
      <c r="M467" s="144"/>
      <c r="N467" s="144"/>
      <c r="O467" s="144"/>
      <c r="P467" s="144"/>
      <c r="Q467" s="144"/>
    </row>
    <row r="468" spans="3:17">
      <c r="C468" s="144"/>
      <c r="D468" s="144"/>
      <c r="E468" s="144"/>
      <c r="F468" s="144"/>
      <c r="G468" s="144"/>
      <c r="H468" s="144"/>
      <c r="I468" s="144"/>
      <c r="J468" s="144"/>
      <c r="K468" s="144"/>
      <c r="L468" s="144"/>
      <c r="M468" s="144"/>
      <c r="N468" s="144"/>
      <c r="O468" s="144"/>
      <c r="P468" s="144"/>
      <c r="Q468" s="144"/>
    </row>
    <row r="469" spans="3:17">
      <c r="C469" s="144"/>
      <c r="D469" s="144"/>
      <c r="E469" s="144"/>
      <c r="F469" s="144"/>
      <c r="G469" s="144"/>
      <c r="H469" s="144"/>
      <c r="I469" s="144"/>
      <c r="J469" s="144"/>
      <c r="K469" s="144"/>
      <c r="L469" s="144"/>
      <c r="M469" s="144"/>
      <c r="N469" s="144"/>
      <c r="O469" s="144"/>
      <c r="P469" s="144"/>
      <c r="Q469" s="144"/>
    </row>
    <row r="470" spans="3:17">
      <c r="C470" s="144"/>
      <c r="D470" s="144"/>
      <c r="E470" s="144"/>
      <c r="F470" s="144"/>
      <c r="G470" s="144"/>
      <c r="H470" s="144"/>
      <c r="I470" s="144"/>
      <c r="J470" s="144"/>
      <c r="K470" s="144"/>
      <c r="L470" s="144"/>
      <c r="M470" s="144"/>
      <c r="N470" s="144"/>
      <c r="O470" s="144"/>
      <c r="P470" s="144"/>
      <c r="Q470" s="144"/>
    </row>
    <row r="471" spans="3:17">
      <c r="C471" s="144"/>
      <c r="D471" s="144"/>
      <c r="E471" s="144"/>
      <c r="F471" s="144"/>
      <c r="G471" s="144"/>
      <c r="H471" s="144"/>
      <c r="I471" s="144"/>
      <c r="J471" s="144"/>
      <c r="K471" s="144"/>
      <c r="L471" s="144"/>
      <c r="M471" s="144"/>
      <c r="N471" s="144"/>
      <c r="O471" s="144"/>
      <c r="P471" s="144"/>
      <c r="Q471" s="144"/>
    </row>
    <row r="472" spans="3:17">
      <c r="C472" s="144"/>
      <c r="D472" s="144"/>
      <c r="E472" s="144"/>
      <c r="F472" s="144"/>
      <c r="G472" s="144"/>
      <c r="H472" s="144"/>
      <c r="I472" s="144"/>
      <c r="J472" s="144"/>
      <c r="K472" s="144"/>
      <c r="L472" s="144"/>
      <c r="M472" s="144"/>
      <c r="N472" s="144"/>
      <c r="O472" s="144"/>
      <c r="P472" s="144"/>
      <c r="Q472" s="144"/>
    </row>
    <row r="473" spans="3:17">
      <c r="C473" s="144"/>
      <c r="D473" s="144"/>
      <c r="E473" s="144"/>
      <c r="F473" s="144"/>
      <c r="G473" s="144"/>
      <c r="H473" s="144"/>
      <c r="I473" s="144"/>
      <c r="J473" s="144"/>
      <c r="K473" s="144"/>
      <c r="L473" s="144"/>
      <c r="M473" s="144"/>
      <c r="N473" s="144"/>
      <c r="O473" s="144"/>
      <c r="P473" s="144"/>
      <c r="Q473" s="144"/>
    </row>
    <row r="474" spans="3:17">
      <c r="C474" s="144"/>
      <c r="D474" s="144"/>
      <c r="E474" s="144"/>
      <c r="F474" s="144"/>
      <c r="G474" s="144"/>
      <c r="H474" s="144"/>
      <c r="I474" s="144"/>
      <c r="J474" s="144"/>
      <c r="K474" s="144"/>
      <c r="L474" s="144"/>
      <c r="M474" s="144"/>
      <c r="N474" s="144"/>
      <c r="O474" s="144"/>
      <c r="P474" s="144"/>
      <c r="Q474" s="144"/>
    </row>
    <row r="475" spans="3:17">
      <c r="C475" s="144"/>
      <c r="D475" s="144"/>
      <c r="E475" s="144"/>
      <c r="F475" s="144"/>
      <c r="G475" s="144"/>
      <c r="H475" s="144"/>
      <c r="I475" s="144"/>
      <c r="J475" s="144"/>
      <c r="K475" s="144"/>
      <c r="L475" s="144"/>
      <c r="M475" s="144"/>
      <c r="N475" s="144"/>
      <c r="O475" s="144"/>
      <c r="P475" s="144"/>
      <c r="Q475" s="144"/>
    </row>
    <row r="476" spans="3:17">
      <c r="C476" s="144"/>
      <c r="D476" s="144"/>
      <c r="E476" s="144"/>
      <c r="F476" s="144"/>
      <c r="G476" s="144"/>
      <c r="H476" s="144"/>
      <c r="I476" s="144"/>
      <c r="J476" s="144"/>
      <c r="K476" s="144"/>
      <c r="L476" s="144"/>
      <c r="M476" s="144"/>
      <c r="N476" s="144"/>
      <c r="O476" s="144"/>
      <c r="P476" s="144"/>
      <c r="Q476" s="144"/>
    </row>
    <row r="477" spans="3:17">
      <c r="C477" s="144"/>
      <c r="D477" s="144"/>
      <c r="E477" s="144"/>
      <c r="F477" s="144"/>
      <c r="G477" s="144"/>
      <c r="H477" s="144"/>
      <c r="I477" s="144"/>
      <c r="J477" s="144"/>
      <c r="K477" s="144"/>
      <c r="L477" s="144"/>
      <c r="M477" s="144"/>
      <c r="N477" s="144"/>
      <c r="O477" s="144"/>
      <c r="P477" s="144"/>
      <c r="Q477" s="144"/>
    </row>
    <row r="478" spans="3:17">
      <c r="C478" s="144"/>
      <c r="D478" s="144"/>
      <c r="E478" s="144"/>
      <c r="F478" s="144"/>
      <c r="G478" s="144"/>
      <c r="H478" s="144"/>
      <c r="I478" s="144"/>
      <c r="J478" s="144"/>
      <c r="K478" s="144"/>
      <c r="L478" s="144"/>
      <c r="M478" s="144"/>
      <c r="N478" s="144"/>
      <c r="O478" s="144"/>
      <c r="P478" s="144"/>
      <c r="Q478" s="144"/>
    </row>
    <row r="479" spans="3:17">
      <c r="C479" s="144"/>
      <c r="D479" s="144"/>
      <c r="E479" s="144"/>
      <c r="F479" s="144"/>
      <c r="G479" s="144"/>
      <c r="H479" s="144"/>
      <c r="I479" s="144"/>
      <c r="J479" s="144"/>
      <c r="K479" s="144"/>
      <c r="L479" s="144"/>
      <c r="M479" s="144"/>
      <c r="N479" s="144"/>
      <c r="O479" s="144"/>
      <c r="P479" s="144"/>
      <c r="Q479" s="144"/>
    </row>
    <row r="480" spans="3:17">
      <c r="C480" s="144"/>
      <c r="D480" s="144"/>
      <c r="E480" s="144"/>
      <c r="F480" s="144"/>
      <c r="G480" s="144"/>
      <c r="H480" s="144"/>
      <c r="I480" s="144"/>
      <c r="J480" s="144"/>
      <c r="K480" s="144"/>
      <c r="L480" s="144"/>
      <c r="M480" s="144"/>
      <c r="N480" s="144"/>
      <c r="O480" s="144"/>
      <c r="P480" s="144"/>
      <c r="Q480" s="144"/>
    </row>
    <row r="481" spans="3:17">
      <c r="C481" s="144"/>
      <c r="D481" s="144"/>
      <c r="E481" s="144"/>
      <c r="F481" s="144"/>
      <c r="G481" s="144"/>
      <c r="H481" s="144"/>
      <c r="I481" s="144"/>
      <c r="J481" s="144"/>
      <c r="K481" s="144"/>
      <c r="L481" s="144"/>
      <c r="M481" s="144"/>
      <c r="N481" s="144"/>
      <c r="O481" s="144"/>
      <c r="P481" s="144"/>
      <c r="Q481" s="144"/>
    </row>
    <row r="482" spans="3:17">
      <c r="C482" s="144"/>
      <c r="D482" s="144"/>
      <c r="E482" s="144"/>
      <c r="F482" s="144"/>
      <c r="G482" s="144"/>
      <c r="H482" s="144"/>
      <c r="I482" s="144"/>
      <c r="J482" s="144"/>
      <c r="K482" s="144"/>
      <c r="L482" s="144"/>
      <c r="M482" s="144"/>
      <c r="N482" s="144"/>
      <c r="O482" s="144"/>
      <c r="P482" s="144"/>
      <c r="Q482" s="144"/>
    </row>
    <row r="483" spans="3:17">
      <c r="C483" s="144"/>
      <c r="D483" s="144"/>
      <c r="E483" s="144"/>
      <c r="F483" s="144"/>
      <c r="G483" s="144"/>
      <c r="H483" s="144"/>
      <c r="I483" s="144"/>
      <c r="J483" s="144"/>
      <c r="K483" s="144"/>
      <c r="L483" s="144"/>
      <c r="M483" s="144"/>
      <c r="N483" s="144"/>
      <c r="O483" s="144"/>
      <c r="P483" s="144"/>
      <c r="Q483" s="144"/>
    </row>
    <row r="484" spans="3:17">
      <c r="C484" s="144"/>
      <c r="D484" s="144"/>
      <c r="E484" s="144"/>
      <c r="F484" s="144"/>
      <c r="G484" s="144"/>
      <c r="H484" s="144"/>
      <c r="I484" s="144"/>
      <c r="J484" s="144"/>
      <c r="K484" s="144"/>
      <c r="L484" s="144"/>
      <c r="M484" s="144"/>
      <c r="N484" s="144"/>
      <c r="O484" s="144"/>
      <c r="P484" s="144"/>
      <c r="Q484" s="144"/>
    </row>
    <row r="485" spans="3:17">
      <c r="C485" s="144"/>
      <c r="D485" s="144"/>
      <c r="E485" s="144"/>
      <c r="F485" s="144"/>
      <c r="G485" s="144"/>
      <c r="H485" s="144"/>
      <c r="I485" s="144"/>
      <c r="J485" s="144"/>
      <c r="K485" s="144"/>
      <c r="L485" s="144"/>
      <c r="M485" s="144"/>
      <c r="N485" s="144"/>
      <c r="O485" s="144"/>
      <c r="P485" s="144"/>
      <c r="Q485" s="144"/>
    </row>
    <row r="486" spans="3:17">
      <c r="C486" s="144"/>
      <c r="D486" s="144"/>
      <c r="E486" s="144"/>
      <c r="F486" s="144"/>
      <c r="G486" s="144"/>
      <c r="H486" s="144"/>
      <c r="I486" s="144"/>
      <c r="J486" s="144"/>
      <c r="K486" s="144"/>
      <c r="L486" s="144"/>
      <c r="M486" s="144"/>
      <c r="N486" s="144"/>
      <c r="O486" s="144"/>
      <c r="P486" s="144"/>
      <c r="Q486" s="144"/>
    </row>
    <row r="487" spans="3:17">
      <c r="C487" s="144"/>
      <c r="D487" s="144"/>
      <c r="E487" s="144"/>
      <c r="F487" s="144"/>
      <c r="G487" s="144"/>
      <c r="H487" s="144"/>
      <c r="I487" s="144"/>
      <c r="J487" s="144"/>
      <c r="K487" s="144"/>
      <c r="L487" s="144"/>
      <c r="M487" s="144"/>
      <c r="N487" s="144"/>
      <c r="O487" s="144"/>
      <c r="P487" s="144"/>
      <c r="Q487" s="144"/>
    </row>
    <row r="488" spans="3:17">
      <c r="C488" s="144"/>
      <c r="D488" s="144"/>
      <c r="E488" s="144"/>
      <c r="F488" s="144"/>
      <c r="G488" s="144"/>
      <c r="H488" s="144"/>
      <c r="I488" s="144"/>
      <c r="J488" s="144"/>
      <c r="K488" s="144"/>
      <c r="L488" s="144"/>
      <c r="M488" s="144"/>
      <c r="N488" s="144"/>
      <c r="O488" s="144"/>
      <c r="P488" s="144"/>
      <c r="Q488" s="144"/>
    </row>
    <row r="489" spans="3:17">
      <c r="C489" s="144"/>
      <c r="D489" s="144"/>
      <c r="E489" s="144"/>
      <c r="F489" s="144"/>
      <c r="G489" s="144"/>
      <c r="H489" s="144"/>
      <c r="I489" s="144"/>
      <c r="J489" s="144"/>
      <c r="K489" s="144"/>
      <c r="L489" s="144"/>
      <c r="M489" s="144"/>
      <c r="N489" s="144"/>
      <c r="O489" s="144"/>
      <c r="P489" s="144"/>
      <c r="Q489" s="144"/>
    </row>
    <row r="490" spans="3:17">
      <c r="C490" s="144"/>
      <c r="D490" s="144"/>
      <c r="E490" s="144"/>
      <c r="F490" s="144"/>
      <c r="G490" s="144"/>
      <c r="H490" s="144"/>
      <c r="I490" s="144"/>
      <c r="J490" s="144"/>
      <c r="K490" s="144"/>
      <c r="L490" s="144"/>
      <c r="M490" s="144"/>
      <c r="N490" s="144"/>
      <c r="O490" s="144"/>
      <c r="P490" s="144"/>
      <c r="Q490" s="144"/>
    </row>
    <row r="491" spans="3:17">
      <c r="C491" s="144"/>
      <c r="D491" s="144"/>
      <c r="E491" s="144"/>
      <c r="F491" s="144"/>
      <c r="G491" s="144"/>
      <c r="H491" s="144"/>
      <c r="I491" s="144"/>
      <c r="J491" s="144"/>
      <c r="K491" s="144"/>
      <c r="L491" s="144"/>
      <c r="M491" s="144"/>
      <c r="N491" s="144"/>
      <c r="O491" s="144"/>
      <c r="P491" s="144"/>
      <c r="Q491" s="144"/>
    </row>
    <row r="492" spans="3:17">
      <c r="C492" s="144"/>
      <c r="D492" s="144"/>
      <c r="E492" s="144"/>
      <c r="F492" s="144"/>
      <c r="G492" s="144"/>
      <c r="H492" s="144"/>
      <c r="I492" s="144"/>
      <c r="J492" s="144"/>
      <c r="K492" s="144"/>
      <c r="L492" s="144"/>
      <c r="M492" s="144"/>
      <c r="N492" s="144"/>
      <c r="O492" s="144"/>
      <c r="P492" s="144"/>
      <c r="Q492" s="144"/>
    </row>
    <row r="493" spans="3:17">
      <c r="C493" s="144"/>
      <c r="D493" s="144"/>
      <c r="E493" s="144"/>
      <c r="F493" s="144"/>
      <c r="G493" s="144"/>
      <c r="H493" s="144"/>
      <c r="I493" s="144"/>
      <c r="J493" s="144"/>
      <c r="K493" s="144"/>
      <c r="L493" s="144"/>
      <c r="M493" s="144"/>
      <c r="N493" s="144"/>
      <c r="O493" s="144"/>
      <c r="P493" s="144"/>
      <c r="Q493" s="144"/>
    </row>
    <row r="494" spans="3:17">
      <c r="C494" s="144"/>
      <c r="D494" s="144"/>
      <c r="E494" s="144"/>
      <c r="F494" s="144"/>
      <c r="G494" s="144"/>
      <c r="H494" s="144"/>
      <c r="I494" s="144"/>
      <c r="J494" s="144"/>
      <c r="K494" s="144"/>
      <c r="L494" s="144"/>
      <c r="M494" s="144"/>
      <c r="N494" s="144"/>
      <c r="O494" s="144"/>
      <c r="P494" s="144"/>
      <c r="Q494" s="144"/>
    </row>
    <row r="495" spans="3:17">
      <c r="C495" s="144"/>
      <c r="D495" s="144"/>
      <c r="E495" s="144"/>
      <c r="F495" s="144"/>
      <c r="G495" s="144"/>
      <c r="H495" s="144"/>
      <c r="I495" s="144"/>
      <c r="J495" s="144"/>
      <c r="K495" s="144"/>
      <c r="L495" s="144"/>
      <c r="M495" s="144"/>
      <c r="N495" s="144"/>
      <c r="O495" s="144"/>
      <c r="P495" s="144"/>
      <c r="Q495" s="144"/>
    </row>
    <row r="496" spans="3:17">
      <c r="C496" s="144"/>
      <c r="D496" s="144"/>
      <c r="E496" s="144"/>
      <c r="F496" s="144"/>
      <c r="G496" s="144"/>
      <c r="H496" s="144"/>
      <c r="I496" s="144"/>
      <c r="J496" s="144"/>
      <c r="K496" s="144"/>
      <c r="L496" s="144"/>
      <c r="M496" s="144"/>
      <c r="N496" s="144"/>
      <c r="O496" s="144"/>
      <c r="P496" s="144"/>
      <c r="Q496" s="144"/>
    </row>
    <row r="497" spans="3:17">
      <c r="C497" s="144"/>
      <c r="D497" s="144"/>
      <c r="E497" s="144"/>
      <c r="F497" s="144"/>
      <c r="G497" s="144"/>
      <c r="H497" s="144"/>
      <c r="I497" s="144"/>
      <c r="J497" s="144"/>
      <c r="K497" s="144"/>
      <c r="L497" s="144"/>
      <c r="M497" s="144"/>
      <c r="N497" s="144"/>
      <c r="O497" s="144"/>
      <c r="P497" s="144"/>
      <c r="Q497" s="144"/>
    </row>
    <row r="498" spans="3:17">
      <c r="C498" s="144"/>
      <c r="D498" s="144"/>
      <c r="E498" s="144"/>
      <c r="F498" s="144"/>
      <c r="G498" s="144"/>
      <c r="H498" s="144"/>
      <c r="I498" s="144"/>
      <c r="J498" s="144"/>
      <c r="K498" s="144"/>
      <c r="L498" s="144"/>
      <c r="M498" s="144"/>
      <c r="N498" s="144"/>
      <c r="O498" s="144"/>
      <c r="P498" s="144"/>
      <c r="Q498" s="144"/>
    </row>
    <row r="499" spans="3:17">
      <c r="C499" s="144"/>
      <c r="D499" s="144"/>
      <c r="E499" s="144"/>
      <c r="F499" s="144"/>
      <c r="G499" s="144"/>
      <c r="H499" s="144"/>
      <c r="I499" s="144"/>
      <c r="J499" s="144"/>
      <c r="K499" s="144"/>
      <c r="L499" s="144"/>
      <c r="M499" s="144"/>
      <c r="N499" s="144"/>
      <c r="O499" s="144"/>
      <c r="P499" s="144"/>
      <c r="Q499" s="144"/>
    </row>
    <row r="500" spans="3:17">
      <c r="C500" s="144"/>
      <c r="D500" s="144"/>
      <c r="E500" s="144"/>
      <c r="F500" s="144"/>
      <c r="G500" s="144"/>
      <c r="H500" s="144"/>
      <c r="I500" s="144"/>
      <c r="J500" s="144"/>
      <c r="K500" s="144"/>
      <c r="L500" s="144"/>
      <c r="M500" s="144"/>
      <c r="N500" s="144"/>
      <c r="O500" s="144"/>
      <c r="P500" s="144"/>
      <c r="Q500" s="144"/>
    </row>
    <row r="501" spans="3:17">
      <c r="C501" s="144"/>
      <c r="D501" s="144"/>
      <c r="E501" s="144"/>
      <c r="F501" s="144"/>
      <c r="G501" s="144"/>
      <c r="H501" s="144"/>
      <c r="I501" s="144"/>
      <c r="J501" s="144"/>
      <c r="K501" s="144"/>
      <c r="L501" s="144"/>
      <c r="M501" s="144"/>
      <c r="N501" s="144"/>
      <c r="O501" s="144"/>
      <c r="P501" s="144"/>
      <c r="Q501" s="144"/>
    </row>
    <row r="502" spans="3:17">
      <c r="C502" s="144"/>
      <c r="D502" s="144"/>
      <c r="E502" s="144"/>
      <c r="F502" s="144"/>
      <c r="G502" s="144"/>
      <c r="H502" s="144"/>
      <c r="I502" s="144"/>
      <c r="J502" s="144"/>
      <c r="K502" s="144"/>
      <c r="L502" s="144"/>
      <c r="M502" s="144"/>
      <c r="N502" s="144"/>
      <c r="O502" s="144"/>
      <c r="P502" s="144"/>
      <c r="Q502" s="144"/>
    </row>
    <row r="503" spans="3:17">
      <c r="C503" s="144"/>
      <c r="D503" s="144"/>
      <c r="E503" s="144"/>
      <c r="F503" s="144"/>
      <c r="G503" s="144"/>
      <c r="H503" s="144"/>
      <c r="I503" s="144"/>
      <c r="J503" s="144"/>
      <c r="K503" s="144"/>
      <c r="L503" s="144"/>
      <c r="M503" s="144"/>
      <c r="N503" s="144"/>
      <c r="O503" s="144"/>
      <c r="P503" s="144"/>
      <c r="Q503" s="144"/>
    </row>
    <row r="504" spans="3:17">
      <c r="C504" s="144"/>
      <c r="D504" s="144"/>
      <c r="E504" s="144"/>
      <c r="F504" s="144"/>
      <c r="G504" s="144"/>
      <c r="H504" s="144"/>
      <c r="I504" s="144"/>
      <c r="J504" s="144"/>
      <c r="K504" s="144"/>
      <c r="L504" s="144"/>
      <c r="M504" s="144"/>
      <c r="N504" s="144"/>
      <c r="O504" s="144"/>
      <c r="P504" s="144"/>
      <c r="Q504" s="144"/>
    </row>
    <row r="505" spans="3:17">
      <c r="C505" s="144"/>
      <c r="D505" s="144"/>
      <c r="E505" s="144"/>
      <c r="F505" s="144"/>
      <c r="G505" s="144"/>
      <c r="H505" s="144"/>
      <c r="I505" s="144"/>
      <c r="J505" s="144"/>
      <c r="K505" s="144"/>
      <c r="L505" s="144"/>
      <c r="M505" s="144"/>
      <c r="N505" s="144"/>
      <c r="O505" s="144"/>
      <c r="P505" s="144"/>
      <c r="Q505" s="144"/>
    </row>
    <row r="506" spans="3:17">
      <c r="C506" s="144"/>
      <c r="D506" s="144"/>
      <c r="E506" s="144"/>
      <c r="F506" s="144"/>
      <c r="G506" s="144"/>
      <c r="H506" s="144"/>
      <c r="I506" s="144"/>
      <c r="J506" s="144"/>
      <c r="K506" s="144"/>
      <c r="L506" s="144"/>
      <c r="M506" s="144"/>
      <c r="N506" s="144"/>
      <c r="O506" s="144"/>
      <c r="P506" s="144"/>
      <c r="Q506" s="144"/>
    </row>
    <row r="507" spans="3:17">
      <c r="C507" s="144"/>
      <c r="D507" s="144"/>
      <c r="E507" s="144"/>
      <c r="F507" s="144"/>
      <c r="G507" s="144"/>
      <c r="H507" s="144"/>
      <c r="I507" s="144"/>
      <c r="J507" s="144"/>
      <c r="K507" s="144"/>
      <c r="L507" s="144"/>
      <c r="M507" s="144"/>
      <c r="N507" s="144"/>
      <c r="O507" s="144"/>
      <c r="P507" s="144"/>
      <c r="Q507" s="144"/>
    </row>
    <row r="508" spans="3:17">
      <c r="C508" s="144"/>
      <c r="D508" s="144"/>
      <c r="E508" s="144"/>
      <c r="F508" s="144"/>
      <c r="G508" s="144"/>
      <c r="H508" s="144"/>
      <c r="I508" s="144"/>
      <c r="J508" s="144"/>
      <c r="K508" s="144"/>
      <c r="L508" s="144"/>
      <c r="M508" s="144"/>
      <c r="N508" s="144"/>
      <c r="O508" s="144"/>
      <c r="P508" s="144"/>
      <c r="Q508" s="144"/>
    </row>
    <row r="509" spans="3:17">
      <c r="C509" s="144"/>
      <c r="D509" s="144"/>
      <c r="E509" s="144"/>
      <c r="F509" s="144"/>
      <c r="G509" s="144"/>
      <c r="H509" s="144"/>
      <c r="I509" s="144"/>
      <c r="J509" s="144"/>
      <c r="K509" s="144"/>
      <c r="L509" s="144"/>
      <c r="M509" s="144"/>
      <c r="N509" s="144"/>
      <c r="O509" s="144"/>
      <c r="P509" s="144"/>
      <c r="Q509" s="144"/>
    </row>
    <row r="510" spans="3:17">
      <c r="C510" s="144"/>
      <c r="D510" s="144"/>
      <c r="E510" s="144"/>
      <c r="F510" s="144"/>
      <c r="G510" s="144"/>
      <c r="H510" s="144"/>
      <c r="I510" s="144"/>
      <c r="J510" s="144"/>
      <c r="K510" s="144"/>
      <c r="L510" s="144"/>
      <c r="M510" s="144"/>
      <c r="N510" s="144"/>
      <c r="O510" s="144"/>
      <c r="P510" s="144"/>
      <c r="Q510" s="144"/>
    </row>
    <row r="511" spans="3:17">
      <c r="C511" s="144"/>
      <c r="D511" s="144"/>
      <c r="E511" s="144"/>
      <c r="F511" s="144"/>
      <c r="G511" s="144"/>
      <c r="H511" s="144"/>
      <c r="I511" s="144"/>
      <c r="J511" s="144"/>
      <c r="K511" s="144"/>
      <c r="L511" s="144"/>
      <c r="M511" s="144"/>
      <c r="N511" s="144"/>
      <c r="O511" s="144"/>
      <c r="P511" s="144"/>
      <c r="Q511" s="144"/>
    </row>
    <row r="512" spans="3:17">
      <c r="C512" s="144"/>
      <c r="D512" s="144"/>
      <c r="E512" s="144"/>
      <c r="F512" s="144"/>
      <c r="G512" s="144"/>
      <c r="H512" s="144"/>
      <c r="I512" s="144"/>
      <c r="J512" s="144"/>
      <c r="K512" s="144"/>
      <c r="L512" s="144"/>
      <c r="M512" s="144"/>
      <c r="N512" s="144"/>
      <c r="O512" s="144"/>
      <c r="P512" s="144"/>
      <c r="Q512" s="144"/>
    </row>
    <row r="513" spans="3:17">
      <c r="C513" s="144"/>
      <c r="D513" s="144"/>
      <c r="E513" s="144"/>
      <c r="F513" s="144"/>
      <c r="G513" s="144"/>
      <c r="H513" s="144"/>
      <c r="I513" s="144"/>
      <c r="J513" s="144"/>
      <c r="K513" s="144"/>
      <c r="L513" s="144"/>
      <c r="M513" s="144"/>
      <c r="N513" s="144"/>
      <c r="O513" s="144"/>
      <c r="P513" s="144"/>
      <c r="Q513" s="144"/>
    </row>
    <row r="514" spans="3:17">
      <c r="C514" s="144"/>
      <c r="D514" s="144"/>
      <c r="E514" s="144"/>
      <c r="F514" s="144"/>
      <c r="G514" s="144"/>
      <c r="H514" s="144"/>
      <c r="I514" s="144"/>
      <c r="J514" s="144"/>
      <c r="K514" s="144"/>
      <c r="L514" s="144"/>
      <c r="M514" s="144"/>
      <c r="N514" s="144"/>
      <c r="O514" s="144"/>
      <c r="P514" s="144"/>
      <c r="Q514" s="144"/>
    </row>
    <row r="515" spans="3:17">
      <c r="C515" s="144"/>
      <c r="D515" s="144"/>
      <c r="E515" s="144"/>
      <c r="F515" s="144"/>
      <c r="G515" s="144"/>
      <c r="H515" s="144"/>
      <c r="I515" s="144"/>
      <c r="J515" s="144"/>
      <c r="K515" s="144"/>
      <c r="L515" s="144"/>
      <c r="M515" s="144"/>
      <c r="N515" s="144"/>
      <c r="O515" s="144"/>
      <c r="P515" s="144"/>
      <c r="Q515" s="144"/>
    </row>
    <row r="516" spans="3:17">
      <c r="C516" s="144"/>
      <c r="D516" s="144"/>
      <c r="E516" s="144"/>
      <c r="F516" s="144"/>
      <c r="G516" s="144"/>
      <c r="H516" s="144"/>
      <c r="I516" s="144"/>
      <c r="J516" s="144"/>
      <c r="K516" s="144"/>
      <c r="L516" s="144"/>
      <c r="M516" s="144"/>
      <c r="N516" s="144"/>
      <c r="O516" s="144"/>
      <c r="P516" s="144"/>
      <c r="Q516" s="144"/>
    </row>
    <row r="517" spans="3:17">
      <c r="C517" s="144"/>
      <c r="D517" s="144"/>
      <c r="E517" s="144"/>
      <c r="F517" s="144"/>
      <c r="G517" s="144"/>
      <c r="H517" s="144"/>
      <c r="I517" s="144"/>
      <c r="J517" s="144"/>
      <c r="K517" s="144"/>
      <c r="L517" s="144"/>
      <c r="M517" s="144"/>
      <c r="N517" s="144"/>
      <c r="O517" s="144"/>
      <c r="P517" s="144"/>
      <c r="Q517" s="144"/>
    </row>
    <row r="518" spans="3:17">
      <c r="C518" s="144"/>
      <c r="D518" s="144"/>
      <c r="E518" s="144"/>
      <c r="F518" s="144"/>
      <c r="G518" s="144"/>
      <c r="H518" s="144"/>
      <c r="I518" s="144"/>
      <c r="J518" s="144"/>
      <c r="K518" s="144"/>
      <c r="L518" s="144"/>
      <c r="M518" s="144"/>
      <c r="N518" s="144"/>
      <c r="O518" s="144"/>
      <c r="P518" s="144"/>
      <c r="Q518" s="144"/>
    </row>
    <row r="519" spans="3:17">
      <c r="C519" s="144"/>
      <c r="D519" s="144"/>
      <c r="E519" s="144"/>
      <c r="F519" s="144"/>
      <c r="G519" s="144"/>
      <c r="H519" s="144"/>
      <c r="I519" s="144"/>
      <c r="J519" s="144"/>
      <c r="K519" s="144"/>
      <c r="L519" s="144"/>
      <c r="M519" s="144"/>
      <c r="N519" s="144"/>
      <c r="O519" s="144"/>
      <c r="P519" s="144"/>
      <c r="Q519" s="144"/>
    </row>
    <row r="520" spans="3:17">
      <c r="C520" s="144"/>
      <c r="D520" s="144"/>
      <c r="E520" s="144"/>
      <c r="F520" s="144"/>
      <c r="G520" s="144"/>
      <c r="H520" s="144"/>
      <c r="I520" s="144"/>
      <c r="J520" s="144"/>
      <c r="K520" s="144"/>
      <c r="L520" s="144"/>
      <c r="M520" s="144"/>
      <c r="N520" s="144"/>
      <c r="O520" s="144"/>
      <c r="P520" s="144"/>
      <c r="Q520" s="144"/>
    </row>
    <row r="521" spans="3:17">
      <c r="C521" s="144"/>
      <c r="D521" s="144"/>
      <c r="E521" s="144"/>
      <c r="F521" s="144"/>
      <c r="G521" s="144"/>
      <c r="H521" s="144"/>
      <c r="I521" s="144"/>
      <c r="J521" s="144"/>
      <c r="K521" s="144"/>
      <c r="L521" s="144"/>
      <c r="M521" s="144"/>
      <c r="N521" s="144"/>
      <c r="O521" s="144"/>
      <c r="P521" s="144"/>
      <c r="Q521" s="144"/>
    </row>
    <row r="522" spans="3:17">
      <c r="C522" s="144"/>
      <c r="D522" s="144"/>
      <c r="E522" s="144"/>
      <c r="F522" s="144"/>
      <c r="G522" s="144"/>
      <c r="H522" s="144"/>
      <c r="I522" s="144"/>
      <c r="J522" s="144"/>
      <c r="K522" s="144"/>
      <c r="L522" s="144"/>
      <c r="M522" s="144"/>
      <c r="N522" s="144"/>
      <c r="O522" s="144"/>
      <c r="P522" s="144"/>
      <c r="Q522" s="144"/>
    </row>
    <row r="523" spans="3:17">
      <c r="C523" s="144"/>
      <c r="D523" s="144"/>
      <c r="E523" s="144"/>
      <c r="F523" s="144"/>
      <c r="G523" s="144"/>
      <c r="H523" s="144"/>
      <c r="I523" s="144"/>
      <c r="J523" s="144"/>
      <c r="K523" s="144"/>
      <c r="L523" s="144"/>
      <c r="M523" s="144"/>
      <c r="N523" s="144"/>
      <c r="O523" s="144"/>
      <c r="P523" s="144"/>
      <c r="Q523" s="144"/>
    </row>
    <row r="524" spans="3:17">
      <c r="C524" s="144"/>
      <c r="D524" s="144"/>
      <c r="E524" s="144"/>
      <c r="F524" s="144"/>
      <c r="G524" s="144"/>
      <c r="H524" s="144"/>
      <c r="I524" s="144"/>
      <c r="J524" s="144"/>
      <c r="K524" s="144"/>
      <c r="L524" s="144"/>
      <c r="M524" s="144"/>
      <c r="N524" s="144"/>
      <c r="O524" s="144"/>
      <c r="P524" s="144"/>
      <c r="Q524" s="144"/>
    </row>
    <row r="525" spans="3:17">
      <c r="C525" s="144"/>
      <c r="D525" s="144"/>
      <c r="E525" s="144"/>
      <c r="F525" s="144"/>
      <c r="G525" s="144"/>
      <c r="H525" s="144"/>
      <c r="I525" s="144"/>
      <c r="J525" s="144"/>
      <c r="K525" s="144"/>
      <c r="L525" s="144"/>
      <c r="M525" s="144"/>
      <c r="N525" s="144"/>
      <c r="O525" s="144"/>
      <c r="P525" s="144"/>
      <c r="Q525" s="144"/>
    </row>
    <row r="526" spans="3:17">
      <c r="C526" s="144"/>
      <c r="D526" s="144"/>
      <c r="E526" s="144"/>
      <c r="F526" s="144"/>
      <c r="G526" s="144"/>
      <c r="H526" s="144"/>
      <c r="I526" s="144"/>
      <c r="J526" s="144"/>
      <c r="K526" s="144"/>
      <c r="L526" s="144"/>
      <c r="M526" s="144"/>
      <c r="N526" s="144"/>
      <c r="O526" s="144"/>
      <c r="P526" s="144"/>
      <c r="Q526" s="144"/>
    </row>
    <row r="527" spans="3:17">
      <c r="C527" s="144"/>
      <c r="D527" s="144"/>
      <c r="E527" s="144"/>
      <c r="F527" s="144"/>
      <c r="G527" s="144"/>
      <c r="H527" s="144"/>
      <c r="I527" s="144"/>
      <c r="J527" s="144"/>
      <c r="K527" s="144"/>
      <c r="L527" s="144"/>
      <c r="M527" s="144"/>
      <c r="N527" s="144"/>
      <c r="O527" s="144"/>
      <c r="P527" s="144"/>
      <c r="Q527" s="144"/>
    </row>
    <row r="528" spans="3:17">
      <c r="C528" s="144"/>
      <c r="D528" s="144"/>
      <c r="E528" s="144"/>
      <c r="F528" s="144"/>
      <c r="G528" s="144"/>
      <c r="H528" s="144"/>
      <c r="I528" s="144"/>
      <c r="J528" s="144"/>
      <c r="K528" s="144"/>
      <c r="L528" s="144"/>
      <c r="M528" s="144"/>
      <c r="N528" s="144"/>
      <c r="O528" s="144"/>
      <c r="P528" s="144"/>
      <c r="Q528" s="144"/>
    </row>
    <row r="529" spans="3:17">
      <c r="C529" s="144"/>
      <c r="D529" s="144"/>
      <c r="E529" s="144"/>
      <c r="F529" s="144"/>
      <c r="G529" s="144"/>
      <c r="H529" s="144"/>
      <c r="I529" s="144"/>
      <c r="J529" s="144"/>
      <c r="K529" s="144"/>
      <c r="L529" s="144"/>
      <c r="M529" s="144"/>
      <c r="N529" s="144"/>
      <c r="O529" s="144"/>
      <c r="P529" s="144"/>
      <c r="Q529" s="144"/>
    </row>
    <row r="530" spans="3:17">
      <c r="C530" s="144"/>
      <c r="D530" s="144"/>
      <c r="E530" s="144"/>
      <c r="F530" s="144"/>
      <c r="G530" s="144"/>
      <c r="H530" s="144"/>
      <c r="I530" s="144"/>
      <c r="J530" s="144"/>
      <c r="K530" s="144"/>
      <c r="L530" s="144"/>
      <c r="M530" s="144"/>
      <c r="N530" s="144"/>
      <c r="O530" s="144"/>
      <c r="P530" s="144"/>
      <c r="Q530" s="144"/>
    </row>
    <row r="531" spans="3:17">
      <c r="C531" s="144"/>
      <c r="D531" s="144"/>
      <c r="E531" s="144"/>
      <c r="F531" s="144"/>
      <c r="G531" s="144"/>
      <c r="H531" s="144"/>
      <c r="I531" s="144"/>
      <c r="J531" s="144"/>
      <c r="K531" s="144"/>
      <c r="L531" s="144"/>
      <c r="M531" s="144"/>
      <c r="N531" s="144"/>
      <c r="O531" s="144"/>
      <c r="P531" s="144"/>
      <c r="Q531" s="144"/>
    </row>
    <row r="532" spans="3:17">
      <c r="C532" s="144"/>
      <c r="D532" s="144"/>
      <c r="E532" s="144"/>
      <c r="F532" s="144"/>
      <c r="G532" s="144"/>
      <c r="H532" s="144"/>
      <c r="I532" s="144"/>
      <c r="J532" s="144"/>
      <c r="K532" s="144"/>
      <c r="L532" s="144"/>
      <c r="M532" s="144"/>
      <c r="N532" s="144"/>
      <c r="O532" s="144"/>
      <c r="P532" s="144"/>
      <c r="Q532" s="144"/>
    </row>
    <row r="533" spans="3:17">
      <c r="C533" s="144"/>
      <c r="D533" s="144"/>
      <c r="E533" s="144"/>
      <c r="F533" s="144"/>
      <c r="G533" s="144"/>
      <c r="H533" s="144"/>
      <c r="I533" s="144"/>
      <c r="J533" s="144"/>
      <c r="K533" s="144"/>
      <c r="L533" s="144"/>
      <c r="M533" s="144"/>
      <c r="N533" s="144"/>
      <c r="O533" s="144"/>
      <c r="P533" s="144"/>
      <c r="Q533" s="144"/>
    </row>
  </sheetData>
  <mergeCells count="6">
    <mergeCell ref="C304:L304"/>
    <mergeCell ref="L4:M4"/>
    <mergeCell ref="D83:D84"/>
    <mergeCell ref="D90:D91"/>
    <mergeCell ref="D97:D98"/>
    <mergeCell ref="C295:K297"/>
  </mergeCells>
  <pageMargins left="0.25" right="0.25" top="0.75" bottom="0.75" header="0.3" footer="0.3"/>
  <pageSetup scale="44" fitToHeight="5" orientation="landscape" r:id="rId1"/>
  <headerFooter alignWithMargins="0">
    <oddHeader xml:space="preserve">&amp;R&amp;"Times New Roman,Regular"
</oddHeader>
  </headerFooter>
  <rowBreaks count="4" manualBreakCount="4">
    <brk id="62" max="16383" man="1"/>
    <brk id="127" max="16383" man="1"/>
    <brk id="197" max="12" man="1"/>
    <brk id="2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27F9-E50F-4399-850F-1E75043B21FF}">
  <sheetPr>
    <pageSetUpPr fitToPage="1"/>
  </sheetPr>
  <dimension ref="A1:H265"/>
  <sheetViews>
    <sheetView view="pageBreakPreview" zoomScale="75" zoomScaleNormal="100" zoomScaleSheetLayoutView="75" workbookViewId="0"/>
  </sheetViews>
  <sheetFormatPr defaultColWidth="8.81640625" defaultRowHeight="15.6"/>
  <cols>
    <col min="1" max="1" width="7.1796875" style="217" customWidth="1"/>
    <col min="2" max="2" width="57.81640625" style="217" customWidth="1"/>
    <col min="3" max="3" width="28.1796875" style="217" customWidth="1"/>
    <col min="4" max="4" width="10.81640625" style="221" bestFit="1" customWidth="1"/>
    <col min="5" max="5" width="9.1796875" style="217" bestFit="1" customWidth="1"/>
    <col min="6" max="6" width="8.81640625" style="217"/>
    <col min="7" max="16384" width="8.81640625" style="219"/>
  </cols>
  <sheetData>
    <row r="1" spans="1:7">
      <c r="A1" s="217" t="s">
        <v>254</v>
      </c>
      <c r="B1" s="218"/>
      <c r="C1" s="218"/>
      <c r="D1" s="218"/>
    </row>
    <row r="2" spans="1:7">
      <c r="A2" s="1056" t="str">
        <f>'Appendix A'!$E$9</f>
        <v>NextEra Energy Transmission New York, Inc.</v>
      </c>
      <c r="B2" s="1056"/>
      <c r="C2" s="1056"/>
      <c r="D2" s="1056"/>
    </row>
    <row r="5" spans="1:7">
      <c r="B5" s="220" t="s">
        <v>255</v>
      </c>
      <c r="C5" s="217" t="s">
        <v>256</v>
      </c>
    </row>
    <row r="6" spans="1:7">
      <c r="A6" s="217">
        <v>1</v>
      </c>
      <c r="B6" s="217" t="s">
        <v>257</v>
      </c>
      <c r="D6" s="222">
        <v>0</v>
      </c>
    </row>
    <row r="7" spans="1:7">
      <c r="D7" s="223"/>
    </row>
    <row r="8" spans="1:7">
      <c r="B8" s="220" t="s">
        <v>258</v>
      </c>
      <c r="C8" s="217" t="s">
        <v>256</v>
      </c>
      <c r="G8" s="224"/>
    </row>
    <row r="9" spans="1:7">
      <c r="A9" s="225">
        <f>+A6+1</f>
        <v>2</v>
      </c>
      <c r="B9" s="217" t="s">
        <v>259</v>
      </c>
      <c r="D9" s="222">
        <v>0</v>
      </c>
      <c r="G9" s="224"/>
    </row>
    <row r="10" spans="1:7">
      <c r="A10" s="225">
        <f>+A9+1</f>
        <v>3</v>
      </c>
      <c r="B10" s="217" t="s">
        <v>260</v>
      </c>
      <c r="D10" s="222">
        <v>0</v>
      </c>
      <c r="G10" s="226"/>
    </row>
    <row r="11" spans="1:7">
      <c r="A11" s="225">
        <f>+A10+1</f>
        <v>4</v>
      </c>
      <c r="B11" s="217" t="s">
        <v>261</v>
      </c>
      <c r="D11" s="222">
        <v>0</v>
      </c>
    </row>
    <row r="12" spans="1:7">
      <c r="A12" s="225">
        <f>+A11+1</f>
        <v>5</v>
      </c>
      <c r="B12" s="217" t="s">
        <v>262</v>
      </c>
      <c r="D12" s="222">
        <v>0</v>
      </c>
    </row>
    <row r="13" spans="1:7">
      <c r="D13" s="227"/>
    </row>
    <row r="14" spans="1:7">
      <c r="A14" s="217">
        <f>+A12+1</f>
        <v>6</v>
      </c>
      <c r="B14" s="217" t="s">
        <v>263</v>
      </c>
      <c r="C14" s="217" t="str">
        <f>"Sum lines "&amp;A9&amp;"-"&amp;A12&amp;" + line "&amp;A6&amp;""</f>
        <v>Sum lines 2-5 + line 1</v>
      </c>
      <c r="D14" s="228">
        <f>SUM(D9:D13)+D6</f>
        <v>0</v>
      </c>
    </row>
    <row r="15" spans="1:7">
      <c r="D15" s="228"/>
    </row>
    <row r="16" spans="1:7">
      <c r="D16" s="229"/>
      <c r="E16" s="230"/>
    </row>
    <row r="17" spans="1:8" s="233" customFormat="1">
      <c r="A17" s="217"/>
      <c r="B17" s="217"/>
      <c r="C17" s="217"/>
      <c r="D17" s="231"/>
      <c r="E17" s="227"/>
      <c r="F17" s="232"/>
    </row>
    <row r="18" spans="1:8" ht="82.5" customHeight="1">
      <c r="A18" s="225" t="s">
        <v>264</v>
      </c>
      <c r="B18" s="1057" t="s">
        <v>265</v>
      </c>
      <c r="C18" s="1057"/>
      <c r="D18" s="1057"/>
      <c r="E18" s="1057"/>
      <c r="F18" s="1057"/>
    </row>
    <row r="19" spans="1:8" ht="38.25" customHeight="1">
      <c r="A19" s="225" t="s">
        <v>266</v>
      </c>
      <c r="B19" s="1057" t="s">
        <v>267</v>
      </c>
      <c r="C19" s="1057"/>
      <c r="D19" s="1057"/>
      <c r="E19" s="1057"/>
      <c r="F19" s="1057"/>
    </row>
    <row r="21" spans="1:8">
      <c r="A21" s="225" t="s">
        <v>268</v>
      </c>
      <c r="B21" s="217" t="s">
        <v>269</v>
      </c>
      <c r="D21" s="228"/>
    </row>
    <row r="22" spans="1:8">
      <c r="A22" s="234"/>
      <c r="B22" s="234"/>
      <c r="C22" s="234"/>
      <c r="D22" s="234"/>
      <c r="E22" s="234"/>
      <c r="F22" s="234"/>
      <c r="G22" s="235"/>
      <c r="H22" s="235"/>
    </row>
    <row r="23" spans="1:8">
      <c r="A23" s="236" t="s">
        <v>270</v>
      </c>
      <c r="B23" s="234"/>
      <c r="C23" s="234"/>
      <c r="D23" s="234"/>
      <c r="E23" s="234"/>
      <c r="F23" s="237"/>
      <c r="G23" s="238"/>
      <c r="H23" s="238"/>
    </row>
    <row r="24" spans="1:8">
      <c r="A24" s="239">
        <v>1</v>
      </c>
      <c r="B24" s="217" t="s">
        <v>271</v>
      </c>
      <c r="C24" s="240" t="s">
        <v>272</v>
      </c>
      <c r="D24" s="240" t="s">
        <v>273</v>
      </c>
      <c r="E24" s="240" t="s">
        <v>274</v>
      </c>
      <c r="F24" s="240" t="s">
        <v>275</v>
      </c>
    </row>
    <row r="25" spans="1:8">
      <c r="A25" s="241" t="s">
        <v>276</v>
      </c>
      <c r="B25" s="242"/>
      <c r="C25" s="243">
        <f>SUM(D25:F25)</f>
        <v>0</v>
      </c>
      <c r="D25" s="244">
        <v>0</v>
      </c>
      <c r="E25" s="244">
        <v>0</v>
      </c>
      <c r="F25" s="244">
        <v>0</v>
      </c>
    </row>
    <row r="26" spans="1:8">
      <c r="A26" s="241" t="s">
        <v>277</v>
      </c>
      <c r="B26" s="242"/>
      <c r="C26" s="243">
        <f>SUM(D26:F26)</f>
        <v>0</v>
      </c>
      <c r="D26" s="244">
        <v>0</v>
      </c>
      <c r="E26" s="244">
        <v>0</v>
      </c>
      <c r="F26" s="244">
        <v>0</v>
      </c>
    </row>
    <row r="27" spans="1:8">
      <c r="A27" s="241" t="s">
        <v>278</v>
      </c>
      <c r="B27" s="242"/>
      <c r="C27" s="243">
        <f>SUM(D27:F27)</f>
        <v>0</v>
      </c>
      <c r="D27" s="244">
        <v>0</v>
      </c>
      <c r="E27" s="244">
        <v>0</v>
      </c>
      <c r="F27" s="244">
        <v>0</v>
      </c>
    </row>
    <row r="28" spans="1:8">
      <c r="A28" s="241">
        <v>2</v>
      </c>
      <c r="B28" s="242"/>
      <c r="C28" s="243">
        <f>SUM(D28:F28)</f>
        <v>0</v>
      </c>
      <c r="D28" s="244">
        <v>0</v>
      </c>
      <c r="E28" s="244">
        <v>0</v>
      </c>
      <c r="F28" s="244">
        <v>0</v>
      </c>
    </row>
    <row r="29" spans="1:8">
      <c r="A29" s="239">
        <v>3</v>
      </c>
      <c r="B29" s="245" t="s">
        <v>36</v>
      </c>
      <c r="C29" s="246">
        <f>SUM(C25:C28)</f>
        <v>0</v>
      </c>
      <c r="D29" s="246">
        <f t="shared" ref="D29:F29" si="0">SUM(D25:D28)</f>
        <v>0</v>
      </c>
      <c r="E29" s="246">
        <f t="shared" si="0"/>
        <v>0</v>
      </c>
      <c r="F29" s="246">
        <f t="shared" si="0"/>
        <v>0</v>
      </c>
    </row>
    <row r="30" spans="1:8">
      <c r="A30" s="239">
        <v>4</v>
      </c>
      <c r="B30" s="245" t="s">
        <v>279</v>
      </c>
      <c r="C30" s="243"/>
      <c r="D30" s="243"/>
      <c r="E30" s="243"/>
      <c r="F30" s="243"/>
    </row>
    <row r="31" spans="1:8">
      <c r="A31" s="239">
        <v>5</v>
      </c>
      <c r="B31" s="245" t="s">
        <v>280</v>
      </c>
      <c r="C31" s="243">
        <f>SUM(D31:F31)</f>
        <v>0</v>
      </c>
      <c r="D31" s="244">
        <v>0</v>
      </c>
      <c r="E31" s="244">
        <v>0</v>
      </c>
      <c r="F31" s="244">
        <v>0</v>
      </c>
    </row>
    <row r="32" spans="1:8">
      <c r="A32" s="239">
        <v>6</v>
      </c>
      <c r="B32" s="247" t="s">
        <v>281</v>
      </c>
      <c r="C32" s="246">
        <f>+C29-C31</f>
        <v>0</v>
      </c>
      <c r="D32" s="246">
        <f>+D29-D31</f>
        <v>0</v>
      </c>
      <c r="E32" s="246">
        <f>+E29-E31</f>
        <v>0</v>
      </c>
      <c r="F32" s="246">
        <f>+F29-F31</f>
        <v>0</v>
      </c>
    </row>
    <row r="33" spans="1:6">
      <c r="A33" s="239">
        <v>7</v>
      </c>
      <c r="B33" s="245" t="s">
        <v>282</v>
      </c>
      <c r="C33" s="244">
        <v>0</v>
      </c>
      <c r="D33" s="244">
        <v>0</v>
      </c>
      <c r="E33" s="244">
        <v>0</v>
      </c>
      <c r="F33" s="244">
        <v>0</v>
      </c>
    </row>
    <row r="34" spans="1:6">
      <c r="A34" s="230">
        <v>8</v>
      </c>
      <c r="B34" s="217" t="s">
        <v>283</v>
      </c>
      <c r="C34" s="231">
        <f>+C32+C33</f>
        <v>0</v>
      </c>
      <c r="D34" s="231">
        <f>+D32+D33</f>
        <v>0</v>
      </c>
      <c r="E34" s="231">
        <f>+E32+E33</f>
        <v>0</v>
      </c>
      <c r="F34" s="231">
        <f>+F32+F33</f>
        <v>0</v>
      </c>
    </row>
    <row r="35" spans="1:6">
      <c r="A35" s="230"/>
    </row>
    <row r="36" spans="1:6">
      <c r="A36" s="230">
        <v>9</v>
      </c>
      <c r="B36" s="217" t="s">
        <v>284</v>
      </c>
      <c r="C36" s="248" t="s">
        <v>152</v>
      </c>
      <c r="D36" s="217"/>
    </row>
    <row r="37" spans="1:6">
      <c r="A37" s="230" t="s">
        <v>285</v>
      </c>
      <c r="B37" s="249"/>
      <c r="C37" s="222">
        <v>0</v>
      </c>
      <c r="D37" s="217"/>
    </row>
    <row r="38" spans="1:6">
      <c r="A38" s="230" t="s">
        <v>286</v>
      </c>
      <c r="B38" s="249"/>
      <c r="C38" s="222">
        <v>0</v>
      </c>
      <c r="D38" s="217"/>
    </row>
    <row r="39" spans="1:6">
      <c r="A39" s="230" t="s">
        <v>287</v>
      </c>
      <c r="B39" s="249"/>
      <c r="C39" s="222">
        <v>0</v>
      </c>
      <c r="D39" s="217"/>
    </row>
    <row r="40" spans="1:6">
      <c r="A40" s="230" t="s">
        <v>288</v>
      </c>
      <c r="B40" s="249"/>
      <c r="C40" s="222">
        <v>0</v>
      </c>
      <c r="D40" s="217"/>
    </row>
    <row r="41" spans="1:6">
      <c r="A41" s="230" t="s">
        <v>289</v>
      </c>
      <c r="B41" s="249"/>
      <c r="C41" s="222">
        <v>0</v>
      </c>
      <c r="D41" s="217"/>
    </row>
    <row r="42" spans="1:6">
      <c r="A42" s="230" t="s">
        <v>290</v>
      </c>
      <c r="B42" s="249"/>
      <c r="C42" s="222">
        <v>0</v>
      </c>
      <c r="D42" s="217"/>
    </row>
    <row r="43" spans="1:6">
      <c r="A43" s="230" t="s">
        <v>291</v>
      </c>
      <c r="B43" s="249"/>
      <c r="C43" s="222">
        <v>0</v>
      </c>
      <c r="D43" s="217"/>
    </row>
    <row r="44" spans="1:6">
      <c r="A44" s="230" t="s">
        <v>277</v>
      </c>
      <c r="B44" s="249"/>
      <c r="C44" s="222"/>
      <c r="D44" s="217"/>
    </row>
    <row r="45" spans="1:6">
      <c r="A45" s="230" t="s">
        <v>292</v>
      </c>
      <c r="B45" s="249"/>
      <c r="C45" s="222">
        <v>0</v>
      </c>
      <c r="D45" s="217"/>
    </row>
    <row r="46" spans="1:6">
      <c r="A46" s="230">
        <v>10</v>
      </c>
      <c r="B46" s="217" t="s">
        <v>293</v>
      </c>
      <c r="C46" s="250">
        <f>SUM(C37:C45)</f>
        <v>0</v>
      </c>
      <c r="D46" s="217"/>
    </row>
    <row r="48" spans="1:6" ht="99" customHeight="1">
      <c r="A48" s="225"/>
      <c r="B48" s="1058"/>
      <c r="C48" s="1058"/>
      <c r="D48" s="1058"/>
      <c r="E48" s="1058"/>
      <c r="F48" s="1058"/>
    </row>
    <row r="123" spans="4:4">
      <c r="D123" s="251"/>
    </row>
    <row r="242" spans="7:7">
      <c r="G242" s="217"/>
    </row>
    <row r="243" spans="7:7" ht="99.75" customHeight="1">
      <c r="G243" s="217"/>
    </row>
    <row r="244" spans="7:7">
      <c r="G244" s="217"/>
    </row>
    <row r="245" spans="7:7">
      <c r="G245" s="217"/>
    </row>
    <row r="246" spans="7:7">
      <c r="G246" s="217"/>
    </row>
    <row r="247" spans="7:7">
      <c r="G247" s="217"/>
    </row>
    <row r="248" spans="7:7">
      <c r="G248" s="217"/>
    </row>
    <row r="249" spans="7:7">
      <c r="G249" s="217"/>
    </row>
    <row r="250" spans="7:7">
      <c r="G250" s="217"/>
    </row>
    <row r="251" spans="7:7">
      <c r="G251" s="217"/>
    </row>
    <row r="252" spans="7:7">
      <c r="G252" s="217"/>
    </row>
    <row r="253" spans="7:7">
      <c r="G253" s="217"/>
    </row>
    <row r="254" spans="7:7">
      <c r="G254" s="217"/>
    </row>
    <row r="255" spans="7:7">
      <c r="G255" s="217"/>
    </row>
    <row r="256" spans="7:7">
      <c r="G256" s="217"/>
    </row>
    <row r="257" spans="7:7">
      <c r="G257" s="217"/>
    </row>
    <row r="258" spans="7:7">
      <c r="G258" s="217"/>
    </row>
    <row r="259" spans="7:7">
      <c r="G259" s="217"/>
    </row>
    <row r="260" spans="7:7">
      <c r="G260" s="217"/>
    </row>
    <row r="261" spans="7:7">
      <c r="G261" s="217"/>
    </row>
    <row r="262" spans="7:7">
      <c r="G262" s="217"/>
    </row>
    <row r="263" spans="7:7">
      <c r="G263" s="217"/>
    </row>
    <row r="264" spans="7:7" ht="40.5" customHeight="1">
      <c r="G264" s="217"/>
    </row>
    <row r="265" spans="7:7">
      <c r="G265" s="217"/>
    </row>
  </sheetData>
  <mergeCells count="4">
    <mergeCell ref="A2:D2"/>
    <mergeCell ref="B18:F18"/>
    <mergeCell ref="B19:F19"/>
    <mergeCell ref="B48:F48"/>
  </mergeCells>
  <pageMargins left="0.75" right="0.75" top="1.28" bottom="1" header="0.5" footer="0.5"/>
  <pageSetup scale="53" orientation="portrait" r:id="rId1"/>
  <headerFooter alignWithMargins="0"/>
  <rowBreaks count="1" manualBreakCount="1">
    <brk id="65"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486E4-21C9-4898-A589-D5BA89636579}">
  <dimension ref="A1:G196"/>
  <sheetViews>
    <sheetView view="pageBreakPreview" zoomScale="85" zoomScaleNormal="100" zoomScaleSheetLayoutView="85" workbookViewId="0"/>
  </sheetViews>
  <sheetFormatPr defaultColWidth="8.81640625" defaultRowHeight="15.6"/>
  <cols>
    <col min="1" max="1" width="5" style="230" customWidth="1"/>
    <col min="2" max="2" width="3.1796875" style="217" customWidth="1"/>
    <col min="3" max="3" width="48.1796875" style="217" customWidth="1"/>
    <col min="4" max="4" width="21" style="217" customWidth="1"/>
    <col min="5" max="5" width="13.81640625" style="254" customWidth="1"/>
    <col min="6" max="6" width="18.08984375" style="217" customWidth="1"/>
    <col min="7" max="7" width="15.1796875" style="219" customWidth="1"/>
    <col min="8" max="16384" width="8.81640625" style="219"/>
  </cols>
  <sheetData>
    <row r="1" spans="1:7" ht="22.5" customHeight="1">
      <c r="A1" s="217" t="s">
        <v>294</v>
      </c>
      <c r="B1" s="218"/>
      <c r="C1" s="218"/>
      <c r="D1" s="218"/>
      <c r="E1" s="218"/>
      <c r="F1" s="218"/>
      <c r="G1" s="252"/>
    </row>
    <row r="2" spans="1:7" ht="17.399999999999999">
      <c r="A2" s="1056" t="str">
        <f>'Appendix A'!$E$9</f>
        <v>NextEra Energy Transmission New York, Inc.</v>
      </c>
      <c r="B2" s="1056"/>
      <c r="C2" s="1056"/>
      <c r="D2" s="1056"/>
      <c r="E2" s="1056"/>
      <c r="F2" s="1056"/>
      <c r="G2" s="252"/>
    </row>
    <row r="4" spans="1:7" ht="16.2" thickBot="1">
      <c r="A4" s="253" t="s">
        <v>295</v>
      </c>
    </row>
    <row r="5" spans="1:7">
      <c r="A5" s="1059"/>
      <c r="B5" s="1060"/>
      <c r="C5" s="1060"/>
      <c r="D5" s="1060"/>
      <c r="E5" s="1060"/>
      <c r="F5" s="1061"/>
      <c r="G5" s="256"/>
    </row>
    <row r="6" spans="1:7">
      <c r="A6" s="257">
        <v>1</v>
      </c>
      <c r="C6" s="258" t="s">
        <v>296</v>
      </c>
      <c r="D6" s="217" t="s">
        <v>297</v>
      </c>
      <c r="E6" s="259" t="s">
        <v>298</v>
      </c>
      <c r="F6" s="260" t="s">
        <v>299</v>
      </c>
      <c r="G6" s="261"/>
    </row>
    <row r="7" spans="1:7">
      <c r="A7" s="257">
        <f t="shared" ref="A7:A20" si="0">+A6+1</f>
        <v>2</v>
      </c>
      <c r="C7" s="217" t="s">
        <v>300</v>
      </c>
      <c r="D7" s="263" t="s">
        <v>301</v>
      </c>
      <c r="E7" s="264">
        <f>RIGHT('Appendix A'!M8,4)-1</f>
        <v>2022</v>
      </c>
      <c r="F7" s="265">
        <v>215080772.25423944</v>
      </c>
      <c r="G7" s="266"/>
    </row>
    <row r="8" spans="1:7">
      <c r="A8" s="257">
        <f t="shared" si="0"/>
        <v>3</v>
      </c>
      <c r="C8" s="268" t="s">
        <v>302</v>
      </c>
      <c r="D8" s="217" t="s">
        <v>303</v>
      </c>
      <c r="E8" s="264">
        <f>+E7+1</f>
        <v>2023</v>
      </c>
      <c r="F8" s="265">
        <v>215080772.25423944</v>
      </c>
      <c r="G8" s="269"/>
    </row>
    <row r="9" spans="1:7">
      <c r="A9" s="257">
        <f t="shared" si="0"/>
        <v>4</v>
      </c>
      <c r="B9" s="230"/>
      <c r="C9" s="268" t="s">
        <v>304</v>
      </c>
      <c r="D9" s="217" t="s">
        <v>303</v>
      </c>
      <c r="E9" s="264">
        <f>+$E$8</f>
        <v>2023</v>
      </c>
      <c r="F9" s="265">
        <v>215080772.25423944</v>
      </c>
      <c r="G9" s="266"/>
    </row>
    <row r="10" spans="1:7">
      <c r="A10" s="257">
        <f t="shared" si="0"/>
        <v>5</v>
      </c>
      <c r="B10" s="230"/>
      <c r="C10" s="268" t="s">
        <v>305</v>
      </c>
      <c r="D10" s="217" t="s">
        <v>303</v>
      </c>
      <c r="E10" s="264">
        <f t="shared" ref="E10:E19" si="1">+$E$8</f>
        <v>2023</v>
      </c>
      <c r="F10" s="265">
        <v>215080772.25423944</v>
      </c>
      <c r="G10" s="266"/>
    </row>
    <row r="11" spans="1:7">
      <c r="A11" s="257">
        <f t="shared" si="0"/>
        <v>6</v>
      </c>
      <c r="C11" s="268" t="s">
        <v>306</v>
      </c>
      <c r="D11" s="217" t="s">
        <v>303</v>
      </c>
      <c r="E11" s="264">
        <f t="shared" si="1"/>
        <v>2023</v>
      </c>
      <c r="F11" s="265">
        <v>215080772.25423944</v>
      </c>
      <c r="G11" s="266"/>
    </row>
    <row r="12" spans="1:7">
      <c r="A12" s="257">
        <f t="shared" si="0"/>
        <v>7</v>
      </c>
      <c r="C12" s="268" t="s">
        <v>307</v>
      </c>
      <c r="D12" s="217" t="s">
        <v>303</v>
      </c>
      <c r="E12" s="264">
        <f t="shared" si="1"/>
        <v>2023</v>
      </c>
      <c r="F12" s="265">
        <v>215080772.25423944</v>
      </c>
    </row>
    <row r="13" spans="1:7">
      <c r="A13" s="257">
        <f t="shared" si="0"/>
        <v>8</v>
      </c>
      <c r="C13" s="268" t="s">
        <v>308</v>
      </c>
      <c r="D13" s="217" t="s">
        <v>303</v>
      </c>
      <c r="E13" s="264">
        <f t="shared" si="1"/>
        <v>2023</v>
      </c>
      <c r="F13" s="265">
        <v>215080772.25423944</v>
      </c>
      <c r="G13" s="266"/>
    </row>
    <row r="14" spans="1:7">
      <c r="A14" s="257">
        <f t="shared" si="0"/>
        <v>9</v>
      </c>
      <c r="C14" s="268" t="s">
        <v>309</v>
      </c>
      <c r="D14" s="217" t="s">
        <v>303</v>
      </c>
      <c r="E14" s="264">
        <f t="shared" si="1"/>
        <v>2023</v>
      </c>
      <c r="F14" s="265">
        <v>215080772.25423944</v>
      </c>
      <c r="G14" s="269"/>
    </row>
    <row r="15" spans="1:7">
      <c r="A15" s="257">
        <f t="shared" si="0"/>
        <v>10</v>
      </c>
      <c r="B15" s="230"/>
      <c r="C15" s="268" t="s">
        <v>310</v>
      </c>
      <c r="D15" s="217" t="s">
        <v>303</v>
      </c>
      <c r="E15" s="264">
        <f t="shared" si="1"/>
        <v>2023</v>
      </c>
      <c r="F15" s="265">
        <v>215080772.25423944</v>
      </c>
      <c r="G15" s="266"/>
    </row>
    <row r="16" spans="1:7">
      <c r="A16" s="257">
        <f t="shared" si="0"/>
        <v>11</v>
      </c>
      <c r="B16" s="230"/>
      <c r="C16" s="268" t="s">
        <v>311</v>
      </c>
      <c r="D16" s="217" t="s">
        <v>303</v>
      </c>
      <c r="E16" s="264">
        <f t="shared" si="1"/>
        <v>2023</v>
      </c>
      <c r="F16" s="265">
        <v>215080772.25423944</v>
      </c>
      <c r="G16" s="266"/>
    </row>
    <row r="17" spans="1:7">
      <c r="A17" s="257">
        <f t="shared" si="0"/>
        <v>12</v>
      </c>
      <c r="C17" s="268" t="s">
        <v>312</v>
      </c>
      <c r="D17" s="217" t="s">
        <v>303</v>
      </c>
      <c r="E17" s="264">
        <f t="shared" si="1"/>
        <v>2023</v>
      </c>
      <c r="F17" s="265">
        <v>215080772.25423944</v>
      </c>
      <c r="G17" s="266"/>
    </row>
    <row r="18" spans="1:7">
      <c r="A18" s="257">
        <f t="shared" si="0"/>
        <v>13</v>
      </c>
      <c r="C18" s="268" t="s">
        <v>313</v>
      </c>
      <c r="D18" s="217" t="s">
        <v>303</v>
      </c>
      <c r="E18" s="264">
        <f t="shared" si="1"/>
        <v>2023</v>
      </c>
      <c r="F18" s="265">
        <v>215080772.25423944</v>
      </c>
      <c r="G18" s="266"/>
    </row>
    <row r="19" spans="1:7">
      <c r="A19" s="257">
        <f t="shared" si="0"/>
        <v>14</v>
      </c>
      <c r="C19" s="271" t="s">
        <v>300</v>
      </c>
      <c r="D19" s="272" t="s">
        <v>314</v>
      </c>
      <c r="E19" s="273">
        <f t="shared" si="1"/>
        <v>2023</v>
      </c>
      <c r="F19" s="274">
        <v>215080772.25423944</v>
      </c>
      <c r="G19" s="275"/>
    </row>
    <row r="20" spans="1:7">
      <c r="A20" s="257">
        <f t="shared" si="0"/>
        <v>15</v>
      </c>
      <c r="C20" s="276" t="s">
        <v>315</v>
      </c>
      <c r="D20" s="217" t="str">
        <f>"(sum lines "&amp;A7&amp;"-"&amp;A19&amp;") /13"</f>
        <v>(sum lines 2-14) /13</v>
      </c>
      <c r="E20" s="277"/>
      <c r="F20" s="278">
        <f>SUM(F7:F19)/13</f>
        <v>215080772.25423953</v>
      </c>
      <c r="G20" s="279"/>
    </row>
    <row r="21" spans="1:7">
      <c r="A21" s="257"/>
      <c r="B21" s="230"/>
      <c r="C21" s="268"/>
      <c r="E21" s="277"/>
      <c r="F21" s="280"/>
      <c r="G21" s="266"/>
    </row>
    <row r="22" spans="1:7">
      <c r="A22" s="257">
        <f>+A20+1</f>
        <v>16</v>
      </c>
      <c r="C22" s="258" t="s">
        <v>316</v>
      </c>
      <c r="D22" s="217" t="s">
        <v>297</v>
      </c>
      <c r="E22" s="259"/>
      <c r="F22" s="281"/>
    </row>
    <row r="23" spans="1:7">
      <c r="A23" s="257">
        <f t="shared" ref="A23:A36" si="2">+A22+1</f>
        <v>17</v>
      </c>
      <c r="C23" s="217" t="s">
        <v>300</v>
      </c>
      <c r="D23" s="263" t="s">
        <v>317</v>
      </c>
      <c r="E23" s="264">
        <f>+$E$7</f>
        <v>2022</v>
      </c>
      <c r="F23" s="265">
        <v>0</v>
      </c>
      <c r="G23" s="266"/>
    </row>
    <row r="24" spans="1:7">
      <c r="A24" s="257">
        <f t="shared" si="2"/>
        <v>18</v>
      </c>
      <c r="C24" s="268" t="s">
        <v>302</v>
      </c>
      <c r="D24" s="217" t="s">
        <v>303</v>
      </c>
      <c r="E24" s="264">
        <f>+$E$8</f>
        <v>2023</v>
      </c>
      <c r="F24" s="265">
        <v>0</v>
      </c>
      <c r="G24" s="269"/>
    </row>
    <row r="25" spans="1:7">
      <c r="A25" s="257">
        <f t="shared" si="2"/>
        <v>19</v>
      </c>
      <c r="B25" s="230"/>
      <c r="C25" s="268" t="s">
        <v>304</v>
      </c>
      <c r="D25" s="217" t="s">
        <v>303</v>
      </c>
      <c r="E25" s="264">
        <f t="shared" ref="E25:E35" si="3">+$E$8</f>
        <v>2023</v>
      </c>
      <c r="F25" s="265">
        <v>0</v>
      </c>
      <c r="G25" s="266"/>
    </row>
    <row r="26" spans="1:7">
      <c r="A26" s="257">
        <f t="shared" si="2"/>
        <v>20</v>
      </c>
      <c r="B26" s="230"/>
      <c r="C26" s="268" t="s">
        <v>305</v>
      </c>
      <c r="D26" s="217" t="s">
        <v>303</v>
      </c>
      <c r="E26" s="264">
        <f t="shared" si="3"/>
        <v>2023</v>
      </c>
      <c r="F26" s="265">
        <v>0</v>
      </c>
      <c r="G26" s="266"/>
    </row>
    <row r="27" spans="1:7">
      <c r="A27" s="257">
        <f t="shared" si="2"/>
        <v>21</v>
      </c>
      <c r="C27" s="268" t="s">
        <v>306</v>
      </c>
      <c r="D27" s="217" t="s">
        <v>303</v>
      </c>
      <c r="E27" s="264">
        <f t="shared" si="3"/>
        <v>2023</v>
      </c>
      <c r="F27" s="265">
        <v>0</v>
      </c>
      <c r="G27" s="266"/>
    </row>
    <row r="28" spans="1:7">
      <c r="A28" s="257">
        <f t="shared" si="2"/>
        <v>22</v>
      </c>
      <c r="C28" s="268" t="s">
        <v>307</v>
      </c>
      <c r="D28" s="217" t="s">
        <v>303</v>
      </c>
      <c r="E28" s="264">
        <f t="shared" si="3"/>
        <v>2023</v>
      </c>
      <c r="F28" s="265">
        <v>0</v>
      </c>
    </row>
    <row r="29" spans="1:7">
      <c r="A29" s="257">
        <f t="shared" si="2"/>
        <v>23</v>
      </c>
      <c r="C29" s="268" t="s">
        <v>308</v>
      </c>
      <c r="D29" s="217" t="s">
        <v>303</v>
      </c>
      <c r="E29" s="264">
        <f t="shared" si="3"/>
        <v>2023</v>
      </c>
      <c r="F29" s="265">
        <v>0</v>
      </c>
      <c r="G29" s="266"/>
    </row>
    <row r="30" spans="1:7">
      <c r="A30" s="257">
        <f t="shared" si="2"/>
        <v>24</v>
      </c>
      <c r="C30" s="268" t="s">
        <v>309</v>
      </c>
      <c r="D30" s="217" t="s">
        <v>303</v>
      </c>
      <c r="E30" s="264">
        <f t="shared" si="3"/>
        <v>2023</v>
      </c>
      <c r="F30" s="265">
        <v>0</v>
      </c>
      <c r="G30" s="269"/>
    </row>
    <row r="31" spans="1:7">
      <c r="A31" s="257">
        <f t="shared" si="2"/>
        <v>25</v>
      </c>
      <c r="B31" s="230"/>
      <c r="C31" s="268" t="s">
        <v>310</v>
      </c>
      <c r="D31" s="217" t="s">
        <v>303</v>
      </c>
      <c r="E31" s="264">
        <f t="shared" si="3"/>
        <v>2023</v>
      </c>
      <c r="F31" s="265">
        <v>0</v>
      </c>
      <c r="G31" s="266"/>
    </row>
    <row r="32" spans="1:7">
      <c r="A32" s="257">
        <f t="shared" si="2"/>
        <v>26</v>
      </c>
      <c r="B32" s="230"/>
      <c r="C32" s="268" t="s">
        <v>311</v>
      </c>
      <c r="D32" s="217" t="s">
        <v>303</v>
      </c>
      <c r="E32" s="264">
        <f t="shared" si="3"/>
        <v>2023</v>
      </c>
      <c r="F32" s="265">
        <v>0</v>
      </c>
      <c r="G32" s="266"/>
    </row>
    <row r="33" spans="1:7">
      <c r="A33" s="257">
        <f t="shared" si="2"/>
        <v>27</v>
      </c>
      <c r="C33" s="268" t="s">
        <v>318</v>
      </c>
      <c r="D33" s="217" t="s">
        <v>303</v>
      </c>
      <c r="E33" s="264">
        <f t="shared" si="3"/>
        <v>2023</v>
      </c>
      <c r="F33" s="265">
        <v>0</v>
      </c>
      <c r="G33" s="266"/>
    </row>
    <row r="34" spans="1:7">
      <c r="A34" s="257">
        <f t="shared" si="2"/>
        <v>28</v>
      </c>
      <c r="C34" s="268" t="s">
        <v>313</v>
      </c>
      <c r="D34" s="217" t="s">
        <v>303</v>
      </c>
      <c r="E34" s="264">
        <f t="shared" si="3"/>
        <v>2023</v>
      </c>
      <c r="F34" s="265">
        <v>0</v>
      </c>
      <c r="G34" s="266"/>
    </row>
    <row r="35" spans="1:7">
      <c r="A35" s="257">
        <f t="shared" si="2"/>
        <v>29</v>
      </c>
      <c r="C35" s="271" t="s">
        <v>300</v>
      </c>
      <c r="D35" s="272" t="s">
        <v>319</v>
      </c>
      <c r="E35" s="273">
        <f t="shared" si="3"/>
        <v>2023</v>
      </c>
      <c r="F35" s="274">
        <v>0</v>
      </c>
      <c r="G35" s="275"/>
    </row>
    <row r="36" spans="1:7">
      <c r="A36" s="257">
        <f t="shared" si="2"/>
        <v>30</v>
      </c>
      <c r="C36" s="276" t="s">
        <v>320</v>
      </c>
      <c r="D36" s="217" t="str">
        <f>"(sum lines "&amp;A23&amp;"-"&amp;A35&amp;") /13"</f>
        <v>(sum lines 17-29) /13</v>
      </c>
      <c r="E36" s="277"/>
      <c r="F36" s="278">
        <f>SUM(F23:F35)/13</f>
        <v>0</v>
      </c>
      <c r="G36" s="279"/>
    </row>
    <row r="37" spans="1:7">
      <c r="A37" s="257"/>
      <c r="B37" s="230"/>
      <c r="C37" s="268"/>
      <c r="E37" s="277"/>
      <c r="F37" s="280"/>
      <c r="G37" s="266"/>
    </row>
    <row r="38" spans="1:7">
      <c r="A38" s="257">
        <f>+A36+1</f>
        <v>31</v>
      </c>
      <c r="C38" s="258" t="s">
        <v>321</v>
      </c>
      <c r="D38" s="217" t="s">
        <v>297</v>
      </c>
      <c r="E38" s="259"/>
      <c r="F38" s="281"/>
    </row>
    <row r="39" spans="1:7">
      <c r="A39" s="257">
        <f>+A38+1</f>
        <v>32</v>
      </c>
      <c r="C39" s="217" t="s">
        <v>300</v>
      </c>
      <c r="D39" s="263" t="s">
        <v>322</v>
      </c>
      <c r="E39" s="264">
        <f>+$E$7</f>
        <v>2022</v>
      </c>
      <c r="F39" s="265">
        <v>44817934.529093713</v>
      </c>
      <c r="G39" s="266"/>
    </row>
    <row r="40" spans="1:7">
      <c r="A40" s="257">
        <f t="shared" ref="A40:A51" si="4">+A39+1</f>
        <v>33</v>
      </c>
      <c r="C40" s="268" t="s">
        <v>302</v>
      </c>
      <c r="D40" s="217" t="s">
        <v>303</v>
      </c>
      <c r="E40" s="264">
        <f>+$E$8</f>
        <v>2023</v>
      </c>
      <c r="F40" s="265">
        <v>44817934.529093713</v>
      </c>
      <c r="G40" s="266"/>
    </row>
    <row r="41" spans="1:7">
      <c r="A41" s="257">
        <f t="shared" si="4"/>
        <v>34</v>
      </c>
      <c r="C41" s="268" t="s">
        <v>304</v>
      </c>
      <c r="D41" s="217" t="s">
        <v>303</v>
      </c>
      <c r="E41" s="264">
        <f t="shared" ref="E41:E51" si="5">+$E$8</f>
        <v>2023</v>
      </c>
      <c r="F41" s="265">
        <v>44817934.529093713</v>
      </c>
      <c r="G41" s="266"/>
    </row>
    <row r="42" spans="1:7">
      <c r="A42" s="257">
        <f t="shared" si="4"/>
        <v>35</v>
      </c>
      <c r="C42" s="268" t="s">
        <v>305</v>
      </c>
      <c r="D42" s="217" t="s">
        <v>303</v>
      </c>
      <c r="E42" s="264">
        <f t="shared" si="5"/>
        <v>2023</v>
      </c>
      <c r="F42" s="265">
        <v>44817934.529093713</v>
      </c>
      <c r="G42" s="266"/>
    </row>
    <row r="43" spans="1:7">
      <c r="A43" s="257">
        <f t="shared" si="4"/>
        <v>36</v>
      </c>
      <c r="C43" s="268" t="s">
        <v>306</v>
      </c>
      <c r="D43" s="217" t="s">
        <v>303</v>
      </c>
      <c r="E43" s="264">
        <f t="shared" si="5"/>
        <v>2023</v>
      </c>
      <c r="F43" s="265">
        <v>44817934.529093713</v>
      </c>
      <c r="G43" s="266"/>
    </row>
    <row r="44" spans="1:7">
      <c r="A44" s="257">
        <f t="shared" si="4"/>
        <v>37</v>
      </c>
      <c r="C44" s="268" t="s">
        <v>307</v>
      </c>
      <c r="D44" s="217" t="s">
        <v>303</v>
      </c>
      <c r="E44" s="264">
        <f t="shared" si="5"/>
        <v>2023</v>
      </c>
      <c r="F44" s="265">
        <v>44817934.529093713</v>
      </c>
      <c r="G44" s="266"/>
    </row>
    <row r="45" spans="1:7">
      <c r="A45" s="257">
        <f t="shared" si="4"/>
        <v>38</v>
      </c>
      <c r="C45" s="268" t="s">
        <v>308</v>
      </c>
      <c r="D45" s="217" t="s">
        <v>303</v>
      </c>
      <c r="E45" s="264">
        <f t="shared" si="5"/>
        <v>2023</v>
      </c>
      <c r="F45" s="265">
        <v>44817934.529093713</v>
      </c>
      <c r="G45" s="266"/>
    </row>
    <row r="46" spans="1:7">
      <c r="A46" s="257">
        <f t="shared" si="4"/>
        <v>39</v>
      </c>
      <c r="C46" s="268" t="s">
        <v>309</v>
      </c>
      <c r="D46" s="217" t="s">
        <v>303</v>
      </c>
      <c r="E46" s="264">
        <f t="shared" si="5"/>
        <v>2023</v>
      </c>
      <c r="F46" s="265">
        <v>44817934.529093713</v>
      </c>
      <c r="G46" s="266"/>
    </row>
    <row r="47" spans="1:7">
      <c r="A47" s="257">
        <f t="shared" si="4"/>
        <v>40</v>
      </c>
      <c r="C47" s="268" t="s">
        <v>310</v>
      </c>
      <c r="D47" s="217" t="s">
        <v>303</v>
      </c>
      <c r="E47" s="264">
        <f t="shared" si="5"/>
        <v>2023</v>
      </c>
      <c r="F47" s="265">
        <v>44817934.529093713</v>
      </c>
      <c r="G47" s="266"/>
    </row>
    <row r="48" spans="1:7">
      <c r="A48" s="257">
        <f t="shared" si="4"/>
        <v>41</v>
      </c>
      <c r="C48" s="268" t="s">
        <v>311</v>
      </c>
      <c r="D48" s="217" t="s">
        <v>303</v>
      </c>
      <c r="E48" s="264">
        <f t="shared" si="5"/>
        <v>2023</v>
      </c>
      <c r="F48" s="265">
        <v>44817934.529093713</v>
      </c>
      <c r="G48" s="266"/>
    </row>
    <row r="49" spans="1:7">
      <c r="A49" s="257">
        <f t="shared" si="4"/>
        <v>42</v>
      </c>
      <c r="C49" s="268" t="s">
        <v>318</v>
      </c>
      <c r="D49" s="217" t="s">
        <v>303</v>
      </c>
      <c r="E49" s="264">
        <f t="shared" si="5"/>
        <v>2023</v>
      </c>
      <c r="F49" s="265">
        <v>44817934.529093713</v>
      </c>
      <c r="G49" s="266"/>
    </row>
    <row r="50" spans="1:7">
      <c r="A50" s="257">
        <f t="shared" si="4"/>
        <v>43</v>
      </c>
      <c r="C50" s="268" t="s">
        <v>313</v>
      </c>
      <c r="D50" s="217" t="s">
        <v>303</v>
      </c>
      <c r="E50" s="264">
        <f t="shared" si="5"/>
        <v>2023</v>
      </c>
      <c r="F50" s="265">
        <v>44817934.529093713</v>
      </c>
      <c r="G50" s="266"/>
    </row>
    <row r="51" spans="1:7">
      <c r="A51" s="257">
        <f t="shared" si="4"/>
        <v>44</v>
      </c>
      <c r="C51" s="271" t="s">
        <v>300</v>
      </c>
      <c r="D51" s="272" t="s">
        <v>323</v>
      </c>
      <c r="E51" s="273">
        <f t="shared" si="5"/>
        <v>2023</v>
      </c>
      <c r="F51" s="274">
        <v>44817934.529093713</v>
      </c>
      <c r="G51" s="275"/>
    </row>
    <row r="52" spans="1:7">
      <c r="A52" s="257">
        <f>+A51+1</f>
        <v>45</v>
      </c>
      <c r="C52" s="276" t="s">
        <v>324</v>
      </c>
      <c r="D52" s="217" t="str">
        <f>"(sum lines "&amp;A39&amp;"-"&amp;A51&amp;") /13"</f>
        <v>(sum lines 32-44) /13</v>
      </c>
      <c r="E52" s="277"/>
      <c r="F52" s="278">
        <f>SUM(F39:F51)/13</f>
        <v>44817934.529093727</v>
      </c>
      <c r="G52" s="279"/>
    </row>
    <row r="53" spans="1:7">
      <c r="A53" s="257"/>
      <c r="C53" s="268"/>
      <c r="E53" s="282"/>
      <c r="F53" s="280"/>
      <c r="G53" s="266"/>
    </row>
    <row r="54" spans="1:7">
      <c r="A54" s="257">
        <f>+A52+1</f>
        <v>46</v>
      </c>
      <c r="C54" s="258" t="s">
        <v>325</v>
      </c>
      <c r="D54" s="217" t="s">
        <v>297</v>
      </c>
      <c r="E54" s="259"/>
      <c r="F54" s="281"/>
    </row>
    <row r="55" spans="1:7">
      <c r="A55" s="257">
        <f>+A54+1</f>
        <v>47</v>
      </c>
      <c r="C55" s="217" t="s">
        <v>300</v>
      </c>
      <c r="D55" s="263" t="s">
        <v>326</v>
      </c>
      <c r="E55" s="264">
        <f>+$E$7</f>
        <v>2022</v>
      </c>
      <c r="F55" s="265">
        <v>4113462</v>
      </c>
      <c r="G55" s="266"/>
    </row>
    <row r="56" spans="1:7">
      <c r="A56" s="257">
        <f t="shared" ref="A56:A66" si="6">+A55+1</f>
        <v>48</v>
      </c>
      <c r="C56" s="268" t="s">
        <v>302</v>
      </c>
      <c r="D56" s="217" t="s">
        <v>303</v>
      </c>
      <c r="E56" s="264">
        <f>+$E$8</f>
        <v>2023</v>
      </c>
      <c r="F56" s="265">
        <v>4113462</v>
      </c>
      <c r="G56" s="266"/>
    </row>
    <row r="57" spans="1:7">
      <c r="A57" s="257">
        <f t="shared" si="6"/>
        <v>49</v>
      </c>
      <c r="C57" s="268" t="s">
        <v>304</v>
      </c>
      <c r="D57" s="217" t="s">
        <v>303</v>
      </c>
      <c r="E57" s="264">
        <f t="shared" ref="E57:E67" si="7">+$E$8</f>
        <v>2023</v>
      </c>
      <c r="F57" s="265">
        <v>4113462</v>
      </c>
      <c r="G57" s="266"/>
    </row>
    <row r="58" spans="1:7">
      <c r="A58" s="257">
        <f t="shared" si="6"/>
        <v>50</v>
      </c>
      <c r="C58" s="268" t="s">
        <v>305</v>
      </c>
      <c r="D58" s="217" t="s">
        <v>303</v>
      </c>
      <c r="E58" s="264">
        <f t="shared" si="7"/>
        <v>2023</v>
      </c>
      <c r="F58" s="265">
        <v>4113462</v>
      </c>
      <c r="G58" s="266"/>
    </row>
    <row r="59" spans="1:7">
      <c r="A59" s="257">
        <f t="shared" si="6"/>
        <v>51</v>
      </c>
      <c r="C59" s="268" t="s">
        <v>306</v>
      </c>
      <c r="D59" s="217" t="s">
        <v>303</v>
      </c>
      <c r="E59" s="264">
        <f t="shared" si="7"/>
        <v>2023</v>
      </c>
      <c r="F59" s="265">
        <v>4113462</v>
      </c>
      <c r="G59" s="266"/>
    </row>
    <row r="60" spans="1:7">
      <c r="A60" s="257">
        <f t="shared" si="6"/>
        <v>52</v>
      </c>
      <c r="C60" s="268" t="s">
        <v>307</v>
      </c>
      <c r="D60" s="217" t="s">
        <v>303</v>
      </c>
      <c r="E60" s="264">
        <f t="shared" si="7"/>
        <v>2023</v>
      </c>
      <c r="F60" s="265">
        <v>4113462</v>
      </c>
      <c r="G60" s="266"/>
    </row>
    <row r="61" spans="1:7">
      <c r="A61" s="257">
        <f t="shared" si="6"/>
        <v>53</v>
      </c>
      <c r="C61" s="268" t="s">
        <v>308</v>
      </c>
      <c r="D61" s="217" t="s">
        <v>303</v>
      </c>
      <c r="E61" s="264">
        <f t="shared" si="7"/>
        <v>2023</v>
      </c>
      <c r="F61" s="265">
        <v>4113462</v>
      </c>
      <c r="G61" s="266"/>
    </row>
    <row r="62" spans="1:7">
      <c r="A62" s="257">
        <f t="shared" si="6"/>
        <v>54</v>
      </c>
      <c r="C62" s="268" t="s">
        <v>309</v>
      </c>
      <c r="D62" s="217" t="s">
        <v>303</v>
      </c>
      <c r="E62" s="264">
        <f t="shared" si="7"/>
        <v>2023</v>
      </c>
      <c r="F62" s="265">
        <v>4113462</v>
      </c>
      <c r="G62" s="266"/>
    </row>
    <row r="63" spans="1:7">
      <c r="A63" s="257">
        <f t="shared" si="6"/>
        <v>55</v>
      </c>
      <c r="C63" s="268" t="s">
        <v>310</v>
      </c>
      <c r="D63" s="217" t="s">
        <v>303</v>
      </c>
      <c r="E63" s="264">
        <f t="shared" si="7"/>
        <v>2023</v>
      </c>
      <c r="F63" s="265">
        <v>4113462</v>
      </c>
      <c r="G63" s="266"/>
    </row>
    <row r="64" spans="1:7">
      <c r="A64" s="257">
        <f t="shared" si="6"/>
        <v>56</v>
      </c>
      <c r="C64" s="268" t="s">
        <v>311</v>
      </c>
      <c r="D64" s="217" t="s">
        <v>303</v>
      </c>
      <c r="E64" s="264">
        <f t="shared" si="7"/>
        <v>2023</v>
      </c>
      <c r="F64" s="265">
        <v>4113462</v>
      </c>
      <c r="G64" s="266"/>
    </row>
    <row r="65" spans="1:7">
      <c r="A65" s="257">
        <f t="shared" si="6"/>
        <v>57</v>
      </c>
      <c r="C65" s="268" t="s">
        <v>318</v>
      </c>
      <c r="D65" s="217" t="s">
        <v>303</v>
      </c>
      <c r="E65" s="264">
        <f t="shared" si="7"/>
        <v>2023</v>
      </c>
      <c r="F65" s="265">
        <v>4113462</v>
      </c>
      <c r="G65" s="266"/>
    </row>
    <row r="66" spans="1:7">
      <c r="A66" s="257">
        <f t="shared" si="6"/>
        <v>58</v>
      </c>
      <c r="C66" s="268" t="s">
        <v>313</v>
      </c>
      <c r="D66" s="217" t="s">
        <v>303</v>
      </c>
      <c r="E66" s="264">
        <f t="shared" si="7"/>
        <v>2023</v>
      </c>
      <c r="F66" s="265">
        <v>4113462</v>
      </c>
      <c r="G66" s="266"/>
    </row>
    <row r="67" spans="1:7">
      <c r="A67" s="257">
        <f>+A66+1</f>
        <v>59</v>
      </c>
      <c r="C67" s="271" t="s">
        <v>300</v>
      </c>
      <c r="D67" s="272" t="s">
        <v>327</v>
      </c>
      <c r="E67" s="273">
        <f t="shared" si="7"/>
        <v>2023</v>
      </c>
      <c r="F67" s="274">
        <v>4113462</v>
      </c>
      <c r="G67" s="275"/>
    </row>
    <row r="68" spans="1:7">
      <c r="A68" s="257">
        <f>+A67+1</f>
        <v>60</v>
      </c>
      <c r="C68" s="276" t="s">
        <v>328</v>
      </c>
      <c r="D68" s="217" t="str">
        <f>"(sum lines "&amp;A55&amp;"-"&amp;A67&amp;") /13"</f>
        <v>(sum lines 47-59) /13</v>
      </c>
      <c r="E68" s="277"/>
      <c r="F68" s="278">
        <f>SUM(F55:F67)/13</f>
        <v>4113462</v>
      </c>
      <c r="G68" s="279"/>
    </row>
    <row r="69" spans="1:7">
      <c r="A69" s="257"/>
      <c r="C69" s="268"/>
      <c r="D69" s="263"/>
      <c r="E69" s="282"/>
      <c r="F69" s="283"/>
    </row>
    <row r="70" spans="1:7">
      <c r="A70" s="257">
        <f>+A68+1</f>
        <v>61</v>
      </c>
      <c r="C70" s="258" t="s">
        <v>329</v>
      </c>
      <c r="D70" s="217" t="s">
        <v>297</v>
      </c>
      <c r="E70" s="259"/>
      <c r="F70" s="281"/>
    </row>
    <row r="71" spans="1:7">
      <c r="A71" s="257">
        <f t="shared" ref="A71:A84" si="8">+A70+1</f>
        <v>62</v>
      </c>
      <c r="C71" s="217" t="s">
        <v>300</v>
      </c>
      <c r="D71" s="263" t="s">
        <v>330</v>
      </c>
      <c r="E71" s="264">
        <f>+$E$7</f>
        <v>2022</v>
      </c>
      <c r="F71" s="265">
        <v>0</v>
      </c>
    </row>
    <row r="72" spans="1:7">
      <c r="A72" s="257">
        <f t="shared" si="8"/>
        <v>63</v>
      </c>
      <c r="C72" s="268" t="s">
        <v>302</v>
      </c>
      <c r="D72" s="217" t="s">
        <v>303</v>
      </c>
      <c r="E72" s="264">
        <f>+$E$8</f>
        <v>2023</v>
      </c>
      <c r="F72" s="265">
        <v>0</v>
      </c>
    </row>
    <row r="73" spans="1:7">
      <c r="A73" s="257">
        <f t="shared" si="8"/>
        <v>64</v>
      </c>
      <c r="C73" s="268" t="s">
        <v>304</v>
      </c>
      <c r="D73" s="217" t="s">
        <v>303</v>
      </c>
      <c r="E73" s="264">
        <f t="shared" ref="E73:E83" si="9">+$E$8</f>
        <v>2023</v>
      </c>
      <c r="F73" s="265">
        <v>0</v>
      </c>
    </row>
    <row r="74" spans="1:7">
      <c r="A74" s="257">
        <f t="shared" si="8"/>
        <v>65</v>
      </c>
      <c r="C74" s="268" t="s">
        <v>305</v>
      </c>
      <c r="D74" s="217" t="s">
        <v>303</v>
      </c>
      <c r="E74" s="264">
        <f t="shared" si="9"/>
        <v>2023</v>
      </c>
      <c r="F74" s="265">
        <v>0</v>
      </c>
    </row>
    <row r="75" spans="1:7">
      <c r="A75" s="257">
        <f t="shared" si="8"/>
        <v>66</v>
      </c>
      <c r="C75" s="268" t="s">
        <v>306</v>
      </c>
      <c r="D75" s="217" t="s">
        <v>303</v>
      </c>
      <c r="E75" s="264">
        <f t="shared" si="9"/>
        <v>2023</v>
      </c>
      <c r="F75" s="265">
        <v>0</v>
      </c>
    </row>
    <row r="76" spans="1:7">
      <c r="A76" s="257">
        <f t="shared" si="8"/>
        <v>67</v>
      </c>
      <c r="C76" s="268" t="s">
        <v>307</v>
      </c>
      <c r="D76" s="217" t="s">
        <v>303</v>
      </c>
      <c r="E76" s="264">
        <f t="shared" si="9"/>
        <v>2023</v>
      </c>
      <c r="F76" s="265">
        <v>0</v>
      </c>
    </row>
    <row r="77" spans="1:7">
      <c r="A77" s="257">
        <f t="shared" si="8"/>
        <v>68</v>
      </c>
      <c r="C77" s="268" t="s">
        <v>308</v>
      </c>
      <c r="D77" s="217" t="s">
        <v>303</v>
      </c>
      <c r="E77" s="264">
        <f t="shared" si="9"/>
        <v>2023</v>
      </c>
      <c r="F77" s="265">
        <v>0</v>
      </c>
    </row>
    <row r="78" spans="1:7">
      <c r="A78" s="257">
        <f t="shared" si="8"/>
        <v>69</v>
      </c>
      <c r="C78" s="268" t="s">
        <v>309</v>
      </c>
      <c r="D78" s="217" t="s">
        <v>303</v>
      </c>
      <c r="E78" s="264">
        <f t="shared" si="9"/>
        <v>2023</v>
      </c>
      <c r="F78" s="265">
        <v>0</v>
      </c>
    </row>
    <row r="79" spans="1:7">
      <c r="A79" s="257">
        <f t="shared" si="8"/>
        <v>70</v>
      </c>
      <c r="C79" s="268" t="s">
        <v>310</v>
      </c>
      <c r="D79" s="217" t="s">
        <v>303</v>
      </c>
      <c r="E79" s="264">
        <f t="shared" si="9"/>
        <v>2023</v>
      </c>
      <c r="F79" s="265">
        <v>0</v>
      </c>
    </row>
    <row r="80" spans="1:7">
      <c r="A80" s="257">
        <f t="shared" si="8"/>
        <v>71</v>
      </c>
      <c r="C80" s="268" t="s">
        <v>311</v>
      </c>
      <c r="D80" s="217" t="s">
        <v>303</v>
      </c>
      <c r="E80" s="264">
        <f t="shared" si="9"/>
        <v>2023</v>
      </c>
      <c r="F80" s="265">
        <v>0</v>
      </c>
    </row>
    <row r="81" spans="1:7">
      <c r="A81" s="257">
        <f t="shared" si="8"/>
        <v>72</v>
      </c>
      <c r="C81" s="268" t="s">
        <v>318</v>
      </c>
      <c r="D81" s="217" t="s">
        <v>303</v>
      </c>
      <c r="E81" s="264">
        <f t="shared" si="9"/>
        <v>2023</v>
      </c>
      <c r="F81" s="265">
        <v>0</v>
      </c>
    </row>
    <row r="82" spans="1:7">
      <c r="A82" s="257">
        <f t="shared" si="8"/>
        <v>73</v>
      </c>
      <c r="C82" s="268" t="s">
        <v>313</v>
      </c>
      <c r="D82" s="217" t="s">
        <v>303</v>
      </c>
      <c r="E82" s="264">
        <f t="shared" si="9"/>
        <v>2023</v>
      </c>
      <c r="F82" s="265">
        <v>0</v>
      </c>
    </row>
    <row r="83" spans="1:7">
      <c r="A83" s="257">
        <f t="shared" si="8"/>
        <v>74</v>
      </c>
      <c r="C83" s="271" t="s">
        <v>300</v>
      </c>
      <c r="D83" s="272" t="s">
        <v>331</v>
      </c>
      <c r="E83" s="273">
        <f t="shared" si="9"/>
        <v>2023</v>
      </c>
      <c r="F83" s="274">
        <v>0</v>
      </c>
      <c r="G83" s="275"/>
    </row>
    <row r="84" spans="1:7">
      <c r="A84" s="257">
        <f t="shared" si="8"/>
        <v>75</v>
      </c>
      <c r="C84" s="276" t="s">
        <v>332</v>
      </c>
      <c r="D84" s="217" t="str">
        <f>"(sum lines "&amp;A71&amp;"-"&amp;A83&amp;") /13"</f>
        <v>(sum lines 62-74) /13</v>
      </c>
      <c r="E84" s="277"/>
      <c r="F84" s="278">
        <f>SUM(F71:F83)/13</f>
        <v>0</v>
      </c>
      <c r="G84" s="279"/>
    </row>
    <row r="85" spans="1:7">
      <c r="A85" s="257"/>
      <c r="C85" s="268"/>
      <c r="E85" s="277"/>
      <c r="F85" s="280"/>
      <c r="G85" s="266"/>
    </row>
    <row r="86" spans="1:7">
      <c r="A86" s="257">
        <f>+A84+1</f>
        <v>76</v>
      </c>
      <c r="C86" s="258" t="s">
        <v>333</v>
      </c>
      <c r="D86" s="263" t="str">
        <f>"(sum lines "&amp;A20&amp;", "&amp;A36&amp;", "&amp;A52&amp;", "&amp;A68&amp;", &amp; "&amp;A84&amp;")"</f>
        <v>(sum lines 15, 30, 45, 60, &amp; 75)</v>
      </c>
      <c r="E86" s="282"/>
      <c r="F86" s="284">
        <f>F20+F36+F52+F68+F84</f>
        <v>264012168.78333324</v>
      </c>
      <c r="G86" s="285"/>
    </row>
    <row r="87" spans="1:7" ht="16.2" thickBot="1">
      <c r="A87" s="286"/>
      <c r="B87" s="287"/>
      <c r="C87" s="288"/>
      <c r="D87" s="289"/>
      <c r="E87" s="290"/>
      <c r="F87" s="291"/>
      <c r="G87" s="285"/>
    </row>
    <row r="88" spans="1:7">
      <c r="A88" s="257"/>
      <c r="B88" s="230"/>
      <c r="C88" s="268"/>
      <c r="E88" s="277"/>
      <c r="F88" s="280"/>
      <c r="G88" s="285"/>
    </row>
    <row r="89" spans="1:7">
      <c r="A89" s="257"/>
      <c r="B89" s="230"/>
      <c r="C89" s="268"/>
      <c r="E89" s="277"/>
      <c r="F89" s="280"/>
      <c r="G89" s="266"/>
    </row>
    <row r="90" spans="1:7" ht="16.2" thickBot="1">
      <c r="A90" s="292" t="s">
        <v>334</v>
      </c>
      <c r="E90" s="293"/>
      <c r="F90" s="281"/>
    </row>
    <row r="91" spans="1:7">
      <c r="A91" s="1059" t="s">
        <v>335</v>
      </c>
      <c r="B91" s="1060"/>
      <c r="C91" s="1060"/>
      <c r="D91" s="1060"/>
      <c r="E91" s="1060"/>
      <c r="F91" s="1061"/>
      <c r="G91" s="256"/>
    </row>
    <row r="92" spans="1:7">
      <c r="A92" s="257">
        <f>+A86+1</f>
        <v>77</v>
      </c>
      <c r="C92" s="258" t="s">
        <v>336</v>
      </c>
      <c r="D92" s="217" t="s">
        <v>297</v>
      </c>
      <c r="E92" s="259" t="s">
        <v>298</v>
      </c>
      <c r="F92" s="260" t="s">
        <v>299</v>
      </c>
      <c r="G92" s="261"/>
    </row>
    <row r="93" spans="1:7">
      <c r="A93" s="257">
        <f t="shared" ref="A93:A106" si="10">+A92+1</f>
        <v>78</v>
      </c>
      <c r="C93" s="217" t="s">
        <v>300</v>
      </c>
      <c r="D93" s="263" t="s">
        <v>337</v>
      </c>
      <c r="E93" s="264">
        <f>+$E$7</f>
        <v>2022</v>
      </c>
      <c r="F93" s="265">
        <v>3403561.346016923</v>
      </c>
      <c r="G93" s="266"/>
    </row>
    <row r="94" spans="1:7">
      <c r="A94" s="257">
        <f t="shared" si="10"/>
        <v>79</v>
      </c>
      <c r="C94" s="268" t="s">
        <v>302</v>
      </c>
      <c r="D94" s="217" t="s">
        <v>303</v>
      </c>
      <c r="E94" s="264">
        <f>+$E$8</f>
        <v>2023</v>
      </c>
      <c r="F94" s="265">
        <v>3784743.7075211536</v>
      </c>
      <c r="G94" s="269"/>
    </row>
    <row r="95" spans="1:7">
      <c r="A95" s="257">
        <f t="shared" si="10"/>
        <v>80</v>
      </c>
      <c r="B95" s="230"/>
      <c r="C95" s="268" t="s">
        <v>304</v>
      </c>
      <c r="D95" s="217" t="s">
        <v>303</v>
      </c>
      <c r="E95" s="264">
        <f t="shared" ref="E95:E105" si="11">+$E$8</f>
        <v>2023</v>
      </c>
      <c r="F95" s="265">
        <v>4165926.0690253843</v>
      </c>
      <c r="G95" s="266"/>
    </row>
    <row r="96" spans="1:7">
      <c r="A96" s="257">
        <f t="shared" si="10"/>
        <v>81</v>
      </c>
      <c r="B96" s="230"/>
      <c r="C96" s="268" t="s">
        <v>305</v>
      </c>
      <c r="D96" s="217" t="s">
        <v>303</v>
      </c>
      <c r="E96" s="264">
        <f t="shared" si="11"/>
        <v>2023</v>
      </c>
      <c r="F96" s="265">
        <v>4547108.4305296149</v>
      </c>
      <c r="G96" s="266"/>
    </row>
    <row r="97" spans="1:7">
      <c r="A97" s="257">
        <f t="shared" si="10"/>
        <v>82</v>
      </c>
      <c r="C97" s="268" t="s">
        <v>306</v>
      </c>
      <c r="D97" s="217" t="s">
        <v>303</v>
      </c>
      <c r="E97" s="264">
        <f t="shared" si="11"/>
        <v>2023</v>
      </c>
      <c r="F97" s="265">
        <v>4928290.7920338456</v>
      </c>
      <c r="G97" s="266"/>
    </row>
    <row r="98" spans="1:7">
      <c r="A98" s="257">
        <f t="shared" si="10"/>
        <v>83</v>
      </c>
      <c r="C98" s="268" t="s">
        <v>307</v>
      </c>
      <c r="D98" s="217" t="s">
        <v>303</v>
      </c>
      <c r="E98" s="264">
        <f t="shared" si="11"/>
        <v>2023</v>
      </c>
      <c r="F98" s="265">
        <v>5309473.1535380762</v>
      </c>
    </row>
    <row r="99" spans="1:7">
      <c r="A99" s="257">
        <f t="shared" si="10"/>
        <v>84</v>
      </c>
      <c r="C99" s="268" t="s">
        <v>308</v>
      </c>
      <c r="D99" s="217" t="s">
        <v>303</v>
      </c>
      <c r="E99" s="264">
        <f t="shared" si="11"/>
        <v>2023</v>
      </c>
      <c r="F99" s="265">
        <v>5690655.5150423069</v>
      </c>
      <c r="G99" s="266"/>
    </row>
    <row r="100" spans="1:7">
      <c r="A100" s="257">
        <f t="shared" si="10"/>
        <v>85</v>
      </c>
      <c r="C100" s="268" t="s">
        <v>309</v>
      </c>
      <c r="D100" s="217" t="s">
        <v>303</v>
      </c>
      <c r="E100" s="264">
        <f t="shared" si="11"/>
        <v>2023</v>
      </c>
      <c r="F100" s="265">
        <v>6071837.8765465375</v>
      </c>
      <c r="G100" s="269"/>
    </row>
    <row r="101" spans="1:7">
      <c r="A101" s="257">
        <f t="shared" si="10"/>
        <v>86</v>
      </c>
      <c r="B101" s="230"/>
      <c r="C101" s="268" t="s">
        <v>310</v>
      </c>
      <c r="D101" s="217" t="s">
        <v>303</v>
      </c>
      <c r="E101" s="264">
        <f t="shared" si="11"/>
        <v>2023</v>
      </c>
      <c r="F101" s="265">
        <v>6453020.2380507682</v>
      </c>
      <c r="G101" s="266"/>
    </row>
    <row r="102" spans="1:7">
      <c r="A102" s="257">
        <f t="shared" si="10"/>
        <v>87</v>
      </c>
      <c r="B102" s="230"/>
      <c r="C102" s="268" t="s">
        <v>311</v>
      </c>
      <c r="D102" s="217" t="s">
        <v>303</v>
      </c>
      <c r="E102" s="264">
        <f t="shared" si="11"/>
        <v>2023</v>
      </c>
      <c r="F102" s="265">
        <v>6834202.5995549988</v>
      </c>
      <c r="G102" s="266"/>
    </row>
    <row r="103" spans="1:7">
      <c r="A103" s="257">
        <f t="shared" si="10"/>
        <v>88</v>
      </c>
      <c r="C103" s="268" t="s">
        <v>318</v>
      </c>
      <c r="D103" s="217" t="s">
        <v>303</v>
      </c>
      <c r="E103" s="264">
        <f t="shared" si="11"/>
        <v>2023</v>
      </c>
      <c r="F103" s="265">
        <v>7215384.9610592294</v>
      </c>
      <c r="G103" s="266"/>
    </row>
    <row r="104" spans="1:7">
      <c r="A104" s="257">
        <f t="shared" si="10"/>
        <v>89</v>
      </c>
      <c r="C104" s="268" t="s">
        <v>313</v>
      </c>
      <c r="D104" s="217" t="s">
        <v>303</v>
      </c>
      <c r="E104" s="264">
        <f t="shared" si="11"/>
        <v>2023</v>
      </c>
      <c r="F104" s="265">
        <v>7596567.3225634601</v>
      </c>
    </row>
    <row r="105" spans="1:7">
      <c r="A105" s="257">
        <f t="shared" si="10"/>
        <v>90</v>
      </c>
      <c r="C105" s="271" t="s">
        <v>300</v>
      </c>
      <c r="D105" s="272" t="s">
        <v>338</v>
      </c>
      <c r="E105" s="273">
        <f t="shared" si="11"/>
        <v>2023</v>
      </c>
      <c r="F105" s="265">
        <v>7977749.6840676907</v>
      </c>
      <c r="G105" s="279"/>
    </row>
    <row r="106" spans="1:7">
      <c r="A106" s="257">
        <f t="shared" si="10"/>
        <v>91</v>
      </c>
      <c r="C106" s="276" t="s">
        <v>339</v>
      </c>
      <c r="D106" s="217" t="str">
        <f>"(sum lines "&amp;A93&amp;"-"&amp;A105&amp;") /13"</f>
        <v>(sum lines 78-90) /13</v>
      </c>
      <c r="E106" s="277"/>
      <c r="F106" s="294">
        <f>SUM(F93:F105)/13</f>
        <v>5690655.5150423069</v>
      </c>
      <c r="G106" s="275"/>
    </row>
    <row r="107" spans="1:7">
      <c r="A107" s="257"/>
      <c r="B107" s="230"/>
      <c r="C107" s="268"/>
      <c r="E107" s="277"/>
      <c r="F107" s="280"/>
      <c r="G107" s="266"/>
    </row>
    <row r="108" spans="1:7">
      <c r="A108" s="257">
        <f>+A106+1</f>
        <v>92</v>
      </c>
      <c r="C108" s="258" t="s">
        <v>340</v>
      </c>
      <c r="D108" s="217" t="s">
        <v>297</v>
      </c>
      <c r="E108" s="259"/>
      <c r="F108" s="281"/>
    </row>
    <row r="109" spans="1:7">
      <c r="A109" s="257">
        <f t="shared" ref="A109:A122" si="12">+A108+1</f>
        <v>93</v>
      </c>
      <c r="C109" s="217" t="s">
        <v>300</v>
      </c>
      <c r="D109" s="263" t="s">
        <v>341</v>
      </c>
      <c r="E109" s="264">
        <f>+$E$7</f>
        <v>2022</v>
      </c>
      <c r="F109" s="265">
        <v>0</v>
      </c>
      <c r="G109" s="266"/>
    </row>
    <row r="110" spans="1:7">
      <c r="A110" s="257">
        <f t="shared" si="12"/>
        <v>94</v>
      </c>
      <c r="C110" s="268" t="s">
        <v>302</v>
      </c>
      <c r="D110" s="217" t="s">
        <v>303</v>
      </c>
      <c r="E110" s="264">
        <f>+$E$8</f>
        <v>2023</v>
      </c>
      <c r="F110" s="265">
        <v>0</v>
      </c>
      <c r="G110" s="269"/>
    </row>
    <row r="111" spans="1:7">
      <c r="A111" s="257">
        <f t="shared" si="12"/>
        <v>95</v>
      </c>
      <c r="B111" s="230"/>
      <c r="C111" s="268" t="s">
        <v>304</v>
      </c>
      <c r="D111" s="217" t="s">
        <v>303</v>
      </c>
      <c r="E111" s="264">
        <f t="shared" ref="E111:E121" si="13">+$E$8</f>
        <v>2023</v>
      </c>
      <c r="F111" s="265">
        <v>0</v>
      </c>
      <c r="G111" s="266"/>
    </row>
    <row r="112" spans="1:7">
      <c r="A112" s="257">
        <f t="shared" si="12"/>
        <v>96</v>
      </c>
      <c r="B112" s="230"/>
      <c r="C112" s="268" t="s">
        <v>305</v>
      </c>
      <c r="D112" s="217" t="s">
        <v>303</v>
      </c>
      <c r="E112" s="264">
        <f t="shared" si="13"/>
        <v>2023</v>
      </c>
      <c r="F112" s="265">
        <v>0</v>
      </c>
      <c r="G112" s="266"/>
    </row>
    <row r="113" spans="1:7">
      <c r="A113" s="257">
        <f t="shared" si="12"/>
        <v>97</v>
      </c>
      <c r="C113" s="268" t="s">
        <v>306</v>
      </c>
      <c r="D113" s="217" t="s">
        <v>303</v>
      </c>
      <c r="E113" s="264">
        <f t="shared" si="13"/>
        <v>2023</v>
      </c>
      <c r="F113" s="265">
        <v>0</v>
      </c>
      <c r="G113" s="266"/>
    </row>
    <row r="114" spans="1:7">
      <c r="A114" s="257">
        <f t="shared" si="12"/>
        <v>98</v>
      </c>
      <c r="C114" s="268" t="s">
        <v>307</v>
      </c>
      <c r="D114" s="217" t="s">
        <v>303</v>
      </c>
      <c r="E114" s="264">
        <f t="shared" si="13"/>
        <v>2023</v>
      </c>
      <c r="F114" s="265">
        <v>0</v>
      </c>
    </row>
    <row r="115" spans="1:7">
      <c r="A115" s="257">
        <f t="shared" si="12"/>
        <v>99</v>
      </c>
      <c r="C115" s="268" t="s">
        <v>308</v>
      </c>
      <c r="D115" s="217" t="s">
        <v>303</v>
      </c>
      <c r="E115" s="264">
        <f t="shared" si="13"/>
        <v>2023</v>
      </c>
      <c r="F115" s="265">
        <v>0</v>
      </c>
      <c r="G115" s="266"/>
    </row>
    <row r="116" spans="1:7">
      <c r="A116" s="257">
        <f t="shared" si="12"/>
        <v>100</v>
      </c>
      <c r="C116" s="268" t="s">
        <v>309</v>
      </c>
      <c r="D116" s="217" t="s">
        <v>303</v>
      </c>
      <c r="E116" s="264">
        <f t="shared" si="13"/>
        <v>2023</v>
      </c>
      <c r="F116" s="265">
        <v>0</v>
      </c>
      <c r="G116" s="269"/>
    </row>
    <row r="117" spans="1:7">
      <c r="A117" s="257">
        <f t="shared" si="12"/>
        <v>101</v>
      </c>
      <c r="B117" s="230"/>
      <c r="C117" s="268" t="s">
        <v>310</v>
      </c>
      <c r="D117" s="217" t="s">
        <v>303</v>
      </c>
      <c r="E117" s="264">
        <f t="shared" si="13"/>
        <v>2023</v>
      </c>
      <c r="F117" s="265">
        <v>0</v>
      </c>
      <c r="G117" s="266"/>
    </row>
    <row r="118" spans="1:7">
      <c r="A118" s="257">
        <f t="shared" si="12"/>
        <v>102</v>
      </c>
      <c r="B118" s="230"/>
      <c r="C118" s="268" t="s">
        <v>311</v>
      </c>
      <c r="D118" s="217" t="s">
        <v>303</v>
      </c>
      <c r="E118" s="264">
        <f t="shared" si="13"/>
        <v>2023</v>
      </c>
      <c r="F118" s="265">
        <v>0</v>
      </c>
      <c r="G118" s="266"/>
    </row>
    <row r="119" spans="1:7">
      <c r="A119" s="257">
        <f t="shared" si="12"/>
        <v>103</v>
      </c>
      <c r="C119" s="268" t="s">
        <v>312</v>
      </c>
      <c r="D119" s="217" t="s">
        <v>303</v>
      </c>
      <c r="E119" s="264">
        <f t="shared" si="13"/>
        <v>2023</v>
      </c>
      <c r="F119" s="265">
        <v>0</v>
      </c>
      <c r="G119" s="266"/>
    </row>
    <row r="120" spans="1:7">
      <c r="A120" s="257">
        <f t="shared" si="12"/>
        <v>104</v>
      </c>
      <c r="C120" s="268" t="s">
        <v>313</v>
      </c>
      <c r="D120" s="217" t="s">
        <v>303</v>
      </c>
      <c r="E120" s="264">
        <f t="shared" si="13"/>
        <v>2023</v>
      </c>
      <c r="F120" s="265">
        <v>0</v>
      </c>
      <c r="G120" s="266"/>
    </row>
    <row r="121" spans="1:7">
      <c r="A121" s="257">
        <f t="shared" si="12"/>
        <v>105</v>
      </c>
      <c r="C121" s="271" t="s">
        <v>300</v>
      </c>
      <c r="D121" s="272" t="s">
        <v>342</v>
      </c>
      <c r="E121" s="273">
        <f t="shared" si="13"/>
        <v>2023</v>
      </c>
      <c r="F121" s="274">
        <v>0</v>
      </c>
      <c r="G121" s="279"/>
    </row>
    <row r="122" spans="1:7">
      <c r="A122" s="257">
        <f t="shared" si="12"/>
        <v>106</v>
      </c>
      <c r="C122" s="276" t="s">
        <v>343</v>
      </c>
      <c r="D122" s="217" t="str">
        <f>"(sum lines "&amp;A109&amp;"-"&amp;A121&amp;") /13"</f>
        <v>(sum lines 93-105) /13</v>
      </c>
      <c r="E122" s="277"/>
      <c r="F122" s="278">
        <f>SUM(F109:F121)/13</f>
        <v>0</v>
      </c>
      <c r="G122" s="275"/>
    </row>
    <row r="123" spans="1:7">
      <c r="A123" s="257"/>
      <c r="B123" s="230"/>
      <c r="C123" s="268"/>
      <c r="E123" s="277"/>
      <c r="F123" s="280"/>
      <c r="G123" s="266"/>
    </row>
    <row r="124" spans="1:7">
      <c r="A124" s="257">
        <f>+A122+1</f>
        <v>107</v>
      </c>
      <c r="C124" s="258" t="s">
        <v>344</v>
      </c>
      <c r="D124" s="217" t="s">
        <v>297</v>
      </c>
      <c r="E124" s="259"/>
      <c r="F124" s="281"/>
    </row>
    <row r="125" spans="1:7">
      <c r="A125" s="257">
        <f>+A124+1</f>
        <v>108</v>
      </c>
      <c r="C125" s="217" t="s">
        <v>300</v>
      </c>
      <c r="D125" s="263" t="s">
        <v>345</v>
      </c>
      <c r="E125" s="264">
        <f>+$E$7</f>
        <v>2022</v>
      </c>
      <c r="F125" s="265">
        <v>1341122.4294165121</v>
      </c>
      <c r="G125" s="266"/>
    </row>
    <row r="126" spans="1:7">
      <c r="A126" s="257">
        <f t="shared" ref="A126:A137" si="14">+A125+1</f>
        <v>109</v>
      </c>
      <c r="C126" s="268" t="s">
        <v>302</v>
      </c>
      <c r="D126" s="217" t="s">
        <v>303</v>
      </c>
      <c r="E126" s="264">
        <f>+$E$8</f>
        <v>2023</v>
      </c>
      <c r="F126" s="265">
        <v>1450179.4034373069</v>
      </c>
      <c r="G126" s="266"/>
    </row>
    <row r="127" spans="1:7">
      <c r="A127" s="257">
        <f t="shared" si="14"/>
        <v>110</v>
      </c>
      <c r="C127" s="268" t="s">
        <v>304</v>
      </c>
      <c r="D127" s="217" t="s">
        <v>303</v>
      </c>
      <c r="E127" s="264">
        <f t="shared" ref="E127:E137" si="15">+$E$8</f>
        <v>2023</v>
      </c>
      <c r="F127" s="265">
        <v>1559236.3774581016</v>
      </c>
      <c r="G127" s="266"/>
    </row>
    <row r="128" spans="1:7">
      <c r="A128" s="257">
        <f t="shared" si="14"/>
        <v>111</v>
      </c>
      <c r="C128" s="268" t="s">
        <v>305</v>
      </c>
      <c r="D128" s="217" t="s">
        <v>303</v>
      </c>
      <c r="E128" s="264">
        <f t="shared" si="15"/>
        <v>2023</v>
      </c>
      <c r="F128" s="265">
        <v>1668293.3514788963</v>
      </c>
      <c r="G128" s="266"/>
    </row>
    <row r="129" spans="1:7">
      <c r="A129" s="257">
        <f t="shared" si="14"/>
        <v>112</v>
      </c>
      <c r="C129" s="268" t="s">
        <v>306</v>
      </c>
      <c r="D129" s="217" t="s">
        <v>303</v>
      </c>
      <c r="E129" s="264">
        <f t="shared" si="15"/>
        <v>2023</v>
      </c>
      <c r="F129" s="265">
        <v>1777350.3254996911</v>
      </c>
      <c r="G129" s="266"/>
    </row>
    <row r="130" spans="1:7">
      <c r="A130" s="257">
        <f t="shared" si="14"/>
        <v>113</v>
      </c>
      <c r="C130" s="268" t="s">
        <v>307</v>
      </c>
      <c r="D130" s="217" t="s">
        <v>303</v>
      </c>
      <c r="E130" s="264">
        <f t="shared" si="15"/>
        <v>2023</v>
      </c>
      <c r="F130" s="265">
        <v>1886407.2995204858</v>
      </c>
      <c r="G130" s="266"/>
    </row>
    <row r="131" spans="1:7">
      <c r="A131" s="257">
        <f t="shared" si="14"/>
        <v>114</v>
      </c>
      <c r="C131" s="268" t="s">
        <v>308</v>
      </c>
      <c r="D131" s="217" t="s">
        <v>303</v>
      </c>
      <c r="E131" s="264">
        <f t="shared" si="15"/>
        <v>2023</v>
      </c>
      <c r="F131" s="265">
        <v>1995464.2735412805</v>
      </c>
      <c r="G131" s="266"/>
    </row>
    <row r="132" spans="1:7">
      <c r="A132" s="257">
        <f t="shared" si="14"/>
        <v>115</v>
      </c>
      <c r="C132" s="268" t="s">
        <v>309</v>
      </c>
      <c r="D132" s="217" t="s">
        <v>303</v>
      </c>
      <c r="E132" s="264">
        <f t="shared" si="15"/>
        <v>2023</v>
      </c>
      <c r="F132" s="265">
        <v>2104521.247562075</v>
      </c>
      <c r="G132" s="266"/>
    </row>
    <row r="133" spans="1:7">
      <c r="A133" s="257">
        <f t="shared" si="14"/>
        <v>116</v>
      </c>
      <c r="C133" s="268" t="s">
        <v>310</v>
      </c>
      <c r="D133" s="217" t="s">
        <v>303</v>
      </c>
      <c r="E133" s="264">
        <f t="shared" si="15"/>
        <v>2023</v>
      </c>
      <c r="F133" s="265">
        <v>2213578.2215828695</v>
      </c>
      <c r="G133" s="266"/>
    </row>
    <row r="134" spans="1:7">
      <c r="A134" s="257">
        <f t="shared" si="14"/>
        <v>117</v>
      </c>
      <c r="C134" s="268" t="s">
        <v>311</v>
      </c>
      <c r="D134" s="217" t="s">
        <v>303</v>
      </c>
      <c r="E134" s="264">
        <f t="shared" si="15"/>
        <v>2023</v>
      </c>
      <c r="F134" s="265">
        <v>2322635.195603664</v>
      </c>
      <c r="G134" s="266"/>
    </row>
    <row r="135" spans="1:7">
      <c r="A135" s="257">
        <f t="shared" si="14"/>
        <v>118</v>
      </c>
      <c r="C135" s="268" t="s">
        <v>312</v>
      </c>
      <c r="D135" s="217" t="s">
        <v>303</v>
      </c>
      <c r="E135" s="264">
        <f t="shared" si="15"/>
        <v>2023</v>
      </c>
      <c r="F135" s="265">
        <v>2431692.1696244585</v>
      </c>
      <c r="G135" s="266"/>
    </row>
    <row r="136" spans="1:7">
      <c r="A136" s="257">
        <f t="shared" si="14"/>
        <v>119</v>
      </c>
      <c r="C136" s="268" t="s">
        <v>313</v>
      </c>
      <c r="D136" s="217" t="s">
        <v>303</v>
      </c>
      <c r="E136" s="264">
        <f t="shared" si="15"/>
        <v>2023</v>
      </c>
      <c r="F136" s="265">
        <v>2540749.143645253</v>
      </c>
      <c r="G136" s="266"/>
    </row>
    <row r="137" spans="1:7">
      <c r="A137" s="257">
        <f t="shared" si="14"/>
        <v>120</v>
      </c>
      <c r="C137" s="271" t="s">
        <v>300</v>
      </c>
      <c r="D137" s="272" t="s">
        <v>346</v>
      </c>
      <c r="E137" s="273">
        <f t="shared" si="15"/>
        <v>2023</v>
      </c>
      <c r="F137" s="274">
        <v>2649806.1176660475</v>
      </c>
      <c r="G137" s="279"/>
    </row>
    <row r="138" spans="1:7">
      <c r="A138" s="257">
        <f>+A137+1</f>
        <v>121</v>
      </c>
      <c r="C138" s="276" t="s">
        <v>347</v>
      </c>
      <c r="D138" s="217" t="str">
        <f>"(sum lines "&amp;A125&amp;"-"&amp;A137&amp;") /13"</f>
        <v>(sum lines 108-120) /13</v>
      </c>
      <c r="E138" s="277"/>
      <c r="F138" s="278">
        <f>SUM(F125:F137)/13</f>
        <v>1995464.2735412803</v>
      </c>
      <c r="G138" s="275"/>
    </row>
    <row r="139" spans="1:7">
      <c r="A139" s="257"/>
      <c r="C139" s="268"/>
      <c r="E139" s="282"/>
      <c r="F139" s="280"/>
      <c r="G139" s="266"/>
    </row>
    <row r="140" spans="1:7">
      <c r="A140" s="257">
        <f>+A138+1</f>
        <v>122</v>
      </c>
      <c r="C140" s="258" t="s">
        <v>348</v>
      </c>
      <c r="D140" s="217" t="s">
        <v>297</v>
      </c>
      <c r="E140" s="259"/>
      <c r="F140" s="281"/>
    </row>
    <row r="141" spans="1:7">
      <c r="A141" s="257">
        <f>+A140+1</f>
        <v>123</v>
      </c>
      <c r="C141" s="217" t="s">
        <v>300</v>
      </c>
      <c r="D141" s="263" t="s">
        <v>349</v>
      </c>
      <c r="E141" s="264">
        <f>+$E$7</f>
        <v>2022</v>
      </c>
      <c r="F141" s="265">
        <v>220322.25000000003</v>
      </c>
      <c r="G141" s="266"/>
    </row>
    <row r="142" spans="1:7">
      <c r="A142" s="257">
        <f t="shared" ref="A142:A153" si="16">+A141+1</f>
        <v>124</v>
      </c>
      <c r="C142" s="268" t="s">
        <v>302</v>
      </c>
      <c r="D142" s="217" t="s">
        <v>303</v>
      </c>
      <c r="E142" s="264">
        <f>+$E$8</f>
        <v>2023</v>
      </c>
      <c r="F142" s="265">
        <v>238277.45833333337</v>
      </c>
      <c r="G142" s="266"/>
    </row>
    <row r="143" spans="1:7">
      <c r="A143" s="257">
        <f t="shared" si="16"/>
        <v>125</v>
      </c>
      <c r="C143" s="268" t="s">
        <v>304</v>
      </c>
      <c r="D143" s="217" t="s">
        <v>303</v>
      </c>
      <c r="E143" s="264">
        <f t="shared" ref="E143:E153" si="17">+$E$8</f>
        <v>2023</v>
      </c>
      <c r="F143" s="265">
        <v>256232.66666666672</v>
      </c>
      <c r="G143" s="266"/>
    </row>
    <row r="144" spans="1:7">
      <c r="A144" s="257">
        <f t="shared" si="16"/>
        <v>126</v>
      </c>
      <c r="C144" s="268" t="s">
        <v>305</v>
      </c>
      <c r="D144" s="217" t="s">
        <v>303</v>
      </c>
      <c r="E144" s="264">
        <f t="shared" si="17"/>
        <v>2023</v>
      </c>
      <c r="F144" s="265">
        <v>274187.87500000006</v>
      </c>
      <c r="G144" s="266"/>
    </row>
    <row r="145" spans="1:7">
      <c r="A145" s="257">
        <f t="shared" si="16"/>
        <v>127</v>
      </c>
      <c r="C145" s="268" t="s">
        <v>306</v>
      </c>
      <c r="D145" s="217" t="s">
        <v>303</v>
      </c>
      <c r="E145" s="264">
        <f t="shared" si="17"/>
        <v>2023</v>
      </c>
      <c r="F145" s="265">
        <v>292143.08333333337</v>
      </c>
      <c r="G145" s="266"/>
    </row>
    <row r="146" spans="1:7">
      <c r="A146" s="257">
        <f t="shared" si="16"/>
        <v>128</v>
      </c>
      <c r="C146" s="268" t="s">
        <v>307</v>
      </c>
      <c r="D146" s="217" t="s">
        <v>303</v>
      </c>
      <c r="E146" s="264">
        <f t="shared" si="17"/>
        <v>2023</v>
      </c>
      <c r="F146" s="265">
        <v>310098.29166666669</v>
      </c>
      <c r="G146" s="266"/>
    </row>
    <row r="147" spans="1:7">
      <c r="A147" s="257">
        <f t="shared" si="16"/>
        <v>129</v>
      </c>
      <c r="C147" s="268" t="s">
        <v>308</v>
      </c>
      <c r="D147" s="217" t="s">
        <v>303</v>
      </c>
      <c r="E147" s="264">
        <f t="shared" si="17"/>
        <v>2023</v>
      </c>
      <c r="F147" s="265">
        <v>328053.5</v>
      </c>
      <c r="G147" s="266"/>
    </row>
    <row r="148" spans="1:7">
      <c r="A148" s="257">
        <f t="shared" si="16"/>
        <v>130</v>
      </c>
      <c r="C148" s="268" t="s">
        <v>309</v>
      </c>
      <c r="D148" s="217" t="s">
        <v>303</v>
      </c>
      <c r="E148" s="264">
        <f t="shared" si="17"/>
        <v>2023</v>
      </c>
      <c r="F148" s="265">
        <v>346008.70833333331</v>
      </c>
      <c r="G148" s="266"/>
    </row>
    <row r="149" spans="1:7">
      <c r="A149" s="257">
        <f t="shared" si="16"/>
        <v>131</v>
      </c>
      <c r="C149" s="268" t="s">
        <v>310</v>
      </c>
      <c r="D149" s="217" t="s">
        <v>303</v>
      </c>
      <c r="E149" s="264">
        <f t="shared" si="17"/>
        <v>2023</v>
      </c>
      <c r="F149" s="265">
        <v>363963.91666666663</v>
      </c>
      <c r="G149" s="266"/>
    </row>
    <row r="150" spans="1:7">
      <c r="A150" s="257">
        <f t="shared" si="16"/>
        <v>132</v>
      </c>
      <c r="C150" s="268" t="s">
        <v>311</v>
      </c>
      <c r="D150" s="217" t="s">
        <v>303</v>
      </c>
      <c r="E150" s="264">
        <f t="shared" si="17"/>
        <v>2023</v>
      </c>
      <c r="F150" s="265">
        <v>381919.12499999994</v>
      </c>
      <c r="G150" s="266"/>
    </row>
    <row r="151" spans="1:7">
      <c r="A151" s="257">
        <f t="shared" si="16"/>
        <v>133</v>
      </c>
      <c r="C151" s="268" t="s">
        <v>312</v>
      </c>
      <c r="D151" s="217" t="s">
        <v>303</v>
      </c>
      <c r="E151" s="264">
        <f t="shared" si="17"/>
        <v>2023</v>
      </c>
      <c r="F151" s="265">
        <v>399874.33333333326</v>
      </c>
      <c r="G151" s="266"/>
    </row>
    <row r="152" spans="1:7">
      <c r="A152" s="257">
        <f t="shared" si="16"/>
        <v>134</v>
      </c>
      <c r="C152" s="268" t="s">
        <v>313</v>
      </c>
      <c r="D152" s="217" t="s">
        <v>303</v>
      </c>
      <c r="E152" s="264">
        <f t="shared" si="17"/>
        <v>2023</v>
      </c>
      <c r="F152" s="265">
        <v>417829.54166666657</v>
      </c>
      <c r="G152" s="266"/>
    </row>
    <row r="153" spans="1:7">
      <c r="A153" s="257">
        <f t="shared" si="16"/>
        <v>135</v>
      </c>
      <c r="C153" s="271" t="s">
        <v>300</v>
      </c>
      <c r="D153" s="272" t="s">
        <v>350</v>
      </c>
      <c r="E153" s="273">
        <f t="shared" si="17"/>
        <v>2023</v>
      </c>
      <c r="F153" s="274">
        <v>435784.74999999988</v>
      </c>
      <c r="G153" s="279"/>
    </row>
    <row r="154" spans="1:7">
      <c r="A154" s="257">
        <f>+A153+1</f>
        <v>136</v>
      </c>
      <c r="C154" s="276" t="s">
        <v>351</v>
      </c>
      <c r="D154" s="217" t="str">
        <f>"(sum lines "&amp;A141&amp;"-"&amp;A153&amp;") /13"</f>
        <v>(sum lines 123-135) /13</v>
      </c>
      <c r="E154" s="277"/>
      <c r="F154" s="278">
        <f>SUM(F141:F153)/13</f>
        <v>328053.49999999994</v>
      </c>
      <c r="G154" s="275"/>
    </row>
    <row r="155" spans="1:7">
      <c r="A155" s="257"/>
      <c r="C155" s="268"/>
      <c r="D155" s="263"/>
      <c r="E155" s="282"/>
      <c r="F155" s="283"/>
    </row>
    <row r="156" spans="1:7">
      <c r="A156" s="257">
        <f>+A154+1</f>
        <v>137</v>
      </c>
      <c r="C156" s="258" t="s">
        <v>352</v>
      </c>
      <c r="D156" s="217" t="s">
        <v>297</v>
      </c>
      <c r="E156" s="259"/>
      <c r="F156" s="281"/>
    </row>
    <row r="157" spans="1:7">
      <c r="A157" s="257">
        <f t="shared" ref="A157:A170" si="18">+A156+1</f>
        <v>138</v>
      </c>
      <c r="C157" s="217" t="s">
        <v>300</v>
      </c>
      <c r="D157" s="263" t="s">
        <v>353</v>
      </c>
      <c r="E157" s="264">
        <f>+$E$7</f>
        <v>2022</v>
      </c>
      <c r="F157" s="265">
        <v>0</v>
      </c>
    </row>
    <row r="158" spans="1:7">
      <c r="A158" s="257">
        <f t="shared" si="18"/>
        <v>139</v>
      </c>
      <c r="C158" s="268" t="s">
        <v>302</v>
      </c>
      <c r="D158" s="217" t="s">
        <v>303</v>
      </c>
      <c r="E158" s="264">
        <f>+$E$8</f>
        <v>2023</v>
      </c>
      <c r="F158" s="265">
        <v>0</v>
      </c>
    </row>
    <row r="159" spans="1:7">
      <c r="A159" s="257">
        <f t="shared" si="18"/>
        <v>140</v>
      </c>
      <c r="C159" s="268" t="s">
        <v>304</v>
      </c>
      <c r="D159" s="217" t="s">
        <v>303</v>
      </c>
      <c r="E159" s="264">
        <f t="shared" ref="E159:E169" si="19">+$E$8</f>
        <v>2023</v>
      </c>
      <c r="F159" s="265">
        <v>0</v>
      </c>
    </row>
    <row r="160" spans="1:7">
      <c r="A160" s="257">
        <f t="shared" si="18"/>
        <v>141</v>
      </c>
      <c r="C160" s="268" t="s">
        <v>305</v>
      </c>
      <c r="D160" s="217" t="s">
        <v>303</v>
      </c>
      <c r="E160" s="264">
        <f t="shared" si="19"/>
        <v>2023</v>
      </c>
      <c r="F160" s="265">
        <v>0</v>
      </c>
    </row>
    <row r="161" spans="1:7">
      <c r="A161" s="257">
        <f t="shared" si="18"/>
        <v>142</v>
      </c>
      <c r="C161" s="268" t="s">
        <v>306</v>
      </c>
      <c r="D161" s="217" t="s">
        <v>303</v>
      </c>
      <c r="E161" s="264">
        <f t="shared" si="19"/>
        <v>2023</v>
      </c>
      <c r="F161" s="265">
        <v>0</v>
      </c>
    </row>
    <row r="162" spans="1:7">
      <c r="A162" s="257">
        <f t="shared" si="18"/>
        <v>143</v>
      </c>
      <c r="C162" s="268" t="s">
        <v>307</v>
      </c>
      <c r="D162" s="217" t="s">
        <v>303</v>
      </c>
      <c r="E162" s="264">
        <f t="shared" si="19"/>
        <v>2023</v>
      </c>
      <c r="F162" s="265">
        <v>0</v>
      </c>
    </row>
    <row r="163" spans="1:7">
      <c r="A163" s="257">
        <f t="shared" si="18"/>
        <v>144</v>
      </c>
      <c r="C163" s="268" t="s">
        <v>308</v>
      </c>
      <c r="D163" s="217" t="s">
        <v>303</v>
      </c>
      <c r="E163" s="264">
        <f t="shared" si="19"/>
        <v>2023</v>
      </c>
      <c r="F163" s="265">
        <v>0</v>
      </c>
    </row>
    <row r="164" spans="1:7">
      <c r="A164" s="257">
        <f t="shared" si="18"/>
        <v>145</v>
      </c>
      <c r="C164" s="268" t="s">
        <v>309</v>
      </c>
      <c r="D164" s="217" t="s">
        <v>303</v>
      </c>
      <c r="E164" s="264">
        <f t="shared" si="19"/>
        <v>2023</v>
      </c>
      <c r="F164" s="265">
        <v>0</v>
      </c>
    </row>
    <row r="165" spans="1:7">
      <c r="A165" s="257">
        <f t="shared" si="18"/>
        <v>146</v>
      </c>
      <c r="C165" s="268" t="s">
        <v>310</v>
      </c>
      <c r="D165" s="217" t="s">
        <v>303</v>
      </c>
      <c r="E165" s="264">
        <f t="shared" si="19"/>
        <v>2023</v>
      </c>
      <c r="F165" s="265">
        <v>0</v>
      </c>
    </row>
    <row r="166" spans="1:7">
      <c r="A166" s="257">
        <f t="shared" si="18"/>
        <v>147</v>
      </c>
      <c r="C166" s="268" t="s">
        <v>311</v>
      </c>
      <c r="D166" s="217" t="s">
        <v>303</v>
      </c>
      <c r="E166" s="264">
        <f t="shared" si="19"/>
        <v>2023</v>
      </c>
      <c r="F166" s="265">
        <v>0</v>
      </c>
    </row>
    <row r="167" spans="1:7">
      <c r="A167" s="257">
        <f t="shared" si="18"/>
        <v>148</v>
      </c>
      <c r="C167" s="268" t="s">
        <v>312</v>
      </c>
      <c r="D167" s="217" t="s">
        <v>303</v>
      </c>
      <c r="E167" s="264">
        <f t="shared" si="19"/>
        <v>2023</v>
      </c>
      <c r="F167" s="265">
        <v>0</v>
      </c>
    </row>
    <row r="168" spans="1:7">
      <c r="A168" s="257">
        <f t="shared" si="18"/>
        <v>149</v>
      </c>
      <c r="C168" s="268" t="s">
        <v>313</v>
      </c>
      <c r="D168" s="217" t="s">
        <v>303</v>
      </c>
      <c r="E168" s="264">
        <f t="shared" si="19"/>
        <v>2023</v>
      </c>
      <c r="F168" s="265">
        <v>0</v>
      </c>
      <c r="G168" s="266"/>
    </row>
    <row r="169" spans="1:7">
      <c r="A169" s="257">
        <f t="shared" si="18"/>
        <v>150</v>
      </c>
      <c r="C169" s="271" t="s">
        <v>300</v>
      </c>
      <c r="D169" s="272" t="s">
        <v>354</v>
      </c>
      <c r="E169" s="273">
        <f t="shared" si="19"/>
        <v>2023</v>
      </c>
      <c r="F169" s="274">
        <v>0</v>
      </c>
      <c r="G169" s="279"/>
    </row>
    <row r="170" spans="1:7">
      <c r="A170" s="257">
        <f t="shared" si="18"/>
        <v>151</v>
      </c>
      <c r="C170" s="276" t="s">
        <v>355</v>
      </c>
      <c r="D170" s="217" t="str">
        <f>"(sum lines "&amp;A157&amp;"-"&amp;A169&amp;") /13"</f>
        <v>(sum lines 138-150) /13</v>
      </c>
      <c r="E170" s="277"/>
      <c r="F170" s="278">
        <f>SUM(F157:F169)/13</f>
        <v>0</v>
      </c>
      <c r="G170" s="275"/>
    </row>
    <row r="171" spans="1:7">
      <c r="A171" s="257"/>
      <c r="C171" s="268"/>
      <c r="E171" s="277"/>
      <c r="F171" s="280"/>
      <c r="G171" s="266"/>
    </row>
    <row r="172" spans="1:7">
      <c r="A172" s="257"/>
      <c r="C172" s="276"/>
      <c r="E172" s="277"/>
      <c r="F172" s="278"/>
      <c r="G172" s="266"/>
    </row>
    <row r="173" spans="1:7">
      <c r="A173" s="257">
        <f>+A170+1</f>
        <v>152</v>
      </c>
      <c r="C173" s="258" t="s">
        <v>356</v>
      </c>
      <c r="D173" s="263" t="str">
        <f>"(sum lines "&amp;A106&amp;", "&amp;A122&amp;", "&amp;A138&amp;", "&amp;A154&amp;", &amp; "&amp;A170&amp;")"</f>
        <v>(sum lines 91, 106, 121, 136, &amp; 151)</v>
      </c>
      <c r="E173" s="282"/>
      <c r="F173" s="284">
        <f>F106+F122+F138+F154+F170</f>
        <v>8014173.2885835869</v>
      </c>
      <c r="G173" s="285"/>
    </row>
    <row r="174" spans="1:7" ht="16.2" thickBot="1">
      <c r="A174" s="286"/>
      <c r="B174" s="287"/>
      <c r="C174" s="288"/>
      <c r="D174" s="289"/>
      <c r="E174" s="290"/>
      <c r="F174" s="291"/>
      <c r="G174" s="285"/>
    </row>
    <row r="175" spans="1:7">
      <c r="B175" s="230"/>
      <c r="C175" s="268"/>
      <c r="E175" s="277"/>
      <c r="F175" s="268"/>
      <c r="G175" s="285"/>
    </row>
    <row r="176" spans="1:7">
      <c r="E176" s="295"/>
      <c r="F176" s="231"/>
    </row>
    <row r="177" spans="5:6">
      <c r="E177" s="295"/>
      <c r="F177" s="231"/>
    </row>
    <row r="178" spans="5:6">
      <c r="E178" s="295"/>
      <c r="F178" s="231"/>
    </row>
    <row r="179" spans="5:6">
      <c r="E179" s="295"/>
      <c r="F179" s="296"/>
    </row>
    <row r="180" spans="5:6">
      <c r="E180" s="295"/>
      <c r="F180" s="231"/>
    </row>
    <row r="181" spans="5:6">
      <c r="E181" s="295"/>
      <c r="F181" s="231"/>
    </row>
    <row r="182" spans="5:6">
      <c r="E182" s="295"/>
    </row>
    <row r="183" spans="5:6">
      <c r="E183" s="295"/>
      <c r="F183" s="231"/>
    </row>
    <row r="184" spans="5:6">
      <c r="E184" s="295"/>
      <c r="F184" s="231"/>
    </row>
    <row r="185" spans="5:6">
      <c r="E185" s="295"/>
      <c r="F185" s="231"/>
    </row>
    <row r="186" spans="5:6">
      <c r="E186" s="295"/>
    </row>
    <row r="187" spans="5:6">
      <c r="E187" s="295"/>
      <c r="F187" s="231"/>
    </row>
    <row r="188" spans="5:6">
      <c r="E188" s="295"/>
      <c r="F188" s="231"/>
    </row>
    <row r="189" spans="5:6">
      <c r="E189" s="295"/>
      <c r="F189" s="231"/>
    </row>
    <row r="190" spans="5:6">
      <c r="E190" s="295"/>
    </row>
    <row r="191" spans="5:6">
      <c r="E191" s="295"/>
    </row>
    <row r="192" spans="5:6">
      <c r="E192" s="295"/>
      <c r="F192" s="231"/>
    </row>
    <row r="193" spans="5:6">
      <c r="E193" s="295"/>
      <c r="F193" s="231"/>
    </row>
    <row r="194" spans="5:6">
      <c r="E194" s="295"/>
      <c r="F194" s="297"/>
    </row>
    <row r="195" spans="5:6">
      <c r="E195" s="298"/>
    </row>
    <row r="196" spans="5:6">
      <c r="E196" s="298"/>
      <c r="F196" s="231"/>
    </row>
  </sheetData>
  <mergeCells count="3">
    <mergeCell ref="A2:F2"/>
    <mergeCell ref="A5:F5"/>
    <mergeCell ref="A91:F91"/>
  </mergeCells>
  <printOptions horizontalCentered="1"/>
  <pageMargins left="0.25" right="0.25" top="0.75" bottom="0.75" header="0.5" footer="0.5"/>
  <pageSetup scale="85" fitToHeight="0" orientation="landscape" r:id="rId1"/>
  <headerFooter alignWithMargins="0"/>
  <rowBreaks count="4" manualBreakCount="4">
    <brk id="36" max="5" man="1"/>
    <brk id="69" max="5" man="1"/>
    <brk id="107" max="5" man="1"/>
    <brk id="13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644F7-A3B3-4951-B000-CABAB0DB77FE}">
  <dimension ref="A1:Q196"/>
  <sheetViews>
    <sheetView view="pageBreakPreview" zoomScale="80" zoomScaleNormal="90" zoomScaleSheetLayoutView="80" workbookViewId="0"/>
  </sheetViews>
  <sheetFormatPr defaultColWidth="8.81640625" defaultRowHeight="13.2"/>
  <cols>
    <col min="1" max="1" width="5" style="270" customWidth="1"/>
    <col min="2" max="2" width="3.1796875" style="219" customWidth="1"/>
    <col min="3" max="3" width="48.1796875" style="219" customWidth="1"/>
    <col min="4" max="4" width="20.1796875" style="219" customWidth="1"/>
    <col min="5" max="5" width="13.81640625" style="219" customWidth="1"/>
    <col min="6" max="6" width="18.08984375" style="219" customWidth="1"/>
    <col min="7" max="7" width="15.1796875" style="219" customWidth="1"/>
    <col min="8" max="8" width="15.54296875" style="219" customWidth="1"/>
    <col min="9" max="9" width="13" style="219" customWidth="1"/>
    <col min="10" max="10" width="10.81640625" style="219" customWidth="1"/>
    <col min="11" max="11" width="9" style="219" customWidth="1"/>
    <col min="12" max="12" width="11.81640625" style="219" bestFit="1" customWidth="1"/>
    <col min="13" max="13" width="27.453125" style="219" customWidth="1"/>
    <col min="14" max="16384" width="8.81640625" style="219"/>
  </cols>
  <sheetData>
    <row r="1" spans="1:16" ht="17.399999999999999">
      <c r="A1" s="299"/>
      <c r="B1" s="270"/>
      <c r="C1" s="300"/>
      <c r="D1" s="1062" t="s">
        <v>357</v>
      </c>
      <c r="E1" s="1062"/>
      <c r="F1" s="1062"/>
      <c r="G1" s="1062"/>
      <c r="H1" s="1062"/>
      <c r="I1" s="1062"/>
      <c r="J1" s="262"/>
      <c r="K1" s="262"/>
      <c r="L1" s="262"/>
      <c r="M1" s="262"/>
    </row>
    <row r="2" spans="1:16" ht="18" thickBot="1">
      <c r="A2" s="301"/>
      <c r="D2" s="1062" t="str">
        <f>'Appendix A'!$E$9</f>
        <v>NextEra Energy Transmission New York, Inc.</v>
      </c>
      <c r="E2" s="1062"/>
      <c r="F2" s="1062"/>
      <c r="G2" s="1062"/>
      <c r="H2" s="1062"/>
      <c r="I2" s="1062"/>
    </row>
    <row r="3" spans="1:16" ht="50.25" customHeight="1" thickBot="1">
      <c r="A3" s="1063"/>
      <c r="B3" s="1064"/>
      <c r="C3" s="1064"/>
      <c r="D3" s="1064"/>
      <c r="E3" s="1064"/>
      <c r="F3" s="1065"/>
      <c r="G3" s="302"/>
      <c r="H3" s="302"/>
      <c r="I3" s="302"/>
      <c r="J3" s="1066" t="s">
        <v>358</v>
      </c>
      <c r="K3" s="1067"/>
      <c r="L3" s="1067"/>
      <c r="M3" s="1068"/>
    </row>
    <row r="4" spans="1:16">
      <c r="A4" s="303" t="s">
        <v>359</v>
      </c>
      <c r="B4" s="299"/>
      <c r="C4" s="304"/>
      <c r="D4" s="305"/>
      <c r="E4" s="299" t="s">
        <v>360</v>
      </c>
      <c r="F4" s="299" t="s">
        <v>361</v>
      </c>
      <c r="G4" s="306" t="s">
        <v>362</v>
      </c>
      <c r="H4" s="307"/>
      <c r="I4" s="308"/>
      <c r="J4" s="309"/>
      <c r="K4" s="310"/>
      <c r="L4" s="310"/>
      <c r="M4" s="311"/>
    </row>
    <row r="5" spans="1:16" s="5" customFormat="1" ht="15">
      <c r="A5" s="312">
        <f>+'2 - Cost Support '!A173+1</f>
        <v>153</v>
      </c>
      <c r="B5" s="313"/>
      <c r="C5" s="313" t="s">
        <v>363</v>
      </c>
      <c r="D5" s="313" t="s">
        <v>364</v>
      </c>
      <c r="E5" s="314">
        <v>0</v>
      </c>
      <c r="F5" s="314">
        <v>0</v>
      </c>
      <c r="G5" s="315">
        <f>+E5/2+F5/2</f>
        <v>0</v>
      </c>
      <c r="H5" s="316"/>
      <c r="I5" s="317"/>
      <c r="J5" s="317"/>
      <c r="K5" s="317"/>
      <c r="L5" s="318"/>
      <c r="M5" s="319"/>
      <c r="N5" s="320"/>
      <c r="O5" s="49"/>
      <c r="P5" s="36"/>
    </row>
    <row r="6" spans="1:16" s="5" customFormat="1" ht="15">
      <c r="A6" s="312"/>
      <c r="B6" s="313"/>
      <c r="C6" s="313"/>
      <c r="D6" s="313"/>
      <c r="E6" s="317"/>
      <c r="F6" s="317"/>
      <c r="G6" s="315"/>
      <c r="H6" s="316"/>
      <c r="I6" s="317"/>
      <c r="J6" s="317"/>
      <c r="K6" s="317"/>
      <c r="L6" s="318"/>
      <c r="M6" s="319"/>
      <c r="N6" s="320"/>
      <c r="O6" s="49"/>
      <c r="P6" s="36"/>
    </row>
    <row r="7" spans="1:16" s="5" customFormat="1" ht="15.6">
      <c r="A7" s="312">
        <f>+A5+1</f>
        <v>154</v>
      </c>
      <c r="B7" s="313"/>
      <c r="C7" s="313" t="s">
        <v>89</v>
      </c>
      <c r="D7" s="317" t="s">
        <v>365</v>
      </c>
      <c r="E7" s="321"/>
      <c r="F7" s="321"/>
      <c r="G7" s="322">
        <f>+'8a - Workpaper'!Z41</f>
        <v>0</v>
      </c>
      <c r="H7" s="323"/>
      <c r="I7" s="9"/>
      <c r="J7" s="9"/>
      <c r="K7" s="317"/>
      <c r="L7" s="318"/>
      <c r="M7" s="319"/>
      <c r="N7" s="320"/>
      <c r="O7" s="324"/>
      <c r="P7" s="36"/>
    </row>
    <row r="8" spans="1:16" s="5" customFormat="1" ht="15">
      <c r="A8" s="312"/>
      <c r="B8" s="313"/>
      <c r="C8" s="313" t="s">
        <v>366</v>
      </c>
      <c r="D8" s="317"/>
      <c r="E8" s="317"/>
      <c r="F8" s="317"/>
      <c r="G8" s="325"/>
      <c r="H8" s="316" t="s">
        <v>367</v>
      </c>
      <c r="I8" s="9"/>
      <c r="K8" s="317"/>
      <c r="L8" s="318"/>
      <c r="M8" s="319"/>
      <c r="N8" s="320"/>
      <c r="P8" s="36"/>
    </row>
    <row r="9" spans="1:16" s="5" customFormat="1" ht="15">
      <c r="A9" s="312">
        <f>+A7+1</f>
        <v>155</v>
      </c>
      <c r="B9" s="313"/>
      <c r="C9" s="313" t="s">
        <v>368</v>
      </c>
      <c r="D9" s="317" t="s">
        <v>369</v>
      </c>
      <c r="E9" s="317"/>
      <c r="G9" s="326"/>
      <c r="H9" s="327">
        <f>+'8a - Workpaper'!I41</f>
        <v>0</v>
      </c>
      <c r="I9" s="9"/>
      <c r="K9" s="317"/>
      <c r="L9" s="318"/>
      <c r="M9" s="319"/>
      <c r="N9" s="320"/>
      <c r="O9" s="49"/>
      <c r="P9" s="36"/>
    </row>
    <row r="10" spans="1:16" s="5" customFormat="1" ht="15">
      <c r="A10" s="312"/>
      <c r="B10" s="313"/>
      <c r="C10" s="313"/>
      <c r="D10" s="317"/>
      <c r="E10" s="317"/>
      <c r="F10" s="317"/>
      <c r="G10" s="325"/>
      <c r="H10" s="323"/>
      <c r="I10" s="9"/>
      <c r="K10" s="317"/>
      <c r="L10" s="318"/>
      <c r="M10" s="319"/>
      <c r="N10" s="320"/>
      <c r="O10" s="49"/>
      <c r="P10" s="36"/>
    </row>
    <row r="11" spans="1:16" s="5" customFormat="1" ht="15">
      <c r="A11" s="312">
        <f>+A9+1</f>
        <v>156</v>
      </c>
      <c r="B11" s="313"/>
      <c r="C11" s="313" t="s">
        <v>370</v>
      </c>
      <c r="E11" s="328" t="s">
        <v>195</v>
      </c>
      <c r="F11" s="328" t="s">
        <v>371</v>
      </c>
      <c r="G11" s="325"/>
      <c r="H11" s="323"/>
      <c r="I11" s="9"/>
      <c r="J11" s="9"/>
      <c r="K11" s="317"/>
      <c r="L11" s="318"/>
      <c r="M11" s="319"/>
      <c r="N11" s="320"/>
      <c r="O11" s="49"/>
      <c r="P11" s="36"/>
    </row>
    <row r="12" spans="1:16" s="5" customFormat="1" ht="15">
      <c r="A12" s="312"/>
      <c r="B12" s="313"/>
      <c r="C12" s="313" t="s">
        <v>372</v>
      </c>
      <c r="D12" s="313"/>
      <c r="E12" s="270" t="s">
        <v>298</v>
      </c>
      <c r="F12" s="269" t="s">
        <v>299</v>
      </c>
      <c r="G12" s="329"/>
      <c r="H12" s="316"/>
      <c r="I12" s="317"/>
      <c r="J12" s="317"/>
      <c r="K12" s="317"/>
      <c r="L12" s="318"/>
      <c r="M12" s="319"/>
      <c r="N12" s="320"/>
      <c r="O12" s="49"/>
      <c r="P12" s="36"/>
    </row>
    <row r="13" spans="1:16" s="5" customFormat="1" ht="15">
      <c r="A13" s="330">
        <f>+A11+1</f>
        <v>157</v>
      </c>
      <c r="B13" s="270"/>
      <c r="C13" s="219" t="s">
        <v>300</v>
      </c>
      <c r="D13" s="317" t="s">
        <v>373</v>
      </c>
      <c r="E13" s="331">
        <v>0</v>
      </c>
      <c r="F13" s="332">
        <v>0</v>
      </c>
      <c r="G13" s="326"/>
      <c r="I13" s="317"/>
      <c r="J13" s="317"/>
      <c r="K13" s="317"/>
      <c r="L13" s="318"/>
      <c r="M13" s="319"/>
      <c r="N13" s="320"/>
      <c r="O13" s="49"/>
      <c r="P13" s="36"/>
    </row>
    <row r="14" spans="1:16" s="5" customFormat="1" ht="15">
      <c r="A14" s="330">
        <f t="shared" ref="A14:A26" si="0">+A13+1</f>
        <v>158</v>
      </c>
      <c r="B14" s="270"/>
      <c r="C14" s="300" t="s">
        <v>302</v>
      </c>
      <c r="D14" s="219" t="s">
        <v>303</v>
      </c>
      <c r="E14" s="331">
        <v>0</v>
      </c>
      <c r="F14" s="332">
        <v>0</v>
      </c>
      <c r="G14" s="326"/>
      <c r="I14" s="317"/>
      <c r="J14" s="317"/>
      <c r="K14" s="317"/>
      <c r="L14" s="318"/>
      <c r="M14" s="319"/>
      <c r="N14" s="320"/>
      <c r="O14" s="49"/>
      <c r="P14" s="36"/>
    </row>
    <row r="15" spans="1:16" s="5" customFormat="1" ht="15">
      <c r="A15" s="330">
        <f t="shared" si="0"/>
        <v>159</v>
      </c>
      <c r="B15" s="270"/>
      <c r="C15" s="300" t="s">
        <v>304</v>
      </c>
      <c r="D15" s="219" t="s">
        <v>303</v>
      </c>
      <c r="E15" s="331">
        <v>0</v>
      </c>
      <c r="F15" s="332">
        <v>0</v>
      </c>
      <c r="G15" s="326"/>
      <c r="I15" s="317"/>
      <c r="J15" s="317"/>
      <c r="K15" s="317"/>
      <c r="L15" s="318"/>
      <c r="M15" s="319"/>
      <c r="N15" s="320"/>
      <c r="O15" s="49"/>
      <c r="P15" s="36"/>
    </row>
    <row r="16" spans="1:16" s="5" customFormat="1" ht="15">
      <c r="A16" s="330">
        <f t="shared" si="0"/>
        <v>160</v>
      </c>
      <c r="B16" s="270"/>
      <c r="C16" s="300" t="s">
        <v>305</v>
      </c>
      <c r="D16" s="219" t="s">
        <v>303</v>
      </c>
      <c r="E16" s="331">
        <v>0</v>
      </c>
      <c r="F16" s="332">
        <v>0</v>
      </c>
      <c r="G16" s="326"/>
      <c r="I16" s="317"/>
      <c r="J16" s="317"/>
      <c r="K16" s="317"/>
      <c r="L16" s="318"/>
      <c r="M16" s="319"/>
      <c r="N16" s="320"/>
      <c r="O16" s="49"/>
      <c r="P16" s="36"/>
    </row>
    <row r="17" spans="1:16" s="5" customFormat="1" ht="15">
      <c r="A17" s="330">
        <f t="shared" si="0"/>
        <v>161</v>
      </c>
      <c r="B17" s="270"/>
      <c r="C17" s="300" t="s">
        <v>306</v>
      </c>
      <c r="D17" s="219" t="s">
        <v>303</v>
      </c>
      <c r="E17" s="331">
        <v>0</v>
      </c>
      <c r="F17" s="332">
        <v>0</v>
      </c>
      <c r="G17" s="326"/>
      <c r="I17" s="317"/>
      <c r="J17" s="317"/>
      <c r="K17" s="317"/>
      <c r="L17" s="318"/>
      <c r="M17" s="319"/>
      <c r="N17" s="320"/>
      <c r="O17" s="49"/>
      <c r="P17" s="36"/>
    </row>
    <row r="18" spans="1:16" s="5" customFormat="1" ht="15">
      <c r="A18" s="330">
        <f t="shared" si="0"/>
        <v>162</v>
      </c>
      <c r="B18" s="270"/>
      <c r="C18" s="300" t="s">
        <v>307</v>
      </c>
      <c r="D18" s="219" t="s">
        <v>303</v>
      </c>
      <c r="E18" s="331">
        <v>0</v>
      </c>
      <c r="F18" s="332">
        <v>0</v>
      </c>
      <c r="G18" s="326"/>
      <c r="I18" s="317"/>
      <c r="J18" s="317"/>
      <c r="K18" s="317"/>
      <c r="L18" s="318"/>
      <c r="M18" s="319"/>
      <c r="N18" s="320"/>
      <c r="O18" s="49"/>
      <c r="P18" s="36"/>
    </row>
    <row r="19" spans="1:16" s="5" customFormat="1" ht="15">
      <c r="A19" s="330">
        <f t="shared" si="0"/>
        <v>163</v>
      </c>
      <c r="B19" s="270"/>
      <c r="C19" s="300" t="s">
        <v>308</v>
      </c>
      <c r="D19" s="219" t="s">
        <v>303</v>
      </c>
      <c r="E19" s="331">
        <v>0</v>
      </c>
      <c r="F19" s="332">
        <v>0</v>
      </c>
      <c r="G19" s="326"/>
      <c r="I19" s="317"/>
      <c r="J19" s="317"/>
      <c r="K19" s="317"/>
      <c r="L19" s="318"/>
      <c r="M19" s="319"/>
      <c r="N19" s="320"/>
      <c r="O19" s="49"/>
      <c r="P19" s="36"/>
    </row>
    <row r="20" spans="1:16" s="5" customFormat="1" ht="15">
      <c r="A20" s="330">
        <f t="shared" si="0"/>
        <v>164</v>
      </c>
      <c r="B20" s="270"/>
      <c r="C20" s="300" t="s">
        <v>309</v>
      </c>
      <c r="D20" s="219" t="s">
        <v>303</v>
      </c>
      <c r="E20" s="331">
        <v>0</v>
      </c>
      <c r="F20" s="332">
        <v>0</v>
      </c>
      <c r="G20" s="326"/>
      <c r="I20" s="317"/>
      <c r="J20" s="317"/>
      <c r="K20" s="317"/>
      <c r="L20" s="318"/>
      <c r="M20" s="319"/>
      <c r="N20" s="320"/>
      <c r="O20" s="49"/>
      <c r="P20" s="36"/>
    </row>
    <row r="21" spans="1:16" s="5" customFormat="1" ht="15">
      <c r="A21" s="330">
        <f t="shared" si="0"/>
        <v>165</v>
      </c>
      <c r="B21" s="270"/>
      <c r="C21" s="300" t="s">
        <v>310</v>
      </c>
      <c r="D21" s="219" t="s">
        <v>303</v>
      </c>
      <c r="E21" s="331">
        <v>0</v>
      </c>
      <c r="F21" s="332">
        <v>0</v>
      </c>
      <c r="G21" s="326"/>
      <c r="I21" s="317"/>
      <c r="J21" s="317"/>
      <c r="K21" s="317"/>
      <c r="L21" s="318"/>
      <c r="M21" s="319"/>
      <c r="N21" s="320"/>
      <c r="O21" s="49"/>
      <c r="P21" s="36"/>
    </row>
    <row r="22" spans="1:16" s="5" customFormat="1" ht="15">
      <c r="A22" s="330">
        <f t="shared" si="0"/>
        <v>166</v>
      </c>
      <c r="B22" s="270"/>
      <c r="C22" s="300" t="s">
        <v>311</v>
      </c>
      <c r="D22" s="219" t="s">
        <v>303</v>
      </c>
      <c r="E22" s="331">
        <v>0</v>
      </c>
      <c r="F22" s="332">
        <v>0</v>
      </c>
      <c r="G22" s="326"/>
      <c r="I22" s="317"/>
      <c r="J22" s="317"/>
      <c r="K22" s="317"/>
      <c r="L22" s="318"/>
      <c r="M22" s="319"/>
      <c r="N22" s="320"/>
      <c r="O22" s="49"/>
      <c r="P22" s="36"/>
    </row>
    <row r="23" spans="1:16" s="5" customFormat="1" ht="15">
      <c r="A23" s="330">
        <f t="shared" si="0"/>
        <v>167</v>
      </c>
      <c r="B23" s="270"/>
      <c r="C23" s="300" t="s">
        <v>312</v>
      </c>
      <c r="D23" s="219" t="s">
        <v>303</v>
      </c>
      <c r="E23" s="331">
        <v>0</v>
      </c>
      <c r="F23" s="332">
        <v>0</v>
      </c>
      <c r="G23" s="326"/>
      <c r="I23" s="317"/>
      <c r="J23" s="317"/>
      <c r="K23" s="317"/>
      <c r="L23" s="318"/>
      <c r="M23" s="319"/>
      <c r="N23" s="320"/>
      <c r="O23" s="49"/>
      <c r="P23" s="36"/>
    </row>
    <row r="24" spans="1:16" s="5" customFormat="1" ht="15">
      <c r="A24" s="330">
        <f t="shared" si="0"/>
        <v>168</v>
      </c>
      <c r="B24" s="270"/>
      <c r="C24" s="300" t="s">
        <v>313</v>
      </c>
      <c r="D24" s="219" t="s">
        <v>303</v>
      </c>
      <c r="E24" s="331">
        <v>0</v>
      </c>
      <c r="F24" s="332">
        <v>0</v>
      </c>
      <c r="G24" s="326"/>
      <c r="I24" s="317"/>
      <c r="J24" s="317"/>
      <c r="K24" s="317"/>
      <c r="L24" s="318"/>
      <c r="M24" s="319"/>
      <c r="N24" s="320"/>
      <c r="O24" s="49"/>
      <c r="P24" s="36"/>
    </row>
    <row r="25" spans="1:16" s="5" customFormat="1" ht="15">
      <c r="A25" s="330">
        <f t="shared" si="0"/>
        <v>169</v>
      </c>
      <c r="B25" s="270"/>
      <c r="C25" s="333" t="s">
        <v>300</v>
      </c>
      <c r="D25" s="334" t="s">
        <v>374</v>
      </c>
      <c r="E25" s="335">
        <v>0</v>
      </c>
      <c r="F25" s="336">
        <v>0</v>
      </c>
      <c r="G25" s="326"/>
      <c r="I25" s="317"/>
      <c r="J25" s="317"/>
      <c r="K25" s="317"/>
      <c r="L25" s="318"/>
      <c r="M25" s="319"/>
      <c r="N25" s="320"/>
      <c r="O25" s="49"/>
      <c r="P25" s="36"/>
    </row>
    <row r="26" spans="1:16" s="5" customFormat="1" ht="15">
      <c r="A26" s="330">
        <f t="shared" si="0"/>
        <v>170</v>
      </c>
      <c r="B26" s="270"/>
      <c r="C26" s="337" t="s">
        <v>375</v>
      </c>
      <c r="D26" s="219" t="str">
        <f>"(sum lines "&amp;A13&amp;"-"&amp;A25&amp;") /13"</f>
        <v>(sum lines 157-169) /13</v>
      </c>
      <c r="E26" s="338"/>
      <c r="F26" s="285">
        <f>SUM(F13:F25)/13</f>
        <v>0</v>
      </c>
      <c r="G26" s="326"/>
      <c r="I26" s="317"/>
      <c r="J26" s="317"/>
      <c r="K26" s="317"/>
      <c r="L26" s="318"/>
      <c r="M26" s="319"/>
      <c r="N26" s="320"/>
      <c r="O26" s="49"/>
      <c r="P26" s="36"/>
    </row>
    <row r="27" spans="1:16" s="5" customFormat="1" ht="15.6" thickBot="1">
      <c r="A27" s="312"/>
      <c r="B27" s="313"/>
      <c r="C27" s="313"/>
      <c r="D27" s="313"/>
      <c r="E27" s="317"/>
      <c r="F27" s="317"/>
      <c r="G27" s="339"/>
      <c r="H27" s="340"/>
      <c r="I27" s="341"/>
      <c r="J27" s="341"/>
      <c r="K27" s="341"/>
      <c r="L27" s="342"/>
      <c r="M27" s="343"/>
      <c r="N27" s="320"/>
      <c r="O27" s="49"/>
      <c r="P27" s="36"/>
    </row>
    <row r="28" spans="1:16" ht="13.8" thickBot="1">
      <c r="A28" s="344"/>
      <c r="B28" s="345"/>
      <c r="C28" s="346"/>
      <c r="D28" s="347"/>
      <c r="E28" s="348"/>
      <c r="F28" s="349"/>
      <c r="G28" s="350"/>
      <c r="H28" s="351"/>
      <c r="I28" s="352"/>
      <c r="J28" s="353"/>
      <c r="K28" s="354"/>
      <c r="L28" s="354"/>
      <c r="M28" s="355"/>
    </row>
    <row r="29" spans="1:16">
      <c r="A29" s="356"/>
      <c r="B29" s="356"/>
      <c r="C29" s="356"/>
      <c r="D29" s="356"/>
      <c r="F29" s="357"/>
      <c r="G29" s="358"/>
      <c r="H29" s="328"/>
      <c r="I29" s="359"/>
      <c r="J29" s="360"/>
      <c r="K29" s="262"/>
      <c r="L29" s="262"/>
      <c r="M29" s="262"/>
    </row>
    <row r="30" spans="1:16">
      <c r="B30" s="270"/>
      <c r="C30" s="337"/>
      <c r="D30" s="361"/>
      <c r="E30" s="362"/>
      <c r="F30" s="300"/>
      <c r="G30" s="267"/>
      <c r="H30" s="267"/>
      <c r="I30" s="267"/>
      <c r="J30" s="262"/>
      <c r="K30" s="262"/>
      <c r="L30" s="262"/>
      <c r="M30" s="262"/>
    </row>
    <row r="31" spans="1:16" ht="12" customHeight="1"/>
    <row r="32" spans="1:16" ht="13.8" thickBot="1">
      <c r="A32" s="301" t="s">
        <v>376</v>
      </c>
    </row>
    <row r="33" spans="1:13">
      <c r="A33" s="1069"/>
      <c r="B33" s="1070"/>
      <c r="C33" s="1070"/>
      <c r="D33" s="1070"/>
      <c r="E33" s="1070"/>
      <c r="F33" s="1070"/>
      <c r="G33" s="363"/>
      <c r="H33" s="363"/>
      <c r="I33" s="363"/>
      <c r="J33" s="1071"/>
      <c r="K33" s="1072"/>
      <c r="L33" s="1072"/>
      <c r="M33" s="1073"/>
    </row>
    <row r="34" spans="1:13">
      <c r="A34" s="330" t="s">
        <v>377</v>
      </c>
      <c r="B34" s="364"/>
      <c r="C34" s="365" t="s">
        <v>175</v>
      </c>
      <c r="D34" s="365" t="s">
        <v>176</v>
      </c>
      <c r="E34" s="365" t="s">
        <v>378</v>
      </c>
      <c r="F34" s="365" t="s">
        <v>379</v>
      </c>
      <c r="G34" s="365" t="s">
        <v>380</v>
      </c>
      <c r="H34" s="365" t="s">
        <v>381</v>
      </c>
      <c r="I34" s="365" t="s">
        <v>382</v>
      </c>
      <c r="J34" s="1076"/>
      <c r="K34" s="1077"/>
      <c r="L34" s="1077"/>
      <c r="M34" s="1078"/>
    </row>
    <row r="35" spans="1:13" ht="79.2">
      <c r="A35" s="330"/>
      <c r="B35"/>
      <c r="C35" s="366"/>
      <c r="D35" s="367" t="s">
        <v>32</v>
      </c>
      <c r="E35" s="367" t="s">
        <v>383</v>
      </c>
      <c r="F35" s="367" t="s">
        <v>384</v>
      </c>
      <c r="G35" s="367" t="s">
        <v>385</v>
      </c>
      <c r="H35" s="368" t="s">
        <v>386</v>
      </c>
      <c r="I35" s="368" t="s">
        <v>387</v>
      </c>
      <c r="J35"/>
      <c r="K35" s="235"/>
      <c r="L35" s="235"/>
      <c r="M35" s="369"/>
    </row>
    <row r="36" spans="1:13" ht="15">
      <c r="A36" s="330"/>
      <c r="B36"/>
      <c r="C36" s="370" t="s">
        <v>388</v>
      </c>
      <c r="D36" s="371">
        <v>0</v>
      </c>
      <c r="E36" s="371">
        <v>0</v>
      </c>
      <c r="F36" s="371">
        <v>0</v>
      </c>
      <c r="G36" s="371">
        <v>0</v>
      </c>
      <c r="H36" s="371">
        <v>0</v>
      </c>
      <c r="I36" s="372">
        <f t="shared" ref="I36:I41" si="1">+H36*E36*D36*F36*G36</f>
        <v>0</v>
      </c>
      <c r="J36"/>
      <c r="K36" s="235"/>
      <c r="L36" s="235"/>
      <c r="M36" s="369"/>
    </row>
    <row r="37" spans="1:13" ht="15">
      <c r="A37" s="330"/>
      <c r="B37"/>
      <c r="C37" s="370" t="s">
        <v>389</v>
      </c>
      <c r="D37" s="373">
        <v>0</v>
      </c>
      <c r="E37" s="373">
        <v>0</v>
      </c>
      <c r="F37" s="373">
        <v>0</v>
      </c>
      <c r="G37" s="373">
        <v>0</v>
      </c>
      <c r="H37" s="373">
        <v>0</v>
      </c>
      <c r="I37" s="372">
        <f t="shared" si="1"/>
        <v>0</v>
      </c>
      <c r="J37"/>
      <c r="K37" s="235"/>
      <c r="L37" s="235"/>
      <c r="M37" s="369"/>
    </row>
    <row r="38" spans="1:13" ht="15">
      <c r="A38" s="330"/>
      <c r="B38"/>
      <c r="C38" s="370" t="s">
        <v>390</v>
      </c>
      <c r="D38" s="373">
        <v>0</v>
      </c>
      <c r="E38" s="373">
        <v>0</v>
      </c>
      <c r="F38" s="373">
        <v>0</v>
      </c>
      <c r="G38" s="373">
        <v>0</v>
      </c>
      <c r="H38" s="373">
        <v>0</v>
      </c>
      <c r="I38" s="372">
        <f t="shared" si="1"/>
        <v>0</v>
      </c>
      <c r="J38"/>
      <c r="K38" s="235"/>
      <c r="L38" s="235"/>
      <c r="M38" s="369"/>
    </row>
    <row r="39" spans="1:13" ht="15">
      <c r="A39" s="330"/>
      <c r="B39"/>
      <c r="C39" s="370" t="s">
        <v>391</v>
      </c>
      <c r="D39" s="373">
        <v>0</v>
      </c>
      <c r="E39" s="373">
        <v>0</v>
      </c>
      <c r="F39" s="373">
        <v>0</v>
      </c>
      <c r="G39" s="373">
        <v>0</v>
      </c>
      <c r="H39" s="373">
        <v>0</v>
      </c>
      <c r="I39" s="372">
        <f t="shared" si="1"/>
        <v>0</v>
      </c>
      <c r="J39"/>
      <c r="K39" s="235"/>
      <c r="L39" s="235"/>
      <c r="M39" s="369"/>
    </row>
    <row r="40" spans="1:13" ht="15">
      <c r="A40" s="330"/>
      <c r="B40"/>
      <c r="C40" s="370" t="s">
        <v>277</v>
      </c>
      <c r="D40" s="373">
        <v>0</v>
      </c>
      <c r="E40" s="373">
        <v>0</v>
      </c>
      <c r="F40" s="373">
        <v>0</v>
      </c>
      <c r="G40" s="373">
        <v>0</v>
      </c>
      <c r="H40" s="373">
        <v>0</v>
      </c>
      <c r="I40" s="372">
        <f t="shared" si="1"/>
        <v>0</v>
      </c>
      <c r="J40"/>
      <c r="K40" s="235"/>
      <c r="L40" s="235"/>
      <c r="M40" s="369"/>
    </row>
    <row r="41" spans="1:13" ht="15">
      <c r="A41" s="330"/>
      <c r="B41"/>
      <c r="C41" s="374" t="s">
        <v>277</v>
      </c>
      <c r="D41" s="375">
        <v>0</v>
      </c>
      <c r="E41" s="375">
        <v>0</v>
      </c>
      <c r="F41" s="375">
        <v>0</v>
      </c>
      <c r="G41" s="375">
        <v>0</v>
      </c>
      <c r="H41" s="375">
        <v>0</v>
      </c>
      <c r="I41" s="376">
        <f t="shared" si="1"/>
        <v>0</v>
      </c>
      <c r="J41"/>
      <c r="K41" s="235"/>
      <c r="L41" s="235"/>
      <c r="M41" s="369"/>
    </row>
    <row r="42" spans="1:13" ht="15">
      <c r="A42" s="330"/>
      <c r="B42"/>
      <c r="C42" s="377" t="s">
        <v>36</v>
      </c>
      <c r="D42" s="378"/>
      <c r="E42" s="379"/>
      <c r="F42" s="380"/>
      <c r="G42" s="380"/>
      <c r="H42" s="379"/>
      <c r="I42" s="372">
        <f>SUM(I36:I41)</f>
        <v>0</v>
      </c>
      <c r="J42"/>
      <c r="K42" s="235"/>
      <c r="L42" s="235"/>
      <c r="M42" s="369"/>
    </row>
    <row r="43" spans="1:13" ht="15">
      <c r="A43" s="330"/>
      <c r="B43"/>
      <c r="C43" s="377"/>
      <c r="D43" s="378"/>
      <c r="E43" s="379"/>
      <c r="F43" s="380"/>
      <c r="G43" s="380"/>
      <c r="H43" s="379"/>
      <c r="I43" s="372"/>
      <c r="J43"/>
      <c r="K43" s="235"/>
      <c r="L43" s="235"/>
      <c r="M43" s="369"/>
    </row>
    <row r="44" spans="1:13" ht="15">
      <c r="A44" s="330"/>
      <c r="B44"/>
      <c r="C44" s="1079" t="s">
        <v>392</v>
      </c>
      <c r="D44" s="1080"/>
      <c r="E44" s="1080"/>
      <c r="F44" s="1080"/>
      <c r="G44" s="1080"/>
      <c r="H44" s="1080"/>
      <c r="I44" s="1080"/>
      <c r="J44" s="1080"/>
      <c r="K44" s="235"/>
      <c r="L44" s="235"/>
      <c r="M44" s="369"/>
    </row>
    <row r="45" spans="1:13" ht="15">
      <c r="A45" s="330"/>
      <c r="B45"/>
      <c r="C45" s="1080"/>
      <c r="D45" s="1080"/>
      <c r="E45" s="1080"/>
      <c r="F45" s="1080"/>
      <c r="G45" s="1080"/>
      <c r="H45" s="1080"/>
      <c r="I45" s="1080"/>
      <c r="J45" s="1080"/>
      <c r="K45" s="235"/>
      <c r="L45" s="235"/>
      <c r="M45" s="369"/>
    </row>
    <row r="46" spans="1:13" ht="15">
      <c r="A46" s="330"/>
      <c r="B46"/>
      <c r="C46" s="1080"/>
      <c r="D46" s="1080"/>
      <c r="E46" s="1080"/>
      <c r="F46" s="1080"/>
      <c r="G46" s="1080"/>
      <c r="H46" s="1080"/>
      <c r="I46" s="1080"/>
      <c r="J46" s="1080"/>
      <c r="K46" s="235"/>
      <c r="L46" s="235"/>
      <c r="M46" s="369"/>
    </row>
    <row r="47" spans="1:13" ht="15">
      <c r="A47" s="330"/>
      <c r="B47"/>
      <c r="C47" s="1080"/>
      <c r="D47" s="1080"/>
      <c r="E47" s="1080"/>
      <c r="F47" s="1080"/>
      <c r="G47" s="1080"/>
      <c r="H47" s="1080"/>
      <c r="I47" s="1080"/>
      <c r="J47" s="1080"/>
      <c r="K47" s="235"/>
      <c r="L47" s="235"/>
      <c r="M47" s="369"/>
    </row>
    <row r="48" spans="1:13" ht="31.5" customHeight="1">
      <c r="A48" s="330"/>
      <c r="B48"/>
      <c r="C48" s="1080"/>
      <c r="D48" s="1080"/>
      <c r="E48" s="1080"/>
      <c r="F48" s="1080"/>
      <c r="G48" s="1080"/>
      <c r="H48" s="1080"/>
      <c r="I48" s="1080"/>
      <c r="J48" s="1080"/>
      <c r="K48" s="235"/>
      <c r="L48" s="235"/>
      <c r="M48" s="369"/>
    </row>
    <row r="49" spans="1:14" ht="15">
      <c r="A49" s="330"/>
      <c r="B49"/>
      <c r="C49" s="377"/>
      <c r="D49" s="378"/>
      <c r="E49" s="379"/>
      <c r="F49" s="380"/>
      <c r="G49" s="380"/>
      <c r="H49" s="379"/>
      <c r="I49" s="372"/>
      <c r="J49"/>
      <c r="K49" s="235"/>
      <c r="L49" s="235"/>
      <c r="M49" s="369"/>
    </row>
    <row r="50" spans="1:14" ht="13.8" thickBot="1">
      <c r="B50" s="235"/>
      <c r="C50" s="300"/>
      <c r="D50" s="235"/>
      <c r="F50" s="300"/>
      <c r="G50" s="381"/>
      <c r="H50" s="381"/>
      <c r="I50" s="235"/>
      <c r="J50" s="235"/>
      <c r="K50" s="235"/>
      <c r="L50" s="235"/>
      <c r="M50" s="235"/>
    </row>
    <row r="51" spans="1:14">
      <c r="A51" s="382" t="s">
        <v>393</v>
      </c>
      <c r="B51" s="383"/>
      <c r="C51" s="383"/>
      <c r="D51" s="383"/>
      <c r="E51" s="383"/>
      <c r="F51" s="383"/>
      <c r="G51" s="383"/>
      <c r="H51" s="383"/>
      <c r="I51" s="383"/>
      <c r="J51" s="383"/>
      <c r="K51" s="383"/>
      <c r="L51" s="383"/>
      <c r="M51" s="384"/>
    </row>
    <row r="52" spans="1:14">
      <c r="A52" s="1081"/>
      <c r="B52" s="1082"/>
      <c r="C52" s="1082"/>
      <c r="D52" s="1082"/>
      <c r="E52" s="1082"/>
      <c r="F52" s="1082"/>
      <c r="G52" s="385" t="s">
        <v>394</v>
      </c>
      <c r="H52" s="386"/>
      <c r="I52" s="387"/>
      <c r="J52" s="1083" t="s">
        <v>358</v>
      </c>
      <c r="K52" s="1077"/>
      <c r="L52" s="1077"/>
      <c r="M52" s="1078"/>
    </row>
    <row r="53" spans="1:14">
      <c r="A53" s="330"/>
      <c r="B53" s="364" t="s">
        <v>395</v>
      </c>
      <c r="E53" s="267"/>
      <c r="J53" s="1076"/>
      <c r="K53" s="1077"/>
      <c r="L53" s="1077"/>
      <c r="M53" s="1078"/>
    </row>
    <row r="54" spans="1:14" ht="15">
      <c r="A54" s="330"/>
      <c r="B54"/>
      <c r="C54" s="235"/>
      <c r="D54" s="219" t="s">
        <v>22</v>
      </c>
      <c r="E54" s="267" t="s">
        <v>396</v>
      </c>
      <c r="F54" s="270"/>
      <c r="G54" s="270" t="s">
        <v>397</v>
      </c>
      <c r="H54" s="262"/>
      <c r="I54" s="235"/>
      <c r="J54"/>
      <c r="K54" s="235"/>
      <c r="L54" s="235"/>
      <c r="M54" s="369"/>
    </row>
    <row r="55" spans="1:14" ht="15">
      <c r="A55" s="330">
        <v>171</v>
      </c>
      <c r="B55"/>
      <c r="C55" s="300" t="s">
        <v>398</v>
      </c>
      <c r="D55" s="235"/>
      <c r="E55" s="300" t="s">
        <v>399</v>
      </c>
      <c r="F55" s="300"/>
      <c r="G55" s="388">
        <v>0</v>
      </c>
      <c r="H55" s="381"/>
      <c r="I55" s="235"/>
      <c r="J55"/>
      <c r="K55" s="235"/>
      <c r="L55" s="235"/>
      <c r="M55" s="369"/>
    </row>
    <row r="56" spans="1:14" ht="15">
      <c r="A56" s="330"/>
      <c r="B56"/>
      <c r="C56" s="300"/>
      <c r="D56" s="235"/>
      <c r="E56" s="300"/>
      <c r="F56" s="300"/>
      <c r="G56" s="381"/>
      <c r="H56" s="381"/>
      <c r="I56" s="235"/>
      <c r="J56"/>
      <c r="K56" s="235"/>
      <c r="L56" s="235"/>
      <c r="M56" s="369"/>
    </row>
    <row r="57" spans="1:14" ht="14.4">
      <c r="A57" s="389"/>
      <c r="B57" s="235"/>
      <c r="C57" s="390"/>
      <c r="I57" s="235"/>
      <c r="J57" s="235"/>
      <c r="K57" s="235"/>
      <c r="L57" s="235"/>
      <c r="M57" s="369"/>
    </row>
    <row r="58" spans="1:14" ht="15" thickBot="1">
      <c r="A58" s="344"/>
      <c r="B58" s="349"/>
      <c r="C58" s="391"/>
      <c r="D58" s="349"/>
      <c r="E58" s="349"/>
      <c r="F58" s="349"/>
      <c r="G58" s="349"/>
      <c r="H58" s="349"/>
      <c r="I58" s="349"/>
      <c r="J58" s="349"/>
      <c r="K58" s="349"/>
      <c r="L58" s="349"/>
      <c r="M58" s="392"/>
    </row>
    <row r="59" spans="1:14" ht="14.4">
      <c r="C59" s="393"/>
    </row>
    <row r="60" spans="1:14" s="396" customFormat="1" ht="13.8" thickBot="1">
      <c r="A60" s="394" t="s">
        <v>400</v>
      </c>
      <c r="B60" s="395"/>
      <c r="C60" s="395"/>
      <c r="D60" s="395"/>
      <c r="E60" s="395"/>
      <c r="F60" s="395"/>
      <c r="G60" s="395"/>
      <c r="H60" s="395"/>
      <c r="I60" s="395"/>
      <c r="J60" s="395"/>
      <c r="K60" s="395"/>
      <c r="L60" s="395"/>
      <c r="M60" s="395"/>
      <c r="N60" s="219"/>
    </row>
    <row r="61" spans="1:14" s="396" customFormat="1" ht="26.4">
      <c r="A61" s="1084"/>
      <c r="B61" s="1085"/>
      <c r="C61" s="1085"/>
      <c r="D61" s="1085"/>
      <c r="E61" s="1085"/>
      <c r="F61" s="1085"/>
      <c r="G61" s="397" t="s">
        <v>401</v>
      </c>
      <c r="H61" s="309" t="s">
        <v>402</v>
      </c>
      <c r="I61" s="309" t="s">
        <v>403</v>
      </c>
      <c r="J61" s="1086" t="s">
        <v>404</v>
      </c>
      <c r="K61" s="1087"/>
      <c r="L61" s="1087"/>
      <c r="M61" s="1088"/>
      <c r="N61" s="219"/>
    </row>
    <row r="62" spans="1:14" s="396" customFormat="1">
      <c r="A62" s="330"/>
      <c r="B62" s="364" t="s">
        <v>405</v>
      </c>
      <c r="C62" s="300"/>
      <c r="D62" s="219"/>
      <c r="E62" s="338"/>
      <c r="F62" s="300"/>
      <c r="G62" s="398" t="s">
        <v>397</v>
      </c>
      <c r="H62" s="399" t="s">
        <v>406</v>
      </c>
      <c r="I62" s="400" t="s">
        <v>407</v>
      </c>
      <c r="J62" s="219"/>
      <c r="K62" s="219"/>
      <c r="L62" s="219"/>
      <c r="M62" s="401"/>
      <c r="N62" s="219"/>
    </row>
    <row r="63" spans="1:14" s="396" customFormat="1" ht="14.4">
      <c r="A63" s="330"/>
      <c r="B63" s="364"/>
      <c r="C63" s="300"/>
      <c r="D63" s="219"/>
      <c r="E63" s="338"/>
      <c r="F63" s="300"/>
      <c r="G63" s="398"/>
      <c r="H63" s="399"/>
      <c r="I63" s="400"/>
      <c r="J63" s="402"/>
      <c r="K63" s="219"/>
      <c r="L63" s="219"/>
      <c r="M63" s="401"/>
      <c r="N63" s="219"/>
    </row>
    <row r="64" spans="1:14" s="396" customFormat="1">
      <c r="A64" s="330">
        <f>+A55+1</f>
        <v>172</v>
      </c>
      <c r="B64" s="269"/>
      <c r="C64" s="300" t="s">
        <v>408</v>
      </c>
      <c r="D64" s="362"/>
      <c r="E64" s="362"/>
      <c r="F64" s="300" t="s">
        <v>409</v>
      </c>
      <c r="G64" s="403">
        <v>0</v>
      </c>
      <c r="H64" s="404">
        <v>0</v>
      </c>
      <c r="I64" s="328">
        <f>+G64-H64</f>
        <v>0</v>
      </c>
      <c r="J64" s="219"/>
      <c r="K64" s="219"/>
      <c r="L64" s="219"/>
      <c r="M64" s="401"/>
      <c r="N64" s="219"/>
    </row>
    <row r="65" spans="1:17" s="396" customFormat="1">
      <c r="A65" s="330"/>
      <c r="B65" s="364"/>
      <c r="C65" s="300"/>
      <c r="D65" s="219"/>
      <c r="E65" s="338"/>
      <c r="F65" s="300"/>
      <c r="G65" s="398"/>
      <c r="H65" s="399"/>
      <c r="I65" s="400"/>
      <c r="J65" s="219"/>
      <c r="K65" s="219"/>
      <c r="L65" s="219"/>
      <c r="M65" s="401"/>
      <c r="N65" s="219"/>
    </row>
    <row r="66" spans="1:17" s="396" customFormat="1" ht="13.8" thickBot="1">
      <c r="A66" s="405"/>
      <c r="B66" s="349"/>
      <c r="C66" s="349"/>
      <c r="D66" s="349"/>
      <c r="E66" s="349"/>
      <c r="F66" s="349"/>
      <c r="G66" s="405" t="s">
        <v>410</v>
      </c>
      <c r="H66" s="349"/>
      <c r="I66" s="349"/>
      <c r="J66" s="1089"/>
      <c r="K66" s="1089"/>
      <c r="L66" s="1089"/>
      <c r="M66" s="1090"/>
      <c r="N66" s="219"/>
    </row>
    <row r="69" spans="1:17" ht="13.8" thickBot="1">
      <c r="A69" s="301" t="s">
        <v>411</v>
      </c>
    </row>
    <row r="70" spans="1:17">
      <c r="A70" s="1069"/>
      <c r="B70" s="1070"/>
      <c r="C70" s="1070"/>
      <c r="D70" s="1070"/>
      <c r="E70" s="1070"/>
      <c r="F70" s="1091"/>
      <c r="G70" s="363" t="s">
        <v>412</v>
      </c>
      <c r="H70" s="363" t="s">
        <v>413</v>
      </c>
      <c r="I70" s="363" t="s">
        <v>414</v>
      </c>
      <c r="J70" s="363" t="s">
        <v>415</v>
      </c>
      <c r="K70" s="363" t="s">
        <v>416</v>
      </c>
      <c r="L70" s="1092" t="s">
        <v>417</v>
      </c>
      <c r="M70" s="1093"/>
    </row>
    <row r="71" spans="1:17">
      <c r="A71" s="330" t="s">
        <v>22</v>
      </c>
      <c r="B71" s="406" t="s">
        <v>418</v>
      </c>
      <c r="E71" s="267"/>
      <c r="F71" s="407"/>
      <c r="M71" s="401"/>
      <c r="Q71" s="408"/>
    </row>
    <row r="72" spans="1:17">
      <c r="A72" s="330"/>
      <c r="B72" s="406"/>
      <c r="C72" s="219" t="s">
        <v>419</v>
      </c>
      <c r="E72" s="267"/>
      <c r="F72" s="407"/>
      <c r="G72" s="409">
        <v>1</v>
      </c>
      <c r="H72" s="410"/>
      <c r="I72" s="410"/>
      <c r="J72" s="410"/>
      <c r="K72" s="410"/>
      <c r="L72" s="400"/>
      <c r="M72" s="411"/>
    </row>
    <row r="73" spans="1:17">
      <c r="A73" s="330">
        <f>+A64+1</f>
        <v>173</v>
      </c>
      <c r="B73" s="406"/>
      <c r="C73" s="300" t="s">
        <v>420</v>
      </c>
      <c r="E73" s="267"/>
      <c r="F73" s="407"/>
      <c r="G73" s="412">
        <v>6.5000000000000002E-2</v>
      </c>
      <c r="H73" s="413"/>
      <c r="I73" s="414"/>
      <c r="J73" s="414"/>
      <c r="K73" s="410"/>
      <c r="M73" s="1050">
        <v>6.5000000000000002E-2</v>
      </c>
    </row>
    <row r="74" spans="1:17">
      <c r="A74" s="330"/>
      <c r="B74" s="406"/>
      <c r="C74" s="219" t="s">
        <v>421</v>
      </c>
      <c r="E74" s="267"/>
      <c r="F74" s="407"/>
      <c r="G74" s="415"/>
      <c r="H74" s="416"/>
      <c r="I74" s="417"/>
      <c r="J74" s="417"/>
      <c r="K74" s="270"/>
      <c r="M74" s="418"/>
    </row>
    <row r="75" spans="1:17">
      <c r="A75" s="330"/>
      <c r="B75" s="406"/>
      <c r="E75" s="267"/>
      <c r="F75" s="407"/>
      <c r="G75" s="415"/>
      <c r="H75" s="416"/>
      <c r="I75" s="417"/>
      <c r="J75" s="417"/>
      <c r="K75" s="270"/>
      <c r="M75" s="418"/>
    </row>
    <row r="76" spans="1:17">
      <c r="A76" s="330" t="s">
        <v>422</v>
      </c>
      <c r="B76" s="406"/>
      <c r="C76" s="219" t="s">
        <v>423</v>
      </c>
      <c r="E76" s="267"/>
      <c r="F76" s="407"/>
      <c r="G76" s="415"/>
      <c r="H76" s="416"/>
      <c r="I76" s="417"/>
      <c r="J76" s="417"/>
      <c r="K76" s="270"/>
      <c r="M76" s="1051">
        <f>'8c - WP Inc Tax Adj'!D10</f>
        <v>160104</v>
      </c>
    </row>
    <row r="77" spans="1:17" ht="13.8" thickBot="1">
      <c r="A77" s="405"/>
      <c r="B77" s="345"/>
      <c r="C77" s="349"/>
      <c r="D77" s="419"/>
      <c r="E77" s="420"/>
      <c r="F77" s="421"/>
      <c r="G77" s="349"/>
      <c r="H77" s="349"/>
      <c r="I77" s="349"/>
      <c r="J77" s="349"/>
      <c r="K77" s="349"/>
      <c r="L77" s="349"/>
      <c r="M77" s="422"/>
      <c r="N77" s="423"/>
      <c r="O77" s="255"/>
    </row>
    <row r="79" spans="1:17" ht="13.8" thickBot="1">
      <c r="A79" s="424" t="s">
        <v>424</v>
      </c>
    </row>
    <row r="80" spans="1:17" ht="39.6">
      <c r="A80" s="1094"/>
      <c r="B80" s="1095"/>
      <c r="C80" s="1095"/>
      <c r="D80" s="1095"/>
      <c r="E80" s="1095"/>
      <c r="F80" s="1096"/>
      <c r="G80" s="425" t="s">
        <v>401</v>
      </c>
      <c r="H80" s="426" t="s">
        <v>425</v>
      </c>
      <c r="I80" s="426" t="s">
        <v>403</v>
      </c>
      <c r="J80" s="1097" t="s">
        <v>358</v>
      </c>
      <c r="K80" s="1097"/>
      <c r="L80" s="1097"/>
      <c r="M80" s="1098"/>
    </row>
    <row r="81" spans="1:13">
      <c r="A81" s="330"/>
      <c r="B81" s="364" t="s">
        <v>405</v>
      </c>
      <c r="E81" s="267"/>
      <c r="F81" s="401"/>
      <c r="G81" s="398" t="s">
        <v>397</v>
      </c>
      <c r="H81" s="399" t="s">
        <v>406</v>
      </c>
      <c r="I81" s="400" t="s">
        <v>407</v>
      </c>
      <c r="M81" s="401"/>
    </row>
    <row r="82" spans="1:13">
      <c r="A82" s="330">
        <f>+A73+1</f>
        <v>174</v>
      </c>
      <c r="B82" s="269"/>
      <c r="C82" s="300" t="s">
        <v>426</v>
      </c>
      <c r="E82" s="270"/>
      <c r="F82" s="219" t="s">
        <v>303</v>
      </c>
      <c r="G82" s="403"/>
      <c r="H82" s="404"/>
      <c r="I82" s="427">
        <f>G82-H82</f>
        <v>0</v>
      </c>
      <c r="M82" s="401"/>
    </row>
    <row r="83" spans="1:13">
      <c r="A83" s="330"/>
      <c r="B83" s="364"/>
      <c r="E83" s="267"/>
      <c r="F83" s="401"/>
      <c r="G83" s="389"/>
      <c r="M83" s="401"/>
    </row>
    <row r="84" spans="1:13">
      <c r="A84" s="330"/>
      <c r="B84" s="364"/>
      <c r="C84" s="219" t="s">
        <v>427</v>
      </c>
      <c r="E84" s="267"/>
      <c r="F84" s="401"/>
      <c r="G84" s="389"/>
      <c r="M84" s="401"/>
    </row>
    <row r="85" spans="1:13">
      <c r="A85" s="330"/>
      <c r="B85" s="364"/>
      <c r="C85" s="219" t="s">
        <v>428</v>
      </c>
      <c r="E85" s="267"/>
      <c r="F85" s="401"/>
      <c r="G85" s="389"/>
      <c r="M85" s="401"/>
    </row>
    <row r="86" spans="1:13">
      <c r="A86" s="330"/>
      <c r="B86" s="364"/>
      <c r="C86" s="219" t="s">
        <v>429</v>
      </c>
      <c r="E86" s="267"/>
      <c r="F86" s="401"/>
      <c r="G86" s="389"/>
      <c r="M86" s="401"/>
    </row>
    <row r="87" spans="1:13">
      <c r="A87" s="330"/>
      <c r="B87" s="364"/>
      <c r="C87" s="219" t="s">
        <v>430</v>
      </c>
      <c r="F87" s="401"/>
      <c r="G87" s="389"/>
      <c r="M87" s="401"/>
    </row>
    <row r="88" spans="1:13" ht="13.8" thickBot="1">
      <c r="A88" s="405"/>
      <c r="B88" s="349"/>
      <c r="C88" s="349" t="s">
        <v>431</v>
      </c>
      <c r="D88" s="349"/>
      <c r="E88" s="349"/>
      <c r="F88" s="392"/>
      <c r="G88" s="405"/>
      <c r="H88" s="349"/>
      <c r="I88" s="349"/>
      <c r="J88" s="1074"/>
      <c r="K88" s="1074"/>
      <c r="L88" s="1074"/>
      <c r="M88" s="1075"/>
    </row>
    <row r="90" spans="1:13" ht="13.8" thickBot="1">
      <c r="A90" s="301" t="s">
        <v>432</v>
      </c>
    </row>
    <row r="91" spans="1:13" ht="66.75" customHeight="1">
      <c r="A91" s="1069"/>
      <c r="B91" s="1070"/>
      <c r="C91" s="1070"/>
      <c r="D91" s="1070"/>
      <c r="E91" s="1070"/>
      <c r="F91" s="1070"/>
      <c r="G91" s="428" t="str">
        <f>+C93</f>
        <v>Excluded Transmission Facilities</v>
      </c>
      <c r="H91" s="429" t="s">
        <v>433</v>
      </c>
      <c r="I91" s="1071" t="s">
        <v>434</v>
      </c>
      <c r="J91" s="1071"/>
      <c r="K91" s="1071"/>
      <c r="L91" s="1071"/>
      <c r="M91" s="1099"/>
    </row>
    <row r="92" spans="1:13">
      <c r="A92" s="398"/>
      <c r="B92" s="337" t="s">
        <v>435</v>
      </c>
      <c r="C92" s="364"/>
      <c r="D92" s="364"/>
      <c r="E92" s="399"/>
      <c r="F92" s="430"/>
      <c r="G92" s="389"/>
      <c r="M92" s="401"/>
    </row>
    <row r="93" spans="1:13" ht="12.75" customHeight="1">
      <c r="A93" s="330">
        <f>+A82+1</f>
        <v>175</v>
      </c>
      <c r="B93" s="270"/>
      <c r="C93" s="300" t="s">
        <v>436</v>
      </c>
      <c r="D93" s="364"/>
      <c r="E93" s="362"/>
      <c r="F93" s="300"/>
      <c r="G93" s="431">
        <v>0</v>
      </c>
      <c r="H93" s="432">
        <v>0</v>
      </c>
      <c r="I93" s="1076" t="s">
        <v>437</v>
      </c>
      <c r="J93" s="1076"/>
      <c r="K93" s="1076"/>
      <c r="L93" s="1076"/>
      <c r="M93" s="1100"/>
    </row>
    <row r="94" spans="1:13">
      <c r="A94" s="330"/>
      <c r="B94" s="270"/>
      <c r="D94" s="364"/>
      <c r="E94" s="338"/>
      <c r="F94" s="433"/>
      <c r="G94" s="389" t="s">
        <v>438</v>
      </c>
      <c r="M94" s="401"/>
    </row>
    <row r="95" spans="1:13" ht="13.8" thickBot="1">
      <c r="A95" s="344"/>
      <c r="B95" s="349"/>
      <c r="C95" s="349"/>
      <c r="D95" s="349"/>
      <c r="E95" s="349"/>
      <c r="F95" s="349"/>
      <c r="G95" s="405"/>
      <c r="H95" s="349"/>
      <c r="I95" s="349"/>
      <c r="J95" s="349"/>
      <c r="K95" s="434" t="s">
        <v>439</v>
      </c>
      <c r="L95" s="349"/>
      <c r="M95" s="392"/>
    </row>
    <row r="96" spans="1:13">
      <c r="K96" s="261"/>
    </row>
    <row r="97" spans="1:15">
      <c r="B97" s="270"/>
      <c r="C97" s="270"/>
      <c r="D97" s="270"/>
      <c r="E97" s="362"/>
      <c r="F97" s="270"/>
      <c r="K97" s="261"/>
    </row>
    <row r="98" spans="1:15" ht="13.8" thickBot="1">
      <c r="A98" s="301" t="s">
        <v>440</v>
      </c>
      <c r="F98" s="349"/>
    </row>
    <row r="99" spans="1:15">
      <c r="A99" s="435"/>
      <c r="B99" s="436"/>
      <c r="C99" s="436"/>
      <c r="D99" s="437"/>
      <c r="E99" s="437"/>
      <c r="F99" s="437"/>
      <c r="G99" s="363"/>
      <c r="H99" s="363"/>
      <c r="I99" s="363"/>
      <c r="J99" s="363"/>
      <c r="K99" s="363"/>
      <c r="L99" s="363"/>
      <c r="M99" s="438"/>
      <c r="N99" s="439"/>
    </row>
    <row r="100" spans="1:15" ht="31.2">
      <c r="A100" s="398"/>
      <c r="B100" s="337"/>
      <c r="C100" s="440"/>
      <c r="D100" s="441"/>
      <c r="E100" s="442" t="s">
        <v>441</v>
      </c>
      <c r="F100" s="442" t="s">
        <v>442</v>
      </c>
      <c r="G100" s="230" t="s">
        <v>36</v>
      </c>
      <c r="H100" s="337"/>
      <c r="I100" s="433"/>
      <c r="K100" s="400"/>
      <c r="M100" s="401"/>
    </row>
    <row r="101" spans="1:15" ht="15.6">
      <c r="A101" s="330"/>
      <c r="C101" s="358" t="s">
        <v>443</v>
      </c>
      <c r="E101" s="230" t="s">
        <v>444</v>
      </c>
      <c r="F101" s="230" t="s">
        <v>445</v>
      </c>
      <c r="L101" s="262"/>
      <c r="M101" s="443"/>
    </row>
    <row r="102" spans="1:15" ht="17.25" customHeight="1">
      <c r="A102" s="330"/>
      <c r="B102" s="270"/>
      <c r="C102" s="219" t="s">
        <v>446</v>
      </c>
      <c r="E102" s="400" t="s">
        <v>397</v>
      </c>
      <c r="F102" s="399" t="s">
        <v>406</v>
      </c>
      <c r="G102" s="400" t="s">
        <v>447</v>
      </c>
      <c r="I102" s="358"/>
      <c r="J102" s="444"/>
      <c r="K102" s="445"/>
      <c r="L102" s="300"/>
      <c r="M102" s="446"/>
      <c r="O102" s="255"/>
    </row>
    <row r="103" spans="1:15" ht="17.25" customHeight="1">
      <c r="A103" s="330">
        <f>+A93+1</f>
        <v>176</v>
      </c>
      <c r="B103" s="270"/>
      <c r="C103" s="219" t="s">
        <v>300</v>
      </c>
      <c r="D103" s="219" t="s">
        <v>448</v>
      </c>
      <c r="E103" s="447">
        <v>0</v>
      </c>
      <c r="F103" s="448">
        <v>0</v>
      </c>
      <c r="G103" s="275">
        <f>+E103+F103</f>
        <v>0</v>
      </c>
      <c r="J103" s="444"/>
      <c r="K103" s="445"/>
      <c r="L103" s="300"/>
      <c r="M103" s="446"/>
    </row>
    <row r="104" spans="1:15" ht="17.25" customHeight="1">
      <c r="A104" s="330">
        <f>+A103+1</f>
        <v>177</v>
      </c>
      <c r="B104" s="270"/>
      <c r="C104" s="300" t="s">
        <v>302</v>
      </c>
      <c r="D104" s="219" t="s">
        <v>449</v>
      </c>
      <c r="E104" s="331">
        <v>0</v>
      </c>
      <c r="F104" s="332">
        <v>0</v>
      </c>
      <c r="G104" s="275">
        <f t="shared" ref="G104:G115" si="2">+E104+F104</f>
        <v>0</v>
      </c>
      <c r="I104" s="358"/>
      <c r="J104" s="444"/>
      <c r="K104" s="445"/>
      <c r="L104" s="300"/>
      <c r="M104" s="446"/>
    </row>
    <row r="105" spans="1:15" ht="17.25" customHeight="1">
      <c r="A105" s="330">
        <f t="shared" ref="A105:A115" si="3">+A104+1</f>
        <v>178</v>
      </c>
      <c r="B105" s="270"/>
      <c r="C105" s="300" t="s">
        <v>304</v>
      </c>
      <c r="D105" s="219" t="s">
        <v>449</v>
      </c>
      <c r="E105" s="331">
        <v>0</v>
      </c>
      <c r="F105" s="332">
        <v>0</v>
      </c>
      <c r="G105" s="275">
        <f t="shared" si="2"/>
        <v>0</v>
      </c>
      <c r="I105" s="358"/>
      <c r="J105" s="444"/>
      <c r="K105" s="445"/>
      <c r="L105" s="300"/>
      <c r="M105" s="446"/>
    </row>
    <row r="106" spans="1:15" ht="17.25" customHeight="1">
      <c r="A106" s="330">
        <f t="shared" si="3"/>
        <v>179</v>
      </c>
      <c r="B106" s="270"/>
      <c r="C106" s="300" t="s">
        <v>305</v>
      </c>
      <c r="D106" s="219" t="s">
        <v>449</v>
      </c>
      <c r="E106" s="331">
        <v>0</v>
      </c>
      <c r="F106" s="332">
        <v>0</v>
      </c>
      <c r="G106" s="275">
        <f t="shared" si="2"/>
        <v>0</v>
      </c>
      <c r="I106" s="358"/>
      <c r="J106" s="444"/>
      <c r="K106" s="445"/>
      <c r="L106" s="300"/>
      <c r="M106" s="446"/>
    </row>
    <row r="107" spans="1:15" ht="17.25" customHeight="1">
      <c r="A107" s="330">
        <f t="shared" si="3"/>
        <v>180</v>
      </c>
      <c r="B107" s="270"/>
      <c r="C107" s="300" t="s">
        <v>306</v>
      </c>
      <c r="D107" s="219" t="s">
        <v>449</v>
      </c>
      <c r="E107" s="331">
        <v>0</v>
      </c>
      <c r="F107" s="332">
        <v>0</v>
      </c>
      <c r="G107" s="275">
        <f t="shared" si="2"/>
        <v>0</v>
      </c>
      <c r="I107" s="358"/>
      <c r="J107" s="444"/>
      <c r="K107" s="445"/>
      <c r="L107" s="300"/>
      <c r="M107" s="446"/>
    </row>
    <row r="108" spans="1:15" ht="17.25" customHeight="1">
      <c r="A108" s="330">
        <f t="shared" si="3"/>
        <v>181</v>
      </c>
      <c r="B108" s="270"/>
      <c r="C108" s="300" t="s">
        <v>307</v>
      </c>
      <c r="D108" s="219" t="s">
        <v>449</v>
      </c>
      <c r="E108" s="331">
        <v>0</v>
      </c>
      <c r="F108" s="332">
        <v>0</v>
      </c>
      <c r="G108" s="275">
        <f t="shared" si="2"/>
        <v>0</v>
      </c>
      <c r="I108" s="358"/>
      <c r="J108" s="444"/>
      <c r="K108" s="445"/>
      <c r="L108" s="300"/>
      <c r="M108" s="446"/>
    </row>
    <row r="109" spans="1:15" ht="17.25" customHeight="1">
      <c r="A109" s="330">
        <f t="shared" si="3"/>
        <v>182</v>
      </c>
      <c r="B109" s="270"/>
      <c r="C109" s="300" t="s">
        <v>308</v>
      </c>
      <c r="D109" s="219" t="s">
        <v>449</v>
      </c>
      <c r="E109" s="331">
        <v>0</v>
      </c>
      <c r="F109" s="332">
        <v>0</v>
      </c>
      <c r="G109" s="275">
        <f t="shared" si="2"/>
        <v>0</v>
      </c>
      <c r="I109" s="358"/>
      <c r="J109" s="444"/>
      <c r="K109" s="445"/>
      <c r="L109" s="300"/>
      <c r="M109" s="446"/>
    </row>
    <row r="110" spans="1:15" ht="17.25" customHeight="1">
      <c r="A110" s="330">
        <f t="shared" si="3"/>
        <v>183</v>
      </c>
      <c r="B110" s="270"/>
      <c r="C110" s="300" t="s">
        <v>309</v>
      </c>
      <c r="D110" s="219" t="s">
        <v>449</v>
      </c>
      <c r="E110" s="331">
        <v>0</v>
      </c>
      <c r="F110" s="332">
        <v>0</v>
      </c>
      <c r="G110" s="275">
        <f t="shared" si="2"/>
        <v>0</v>
      </c>
      <c r="I110" s="358"/>
      <c r="J110" s="444"/>
      <c r="K110" s="445"/>
      <c r="L110" s="300"/>
      <c r="M110" s="446"/>
    </row>
    <row r="111" spans="1:15" ht="17.25" customHeight="1">
      <c r="A111" s="330">
        <f t="shared" si="3"/>
        <v>184</v>
      </c>
      <c r="B111" s="270"/>
      <c r="C111" s="300" t="s">
        <v>310</v>
      </c>
      <c r="D111" s="219" t="s">
        <v>449</v>
      </c>
      <c r="E111" s="331">
        <v>0</v>
      </c>
      <c r="F111" s="332">
        <v>0</v>
      </c>
      <c r="G111" s="275">
        <f t="shared" si="2"/>
        <v>0</v>
      </c>
      <c r="I111" s="358"/>
      <c r="J111" s="444"/>
      <c r="K111" s="445"/>
      <c r="L111" s="300"/>
      <c r="M111" s="446"/>
    </row>
    <row r="112" spans="1:15" ht="17.25" customHeight="1">
      <c r="A112" s="330">
        <f t="shared" si="3"/>
        <v>185</v>
      </c>
      <c r="B112" s="270"/>
      <c r="C112" s="300" t="s">
        <v>311</v>
      </c>
      <c r="D112" s="219" t="s">
        <v>449</v>
      </c>
      <c r="E112" s="331">
        <v>0</v>
      </c>
      <c r="F112" s="332">
        <v>0</v>
      </c>
      <c r="G112" s="275">
        <f t="shared" si="2"/>
        <v>0</v>
      </c>
      <c r="I112" s="358"/>
      <c r="J112" s="444"/>
      <c r="K112" s="445"/>
      <c r="L112" s="300"/>
      <c r="M112" s="446"/>
    </row>
    <row r="113" spans="1:14" ht="15">
      <c r="A113" s="330">
        <f t="shared" si="3"/>
        <v>186</v>
      </c>
      <c r="B113" s="270"/>
      <c r="C113" s="300" t="s">
        <v>312</v>
      </c>
      <c r="D113" s="219" t="s">
        <v>449</v>
      </c>
      <c r="E113" s="331">
        <v>0</v>
      </c>
      <c r="F113" s="332">
        <v>0</v>
      </c>
      <c r="G113" s="275">
        <f t="shared" si="2"/>
        <v>0</v>
      </c>
      <c r="I113" s="358"/>
      <c r="J113" s="444"/>
      <c r="K113" s="445"/>
      <c r="L113" s="300"/>
      <c r="M113" s="446"/>
    </row>
    <row r="114" spans="1:14" ht="17.25" customHeight="1">
      <c r="A114" s="330">
        <f t="shared" si="3"/>
        <v>187</v>
      </c>
      <c r="B114" s="270"/>
      <c r="C114" s="300" t="s">
        <v>313</v>
      </c>
      <c r="D114" s="219" t="s">
        <v>449</v>
      </c>
      <c r="E114" s="331">
        <v>0</v>
      </c>
      <c r="F114" s="332">
        <v>0</v>
      </c>
      <c r="G114" s="275">
        <f t="shared" si="2"/>
        <v>0</v>
      </c>
      <c r="I114" s="358"/>
      <c r="J114" s="444"/>
      <c r="K114" s="445"/>
      <c r="L114" s="300"/>
      <c r="M114" s="446"/>
    </row>
    <row r="115" spans="1:14" ht="17.25" customHeight="1">
      <c r="A115" s="330">
        <f t="shared" si="3"/>
        <v>188</v>
      </c>
      <c r="B115" s="270"/>
      <c r="C115" s="300" t="s">
        <v>300</v>
      </c>
      <c r="D115" s="219" t="s">
        <v>450</v>
      </c>
      <c r="E115" s="331">
        <v>0</v>
      </c>
      <c r="F115" s="332">
        <v>0</v>
      </c>
      <c r="G115" s="275">
        <f t="shared" si="2"/>
        <v>0</v>
      </c>
      <c r="I115" s="358"/>
      <c r="J115" s="444"/>
      <c r="K115" s="445"/>
      <c r="M115" s="446"/>
    </row>
    <row r="116" spans="1:14" ht="17.25" customHeight="1">
      <c r="A116" s="330"/>
      <c r="B116" s="270"/>
      <c r="C116" s="300"/>
      <c r="E116" s="449"/>
      <c r="F116" s="450"/>
      <c r="G116" s="275"/>
      <c r="I116" s="358"/>
      <c r="J116" s="444"/>
      <c r="K116" s="445"/>
      <c r="M116" s="446"/>
    </row>
    <row r="117" spans="1:14" ht="17.399999999999999" thickBot="1">
      <c r="A117" s="344">
        <f>+A115+1</f>
        <v>189</v>
      </c>
      <c r="B117" s="345"/>
      <c r="C117" s="289" t="s">
        <v>451</v>
      </c>
      <c r="D117" s="451" t="s">
        <v>452</v>
      </c>
      <c r="E117" s="289"/>
      <c r="F117" s="289"/>
      <c r="G117" s="452">
        <f>SUM(G103:G115)/13</f>
        <v>0</v>
      </c>
      <c r="I117" s="453"/>
      <c r="J117" s="454"/>
      <c r="K117" s="454"/>
      <c r="L117" s="354"/>
      <c r="M117" s="355"/>
    </row>
    <row r="118" spans="1:14" ht="15.6">
      <c r="B118" s="270"/>
      <c r="C118" s="220"/>
      <c r="D118" s="217"/>
      <c r="E118" s="217"/>
      <c r="F118" s="217"/>
      <c r="G118" s="455"/>
      <c r="H118" s="456"/>
      <c r="I118" s="457"/>
      <c r="J118" s="456"/>
      <c r="K118" s="456"/>
      <c r="L118" s="262"/>
      <c r="M118" s="262"/>
    </row>
    <row r="119" spans="1:14" ht="15.6">
      <c r="A119" s="230"/>
      <c r="B119" s="217"/>
      <c r="C119" s="217"/>
      <c r="D119" s="217"/>
      <c r="E119" s="217"/>
      <c r="F119" s="217"/>
      <c r="G119" s="217"/>
      <c r="H119" s="217"/>
      <c r="I119" s="217"/>
      <c r="J119" s="217"/>
      <c r="K119" s="217"/>
      <c r="L119" s="217"/>
      <c r="M119" s="217"/>
    </row>
    <row r="120" spans="1:14" ht="15.6">
      <c r="A120" s="253" t="s">
        <v>453</v>
      </c>
      <c r="B120" s="217"/>
      <c r="C120" s="217"/>
      <c r="D120" s="217"/>
      <c r="E120" s="217"/>
      <c r="F120" s="217"/>
      <c r="G120" s="217"/>
      <c r="H120" s="217"/>
      <c r="I120" s="217"/>
      <c r="J120" s="217"/>
      <c r="K120" s="217"/>
      <c r="L120" s="217"/>
      <c r="M120" s="217"/>
    </row>
    <row r="121" spans="1:14" ht="16.2" thickBot="1">
      <c r="A121" s="1101"/>
      <c r="B121" s="1101"/>
      <c r="C121" s="1101"/>
      <c r="D121" s="1101"/>
      <c r="E121" s="1101"/>
      <c r="F121" s="1101"/>
      <c r="G121" s="458"/>
      <c r="H121" s="458"/>
      <c r="I121" s="458"/>
      <c r="J121" s="1102" t="s">
        <v>358</v>
      </c>
      <c r="K121" s="1103"/>
      <c r="L121" s="1103"/>
      <c r="M121" s="1103"/>
    </row>
    <row r="122" spans="1:14" ht="15.6">
      <c r="A122" s="459"/>
      <c r="B122" s="460" t="s">
        <v>454</v>
      </c>
      <c r="C122" s="383"/>
      <c r="D122" s="299"/>
      <c r="E122" s="461"/>
      <c r="F122" s="462"/>
      <c r="G122" s="463"/>
      <c r="H122" s="463"/>
      <c r="I122" s="463"/>
      <c r="J122" s="463"/>
      <c r="K122" s="464"/>
      <c r="L122" s="464"/>
      <c r="M122" s="465"/>
    </row>
    <row r="123" spans="1:14" ht="15.6">
      <c r="A123" s="330"/>
      <c r="C123" s="466" t="s">
        <v>174</v>
      </c>
      <c r="E123" s="466" t="s">
        <v>175</v>
      </c>
      <c r="F123" s="467"/>
      <c r="G123" s="468"/>
      <c r="H123" s="468"/>
      <c r="I123" s="468"/>
      <c r="J123" s="468"/>
      <c r="K123" s="442"/>
      <c r="L123" s="442"/>
      <c r="M123" s="469"/>
    </row>
    <row r="124" spans="1:14" ht="15.6">
      <c r="A124" s="330"/>
      <c r="E124" s="470"/>
      <c r="F124" s="467"/>
      <c r="G124" s="468"/>
      <c r="H124" s="468"/>
      <c r="I124" s="468"/>
      <c r="J124" s="468"/>
      <c r="K124" s="442"/>
      <c r="L124" s="442"/>
      <c r="M124" s="469"/>
    </row>
    <row r="125" spans="1:14" ht="15.6">
      <c r="A125" s="330">
        <f>+A117+1</f>
        <v>190</v>
      </c>
      <c r="C125" s="471"/>
      <c r="D125" s="472"/>
      <c r="E125" s="473" t="s">
        <v>36</v>
      </c>
      <c r="F125" s="467"/>
      <c r="G125" s="468"/>
      <c r="H125" s="468"/>
      <c r="I125" s="468"/>
      <c r="J125" s="468"/>
      <c r="K125" s="442"/>
      <c r="L125" s="442"/>
      <c r="M125" s="469"/>
    </row>
    <row r="126" spans="1:14" ht="15.6">
      <c r="A126" s="330">
        <f t="shared" ref="A126:A132" si="4">+A125+1</f>
        <v>191</v>
      </c>
      <c r="C126" s="474" t="s">
        <v>455</v>
      </c>
      <c r="D126" s="474"/>
      <c r="E126" s="475">
        <v>0</v>
      </c>
      <c r="F126" s="467"/>
      <c r="G126" s="468"/>
      <c r="H126" s="468"/>
      <c r="I126" s="468"/>
      <c r="J126" s="468"/>
      <c r="K126" s="442"/>
      <c r="L126" s="442"/>
      <c r="M126" s="469"/>
    </row>
    <row r="127" spans="1:14" ht="15.6">
      <c r="A127" s="330">
        <f t="shared" si="4"/>
        <v>192</v>
      </c>
      <c r="C127" s="474" t="s">
        <v>456</v>
      </c>
      <c r="D127" s="474"/>
      <c r="E127" s="475">
        <v>0</v>
      </c>
      <c r="F127" s="217"/>
      <c r="G127" s="217"/>
      <c r="H127" s="217"/>
      <c r="I127" s="217"/>
      <c r="J127" s="217"/>
      <c r="K127" s="217"/>
      <c r="L127" s="217"/>
      <c r="M127" s="281"/>
      <c r="N127" s="217"/>
    </row>
    <row r="128" spans="1:14" ht="15.6">
      <c r="A128" s="330">
        <f t="shared" si="4"/>
        <v>193</v>
      </c>
      <c r="C128" s="474" t="s">
        <v>457</v>
      </c>
      <c r="D128" s="474"/>
      <c r="E128" s="476">
        <f>IF(E126=0,0,E126/E127)</f>
        <v>0</v>
      </c>
      <c r="F128" s="217"/>
      <c r="G128" s="217"/>
      <c r="H128" s="217"/>
      <c r="I128" s="217"/>
      <c r="J128" s="217"/>
      <c r="K128" s="217"/>
      <c r="L128" s="217"/>
      <c r="M128" s="281"/>
      <c r="N128" s="217"/>
    </row>
    <row r="129" spans="1:14" ht="15.6">
      <c r="A129" s="330">
        <f t="shared" si="4"/>
        <v>194</v>
      </c>
      <c r="C129" s="474" t="s">
        <v>458</v>
      </c>
      <c r="D129" s="474"/>
      <c r="E129" s="477">
        <v>0</v>
      </c>
      <c r="G129" s="217"/>
      <c r="H129" s="217"/>
      <c r="I129" s="217"/>
      <c r="J129" s="217"/>
      <c r="K129" s="217"/>
      <c r="L129" s="217"/>
      <c r="M129" s="281"/>
      <c r="N129" s="217"/>
    </row>
    <row r="130" spans="1:14" ht="15.6">
      <c r="A130" s="330">
        <f t="shared" si="4"/>
        <v>195</v>
      </c>
      <c r="C130" s="474" t="s">
        <v>459</v>
      </c>
      <c r="D130" s="474" t="s">
        <v>460</v>
      </c>
      <c r="E130" s="478">
        <f>E128*E129</f>
        <v>0</v>
      </c>
      <c r="F130" s="217"/>
      <c r="G130" s="217"/>
      <c r="H130" s="217"/>
      <c r="I130" s="217"/>
      <c r="J130" s="217"/>
      <c r="K130" s="217"/>
      <c r="L130" s="217"/>
      <c r="M130" s="281"/>
      <c r="N130" s="217"/>
    </row>
    <row r="131" spans="1:14" ht="15.6">
      <c r="A131" s="330">
        <f t="shared" si="4"/>
        <v>196</v>
      </c>
      <c r="C131" s="474" t="s">
        <v>461</v>
      </c>
      <c r="D131" s="471"/>
      <c r="E131" s="479"/>
      <c r="F131" s="217"/>
      <c r="G131" s="217"/>
      <c r="H131" s="217"/>
      <c r="I131" s="217"/>
      <c r="J131" s="217"/>
      <c r="K131" s="217"/>
      <c r="L131" s="217"/>
      <c r="M131" s="281"/>
      <c r="N131" s="217"/>
    </row>
    <row r="132" spans="1:14" ht="15.6">
      <c r="A132" s="330">
        <f t="shared" si="4"/>
        <v>197</v>
      </c>
      <c r="B132"/>
      <c r="C132" s="474" t="s">
        <v>462</v>
      </c>
      <c r="D132"/>
      <c r="E132" s="480">
        <f>+E130-E131</f>
        <v>0</v>
      </c>
      <c r="F132" s="217"/>
      <c r="G132" s="217"/>
      <c r="H132" s="217"/>
      <c r="I132" s="217"/>
      <c r="J132" s="217"/>
      <c r="K132" s="217"/>
      <c r="L132" s="217"/>
      <c r="M132" s="281"/>
      <c r="N132" s="217"/>
    </row>
    <row r="133" spans="1:14" ht="15.6">
      <c r="A133" s="481"/>
      <c r="B133" s="482"/>
      <c r="C133" s="483"/>
      <c r="D133" s="483"/>
      <c r="E133" s="483"/>
      <c r="F133" s="217"/>
      <c r="G133" s="217"/>
      <c r="H133" s="217"/>
      <c r="I133" s="217"/>
      <c r="J133" s="217"/>
      <c r="K133" s="217"/>
      <c r="L133" s="217"/>
      <c r="M133" s="281"/>
      <c r="N133" s="217"/>
    </row>
    <row r="134" spans="1:14" ht="15.6">
      <c r="A134" s="481"/>
      <c r="B134" s="484" t="s">
        <v>195</v>
      </c>
      <c r="C134" s="474" t="s">
        <v>463</v>
      </c>
      <c r="D134" s="483"/>
      <c r="E134" s="483"/>
      <c r="F134" s="217"/>
      <c r="G134" s="217"/>
      <c r="H134" s="217"/>
      <c r="I134" s="217"/>
      <c r="J134" s="217"/>
      <c r="K134" s="217"/>
      <c r="L134" s="217"/>
      <c r="M134" s="281"/>
      <c r="N134" s="217"/>
    </row>
    <row r="135" spans="1:14" ht="15.6">
      <c r="A135" s="389"/>
      <c r="B135" s="270" t="s">
        <v>198</v>
      </c>
      <c r="C135" s="485" t="s">
        <v>464</v>
      </c>
      <c r="D135" s="486"/>
      <c r="E135" s="486"/>
      <c r="F135" s="217"/>
      <c r="G135" s="217"/>
      <c r="H135" s="217"/>
      <c r="I135" s="217"/>
      <c r="J135" s="217"/>
      <c r="K135" s="217"/>
      <c r="L135" s="217"/>
      <c r="M135" s="281"/>
      <c r="N135" s="217"/>
    </row>
    <row r="136" spans="1:14" ht="15.6">
      <c r="A136" s="487"/>
      <c r="C136" s="235"/>
      <c r="D136" s="235"/>
      <c r="E136" s="235"/>
      <c r="F136" s="217"/>
      <c r="G136" s="217"/>
      <c r="H136" s="217"/>
      <c r="I136" s="217"/>
      <c r="J136" s="217"/>
      <c r="K136" s="217"/>
      <c r="L136" s="217"/>
      <c r="M136" s="281"/>
      <c r="N136" s="217"/>
    </row>
    <row r="137" spans="1:14" ht="16.2" thickBot="1">
      <c r="A137" s="488"/>
      <c r="B137" s="349"/>
      <c r="C137" s="489"/>
      <c r="D137" s="489"/>
      <c r="E137" s="489"/>
      <c r="F137" s="289"/>
      <c r="G137" s="289"/>
      <c r="H137" s="289"/>
      <c r="I137" s="289"/>
      <c r="J137" s="289"/>
      <c r="K137" s="289"/>
      <c r="L137" s="289"/>
      <c r="M137" s="490"/>
      <c r="N137" s="217"/>
    </row>
    <row r="138" spans="1:14" ht="15.6">
      <c r="A138" s="217"/>
      <c r="B138" s="217"/>
      <c r="C138" s="217"/>
      <c r="D138" s="217"/>
      <c r="E138" s="217"/>
      <c r="F138" s="217"/>
      <c r="G138" s="217"/>
      <c r="H138" s="217"/>
      <c r="I138" s="217"/>
      <c r="J138" s="217"/>
      <c r="K138" s="217"/>
      <c r="L138" s="217"/>
      <c r="M138" s="217"/>
      <c r="N138" s="217"/>
    </row>
    <row r="139" spans="1:14" ht="15.6">
      <c r="A139" s="217"/>
      <c r="B139" s="217"/>
      <c r="C139" s="217"/>
      <c r="D139" s="217"/>
      <c r="E139" s="217"/>
      <c r="F139" s="217"/>
      <c r="G139" s="217"/>
      <c r="H139" s="217"/>
      <c r="I139" s="217"/>
      <c r="J139" s="217"/>
      <c r="K139" s="217"/>
      <c r="L139" s="217"/>
      <c r="M139" s="217"/>
      <c r="N139" s="217"/>
    </row>
    <row r="140" spans="1:14" ht="15.6">
      <c r="A140" s="217"/>
      <c r="B140" s="217"/>
      <c r="C140" s="217"/>
      <c r="D140" s="217"/>
      <c r="E140" s="217"/>
      <c r="F140" s="217"/>
      <c r="G140" s="217"/>
      <c r="H140" s="217"/>
      <c r="I140" s="217"/>
      <c r="J140" s="217"/>
      <c r="K140" s="217"/>
      <c r="L140" s="217"/>
      <c r="M140" s="217"/>
      <c r="N140" s="217"/>
    </row>
    <row r="141" spans="1:14" ht="15.6">
      <c r="A141" s="217"/>
      <c r="B141" s="217"/>
      <c r="C141" s="217"/>
      <c r="D141" s="217"/>
      <c r="E141" s="217"/>
      <c r="F141" s="217"/>
      <c r="G141" s="217"/>
      <c r="H141" s="217"/>
      <c r="I141" s="217"/>
      <c r="J141" s="217"/>
      <c r="K141" s="217"/>
      <c r="L141" s="217"/>
      <c r="M141" s="217"/>
      <c r="N141" s="217"/>
    </row>
    <row r="142" spans="1:14" ht="15.6">
      <c r="A142" s="217"/>
      <c r="B142" s="217"/>
      <c r="C142" s="217"/>
      <c r="D142" s="217"/>
      <c r="E142" s="217"/>
      <c r="F142" s="217"/>
      <c r="G142" s="217"/>
      <c r="H142" s="217"/>
      <c r="I142" s="217"/>
      <c r="J142" s="217"/>
      <c r="K142" s="217"/>
      <c r="L142" s="217"/>
      <c r="M142" s="217"/>
      <c r="N142" s="217"/>
    </row>
    <row r="143" spans="1:14" ht="15.6">
      <c r="A143" s="217"/>
      <c r="B143" s="217"/>
      <c r="C143" s="217"/>
      <c r="D143" s="217"/>
      <c r="E143" s="217"/>
      <c r="F143" s="217"/>
      <c r="G143" s="217"/>
      <c r="H143" s="217"/>
      <c r="I143" s="217"/>
      <c r="J143" s="217"/>
      <c r="K143" s="217"/>
      <c r="L143" s="217"/>
      <c r="M143" s="217"/>
      <c r="N143" s="217"/>
    </row>
    <row r="144" spans="1:14" ht="15.6">
      <c r="A144" s="217"/>
      <c r="B144" s="217"/>
      <c r="C144" s="217"/>
      <c r="D144" s="217"/>
      <c r="E144" s="217"/>
      <c r="F144" s="217"/>
      <c r="G144" s="217"/>
      <c r="H144" s="217"/>
      <c r="I144" s="217"/>
      <c r="J144" s="217"/>
      <c r="K144" s="217"/>
      <c r="L144" s="217"/>
      <c r="M144" s="217"/>
      <c r="N144" s="217"/>
    </row>
    <row r="145" spans="1:14" ht="15.6">
      <c r="A145" s="217"/>
      <c r="B145" s="217"/>
      <c r="C145" s="217"/>
      <c r="D145" s="217"/>
      <c r="E145" s="217"/>
      <c r="F145" s="217"/>
      <c r="G145" s="217"/>
      <c r="H145" s="217"/>
      <c r="I145" s="217"/>
      <c r="J145" s="217"/>
      <c r="K145" s="217"/>
      <c r="L145" s="217"/>
      <c r="M145" s="217"/>
      <c r="N145" s="217"/>
    </row>
    <row r="146" spans="1:14" ht="15.6">
      <c r="A146" s="217"/>
      <c r="B146" s="217"/>
      <c r="C146" s="217"/>
      <c r="D146" s="217"/>
      <c r="E146" s="217"/>
      <c r="F146" s="217"/>
      <c r="G146" s="217"/>
      <c r="H146" s="217"/>
      <c r="I146" s="217"/>
      <c r="J146" s="217"/>
      <c r="K146" s="217"/>
      <c r="L146" s="217"/>
      <c r="M146" s="217"/>
      <c r="N146" s="217"/>
    </row>
    <row r="147" spans="1:14" ht="15.6">
      <c r="A147" s="217"/>
      <c r="B147" s="217"/>
      <c r="C147" s="217"/>
      <c r="D147" s="217"/>
      <c r="E147" s="217"/>
      <c r="F147" s="217"/>
      <c r="G147" s="217"/>
      <c r="H147" s="217"/>
      <c r="I147" s="217"/>
      <c r="J147" s="217"/>
      <c r="K147" s="217"/>
      <c r="L147" s="217"/>
      <c r="M147" s="217"/>
      <c r="N147" s="217"/>
    </row>
    <row r="148" spans="1:14" ht="15.6">
      <c r="A148" s="217"/>
      <c r="B148" s="217"/>
      <c r="C148" s="217"/>
      <c r="D148" s="217"/>
      <c r="E148" s="217"/>
      <c r="F148" s="217"/>
      <c r="G148" s="217"/>
      <c r="H148" s="217"/>
      <c r="I148" s="217"/>
      <c r="J148" s="217"/>
      <c r="K148" s="217"/>
      <c r="L148" s="217"/>
      <c r="M148" s="217"/>
      <c r="N148" s="217"/>
    </row>
    <row r="149" spans="1:14" ht="15.6">
      <c r="A149" s="217"/>
      <c r="B149" s="217"/>
      <c r="C149" s="217"/>
      <c r="D149" s="217"/>
      <c r="E149" s="217"/>
      <c r="F149" s="217"/>
      <c r="G149" s="217"/>
      <c r="H149" s="217"/>
      <c r="I149" s="217"/>
      <c r="J149" s="217"/>
      <c r="K149" s="217"/>
      <c r="L149" s="217"/>
      <c r="M149" s="217"/>
      <c r="N149" s="217"/>
    </row>
    <row r="150" spans="1:14" ht="15.6">
      <c r="A150" s="217"/>
      <c r="B150" s="217"/>
      <c r="C150" s="217"/>
      <c r="D150" s="217"/>
      <c r="E150" s="217"/>
      <c r="F150" s="217"/>
      <c r="G150" s="217"/>
      <c r="H150" s="217"/>
      <c r="I150" s="217"/>
      <c r="J150" s="217"/>
      <c r="K150" s="217"/>
      <c r="L150" s="217"/>
      <c r="M150" s="217"/>
      <c r="N150" s="217"/>
    </row>
    <row r="151" spans="1:14" ht="15.6">
      <c r="A151" s="217"/>
      <c r="B151" s="217"/>
      <c r="C151" s="217"/>
      <c r="D151" s="217"/>
      <c r="E151" s="217"/>
      <c r="F151" s="217"/>
      <c r="G151" s="217"/>
      <c r="H151" s="217"/>
      <c r="I151" s="217"/>
      <c r="J151" s="217"/>
      <c r="K151" s="217"/>
      <c r="L151" s="217"/>
      <c r="M151" s="217"/>
      <c r="N151" s="217"/>
    </row>
    <row r="152" spans="1:14" ht="15.6">
      <c r="A152" s="217"/>
      <c r="B152" s="217"/>
      <c r="C152" s="217"/>
      <c r="D152" s="217"/>
      <c r="E152" s="217"/>
      <c r="F152" s="217"/>
      <c r="G152" s="217"/>
      <c r="H152" s="217"/>
      <c r="I152" s="217"/>
      <c r="J152" s="217"/>
      <c r="K152" s="217"/>
      <c r="L152" s="217"/>
      <c r="M152" s="217"/>
      <c r="N152" s="217"/>
    </row>
    <row r="153" spans="1:14" ht="15.6">
      <c r="A153" s="217"/>
      <c r="B153" s="217"/>
      <c r="C153" s="217"/>
      <c r="D153" s="217"/>
      <c r="E153" s="217"/>
      <c r="F153" s="217"/>
      <c r="G153" s="217"/>
      <c r="H153" s="217"/>
      <c r="I153" s="217"/>
      <c r="J153" s="217"/>
      <c r="K153" s="217"/>
      <c r="L153" s="217"/>
      <c r="M153" s="217"/>
      <c r="N153" s="217"/>
    </row>
    <row r="154" spans="1:14" ht="15.6">
      <c r="A154" s="217"/>
      <c r="B154" s="217"/>
      <c r="C154" s="217"/>
      <c r="D154" s="217"/>
      <c r="E154" s="217"/>
      <c r="F154" s="217"/>
      <c r="G154" s="217"/>
      <c r="H154" s="217"/>
      <c r="I154" s="217"/>
      <c r="J154" s="217"/>
      <c r="K154" s="217"/>
      <c r="L154" s="217"/>
      <c r="M154" s="217"/>
      <c r="N154" s="217"/>
    </row>
    <row r="155" spans="1:14" ht="15.6">
      <c r="A155" s="230"/>
      <c r="B155" s="217"/>
      <c r="C155" s="217"/>
      <c r="D155" s="217"/>
      <c r="E155" s="217"/>
      <c r="F155" s="217"/>
      <c r="G155" s="217"/>
      <c r="H155" s="217"/>
      <c r="I155" s="217"/>
      <c r="J155" s="217"/>
      <c r="K155" s="217"/>
      <c r="L155" s="217"/>
      <c r="M155" s="217"/>
      <c r="N155" s="217"/>
    </row>
    <row r="156" spans="1:14" ht="15.6">
      <c r="A156" s="230"/>
      <c r="B156" s="217"/>
      <c r="C156" s="217"/>
      <c r="D156" s="217"/>
      <c r="E156" s="217"/>
      <c r="F156" s="217"/>
      <c r="G156" s="217"/>
      <c r="H156" s="217"/>
      <c r="I156" s="217"/>
      <c r="J156" s="217"/>
      <c r="K156" s="217"/>
      <c r="L156" s="217"/>
      <c r="M156" s="217"/>
      <c r="N156" s="217"/>
    </row>
    <row r="157" spans="1:14" ht="15.6">
      <c r="A157" s="230"/>
      <c r="B157" s="217"/>
      <c r="C157" s="217"/>
      <c r="D157" s="217"/>
      <c r="E157" s="217"/>
      <c r="F157" s="217"/>
      <c r="G157" s="217"/>
      <c r="H157" s="217"/>
      <c r="I157" s="217"/>
      <c r="J157" s="217"/>
      <c r="K157" s="217"/>
      <c r="L157" s="217"/>
      <c r="M157" s="217"/>
      <c r="N157" s="217"/>
    </row>
    <row r="158" spans="1:14" ht="15.6">
      <c r="A158" s="230"/>
      <c r="B158" s="217"/>
      <c r="C158" s="217"/>
      <c r="D158" s="217"/>
      <c r="E158" s="217"/>
      <c r="F158" s="217"/>
      <c r="G158" s="217"/>
      <c r="H158" s="217"/>
      <c r="I158" s="217"/>
      <c r="J158" s="217"/>
      <c r="K158" s="217"/>
      <c r="L158" s="217"/>
      <c r="M158" s="217"/>
      <c r="N158" s="217"/>
    </row>
    <row r="159" spans="1:14" ht="15.6">
      <c r="A159" s="230"/>
      <c r="B159" s="217"/>
      <c r="C159" s="217"/>
      <c r="D159" s="217"/>
      <c r="E159" s="217"/>
      <c r="F159" s="217"/>
      <c r="G159" s="217"/>
      <c r="H159" s="217"/>
      <c r="I159" s="217"/>
      <c r="J159" s="217"/>
      <c r="K159" s="217"/>
      <c r="L159" s="217"/>
      <c r="M159" s="217"/>
      <c r="N159" s="217"/>
    </row>
    <row r="160" spans="1:14" ht="15.6">
      <c r="A160" s="230"/>
      <c r="B160" s="217"/>
      <c r="C160" s="217"/>
      <c r="D160" s="217"/>
      <c r="E160" s="217"/>
      <c r="F160" s="217"/>
      <c r="G160" s="217"/>
      <c r="H160" s="217"/>
      <c r="I160" s="217"/>
      <c r="J160" s="217"/>
      <c r="K160" s="217"/>
      <c r="L160" s="217"/>
      <c r="M160" s="217"/>
      <c r="N160" s="217"/>
    </row>
    <row r="161" spans="1:14" ht="15.6">
      <c r="A161" s="230"/>
      <c r="B161" s="217"/>
      <c r="C161" s="217"/>
      <c r="D161" s="217"/>
      <c r="E161" s="217"/>
      <c r="F161" s="217"/>
      <c r="G161" s="217"/>
      <c r="H161" s="217"/>
      <c r="I161" s="217"/>
      <c r="J161" s="217"/>
      <c r="K161" s="217"/>
      <c r="L161" s="217"/>
      <c r="M161" s="217"/>
      <c r="N161" s="217"/>
    </row>
    <row r="162" spans="1:14" ht="15.6">
      <c r="A162" s="230"/>
      <c r="B162" s="217"/>
      <c r="C162" s="217"/>
      <c r="D162" s="217"/>
      <c r="E162" s="217"/>
      <c r="F162" s="217"/>
      <c r="G162" s="217"/>
      <c r="H162" s="217"/>
      <c r="I162" s="217"/>
      <c r="J162" s="217"/>
      <c r="K162" s="217"/>
      <c r="L162" s="217"/>
      <c r="M162" s="217"/>
      <c r="N162" s="217"/>
    </row>
    <row r="163" spans="1:14" ht="15.6">
      <c r="A163" s="230"/>
      <c r="B163" s="217"/>
      <c r="C163" s="217"/>
      <c r="D163" s="217"/>
      <c r="E163" s="217"/>
      <c r="F163" s="217"/>
      <c r="G163" s="217"/>
      <c r="H163" s="217"/>
      <c r="I163" s="217"/>
      <c r="J163" s="217"/>
      <c r="K163" s="217"/>
      <c r="L163" s="217"/>
      <c r="M163" s="217"/>
      <c r="N163" s="217"/>
    </row>
    <row r="164" spans="1:14" ht="15.6">
      <c r="A164" s="230"/>
      <c r="B164" s="217"/>
      <c r="C164" s="217"/>
      <c r="D164" s="217"/>
      <c r="E164" s="217"/>
      <c r="F164" s="217"/>
      <c r="G164" s="217"/>
      <c r="H164" s="217"/>
      <c r="I164" s="217"/>
      <c r="J164" s="217"/>
      <c r="K164" s="217"/>
      <c r="L164" s="217"/>
      <c r="M164" s="217"/>
      <c r="N164" s="217"/>
    </row>
    <row r="165" spans="1:14" ht="15.6">
      <c r="A165" s="230"/>
      <c r="B165" s="217"/>
      <c r="C165" s="217"/>
      <c r="D165" s="217"/>
      <c r="E165" s="217"/>
      <c r="F165" s="217"/>
      <c r="G165" s="217"/>
      <c r="H165" s="217"/>
      <c r="I165" s="217"/>
      <c r="J165" s="217"/>
      <c r="K165" s="217"/>
      <c r="L165" s="217"/>
      <c r="M165" s="217"/>
      <c r="N165" s="217"/>
    </row>
    <row r="166" spans="1:14" ht="15.6">
      <c r="A166" s="230"/>
      <c r="B166" s="217"/>
      <c r="C166" s="217"/>
      <c r="D166" s="217"/>
      <c r="E166" s="217"/>
      <c r="F166" s="217"/>
      <c r="G166" s="217"/>
      <c r="H166" s="217"/>
      <c r="I166" s="217"/>
      <c r="J166" s="217"/>
      <c r="K166" s="217"/>
      <c r="L166" s="217"/>
      <c r="M166" s="217"/>
      <c r="N166" s="217"/>
    </row>
    <row r="167" spans="1:14" ht="15.6">
      <c r="A167" s="230"/>
      <c r="B167" s="217"/>
      <c r="C167" s="217"/>
      <c r="D167" s="217"/>
      <c r="E167" s="217"/>
      <c r="F167" s="217"/>
      <c r="G167" s="217"/>
      <c r="H167" s="217"/>
      <c r="I167" s="217"/>
      <c r="J167" s="217"/>
      <c r="K167" s="217"/>
      <c r="L167" s="217"/>
      <c r="M167" s="217"/>
      <c r="N167" s="217"/>
    </row>
    <row r="168" spans="1:14" ht="15.6">
      <c r="A168" s="230"/>
      <c r="B168" s="217"/>
      <c r="C168" s="217"/>
      <c r="D168" s="217"/>
      <c r="E168" s="217"/>
      <c r="F168" s="217"/>
      <c r="G168" s="217"/>
      <c r="H168" s="217"/>
      <c r="I168" s="217"/>
      <c r="J168" s="217"/>
      <c r="K168" s="217"/>
      <c r="L168" s="217"/>
      <c r="M168" s="217"/>
      <c r="N168" s="217"/>
    </row>
    <row r="169" spans="1:14" ht="15.6">
      <c r="A169" s="230"/>
      <c r="B169" s="217"/>
      <c r="C169" s="217"/>
      <c r="D169" s="217"/>
      <c r="E169" s="217"/>
      <c r="F169" s="217"/>
      <c r="G169" s="217"/>
      <c r="H169" s="217"/>
      <c r="I169" s="217"/>
      <c r="J169" s="217"/>
      <c r="K169" s="217"/>
      <c r="L169" s="217"/>
      <c r="M169" s="217"/>
      <c r="N169" s="217"/>
    </row>
    <row r="170" spans="1:14" ht="15.6">
      <c r="A170" s="230"/>
      <c r="B170" s="217"/>
      <c r="C170" s="217"/>
      <c r="D170" s="217"/>
      <c r="E170" s="217"/>
      <c r="F170" s="217"/>
      <c r="G170" s="217"/>
      <c r="H170" s="217"/>
      <c r="I170" s="217"/>
      <c r="J170" s="217"/>
      <c r="K170" s="217"/>
      <c r="L170" s="217"/>
      <c r="M170" s="217"/>
      <c r="N170" s="217"/>
    </row>
    <row r="171" spans="1:14" ht="15.6">
      <c r="A171" s="230"/>
      <c r="B171" s="217"/>
      <c r="C171" s="217"/>
      <c r="D171" s="217"/>
      <c r="E171" s="217"/>
      <c r="F171" s="217"/>
      <c r="G171" s="217"/>
      <c r="H171" s="217"/>
      <c r="I171" s="217"/>
      <c r="J171" s="217"/>
      <c r="K171" s="217"/>
      <c r="L171" s="217"/>
      <c r="M171" s="217"/>
      <c r="N171" s="217"/>
    </row>
    <row r="172" spans="1:14" ht="15.6">
      <c r="A172" s="230"/>
      <c r="B172" s="217"/>
      <c r="C172" s="217"/>
      <c r="D172" s="217"/>
      <c r="E172" s="217"/>
      <c r="F172" s="217"/>
      <c r="G172" s="217"/>
      <c r="H172" s="217"/>
      <c r="I172" s="217"/>
      <c r="J172" s="217"/>
      <c r="K172" s="217"/>
      <c r="L172" s="217"/>
      <c r="M172" s="217"/>
      <c r="N172" s="217"/>
    </row>
    <row r="173" spans="1:14" ht="15.6">
      <c r="A173" s="230"/>
      <c r="B173" s="217"/>
      <c r="C173" s="217"/>
      <c r="D173" s="217"/>
      <c r="E173" s="217"/>
      <c r="F173" s="217"/>
      <c r="G173" s="217"/>
      <c r="H173" s="217"/>
      <c r="I173" s="217"/>
      <c r="J173" s="217"/>
      <c r="K173" s="217"/>
      <c r="L173" s="217"/>
      <c r="M173" s="217"/>
      <c r="N173" s="217"/>
    </row>
    <row r="174" spans="1:14" ht="15.6">
      <c r="A174" s="230"/>
      <c r="B174" s="217"/>
      <c r="C174" s="217"/>
      <c r="D174" s="217"/>
      <c r="E174" s="217"/>
      <c r="F174" s="217"/>
      <c r="G174" s="217"/>
      <c r="H174" s="217"/>
      <c r="I174" s="217"/>
      <c r="J174" s="217"/>
      <c r="K174" s="217"/>
      <c r="L174" s="217"/>
      <c r="M174" s="217"/>
      <c r="N174" s="217"/>
    </row>
    <row r="175" spans="1:14" ht="15.6">
      <c r="A175" s="230"/>
      <c r="B175" s="217"/>
      <c r="C175" s="217"/>
      <c r="D175" s="217"/>
      <c r="E175" s="217"/>
      <c r="F175" s="217"/>
      <c r="G175" s="217"/>
      <c r="H175" s="217"/>
      <c r="I175" s="217"/>
      <c r="J175" s="217"/>
      <c r="K175" s="217"/>
      <c r="L175" s="217"/>
      <c r="M175" s="217"/>
      <c r="N175" s="217"/>
    </row>
    <row r="176" spans="1:14" ht="15.6">
      <c r="A176" s="230"/>
      <c r="B176" s="217"/>
      <c r="C176" s="217"/>
      <c r="D176" s="217"/>
      <c r="E176" s="217"/>
      <c r="F176" s="217"/>
      <c r="G176" s="217"/>
      <c r="H176" s="217"/>
      <c r="I176" s="217"/>
      <c r="J176" s="217"/>
      <c r="K176" s="217"/>
      <c r="L176" s="217"/>
      <c r="M176" s="217"/>
      <c r="N176" s="217"/>
    </row>
    <row r="177" spans="1:14" ht="15.6">
      <c r="A177" s="230"/>
      <c r="B177" s="217"/>
      <c r="C177" s="217"/>
      <c r="D177" s="217"/>
      <c r="E177" s="217"/>
      <c r="F177" s="217"/>
      <c r="G177" s="217"/>
      <c r="H177" s="217"/>
      <c r="I177" s="217"/>
      <c r="J177" s="217"/>
      <c r="K177" s="217"/>
      <c r="L177" s="217"/>
      <c r="M177" s="217"/>
      <c r="N177" s="217"/>
    </row>
    <row r="178" spans="1:14" ht="15.6">
      <c r="A178" s="230"/>
      <c r="B178" s="217"/>
      <c r="C178" s="217"/>
      <c r="D178" s="217"/>
      <c r="E178" s="217"/>
      <c r="F178" s="217"/>
      <c r="G178" s="217"/>
      <c r="H178" s="217"/>
      <c r="I178" s="217"/>
      <c r="J178" s="217"/>
      <c r="K178" s="217"/>
      <c r="L178" s="217"/>
      <c r="M178" s="217"/>
      <c r="N178" s="217"/>
    </row>
    <row r="179" spans="1:14" ht="15.6">
      <c r="A179" s="230"/>
      <c r="B179" s="217"/>
      <c r="C179" s="217"/>
      <c r="D179" s="217"/>
      <c r="E179" s="217"/>
      <c r="F179" s="217"/>
      <c r="G179" s="217"/>
      <c r="H179" s="217"/>
      <c r="I179" s="217"/>
      <c r="J179" s="217"/>
      <c r="K179" s="217"/>
      <c r="L179" s="217"/>
      <c r="M179" s="217"/>
      <c r="N179" s="217"/>
    </row>
    <row r="180" spans="1:14" ht="15.6">
      <c r="A180" s="230"/>
      <c r="B180" s="217"/>
      <c r="C180" s="217"/>
      <c r="D180" s="217"/>
      <c r="E180" s="217"/>
      <c r="F180" s="217"/>
      <c r="G180" s="217"/>
      <c r="H180" s="217"/>
      <c r="I180" s="217"/>
      <c r="J180" s="217"/>
      <c r="K180" s="217"/>
      <c r="L180" s="217"/>
      <c r="M180" s="217"/>
      <c r="N180" s="217"/>
    </row>
    <row r="181" spans="1:14" ht="15.6">
      <c r="A181" s="230"/>
      <c r="B181" s="217"/>
      <c r="C181" s="217"/>
      <c r="D181" s="217"/>
      <c r="E181" s="217"/>
      <c r="F181" s="217"/>
      <c r="G181" s="217"/>
      <c r="H181" s="217"/>
      <c r="I181" s="217"/>
      <c r="J181" s="217"/>
      <c r="K181" s="217"/>
      <c r="L181" s="217"/>
      <c r="M181" s="217"/>
      <c r="N181" s="217"/>
    </row>
    <row r="182" spans="1:14" ht="15.6">
      <c r="A182" s="230"/>
      <c r="B182" s="217"/>
      <c r="C182" s="217"/>
      <c r="D182" s="217"/>
      <c r="E182" s="217"/>
      <c r="F182" s="217"/>
      <c r="G182" s="217"/>
      <c r="H182" s="217"/>
      <c r="I182" s="217"/>
      <c r="J182" s="217"/>
      <c r="K182" s="217"/>
      <c r="L182" s="217"/>
      <c r="M182" s="217"/>
      <c r="N182" s="217"/>
    </row>
    <row r="183" spans="1:14" ht="15.6">
      <c r="A183" s="230"/>
      <c r="B183" s="217"/>
      <c r="C183" s="217"/>
      <c r="D183" s="217"/>
      <c r="E183" s="217"/>
      <c r="F183" s="217"/>
      <c r="G183" s="217"/>
      <c r="H183" s="217"/>
      <c r="I183" s="217"/>
      <c r="J183" s="217"/>
      <c r="K183" s="217"/>
      <c r="L183" s="217"/>
      <c r="M183" s="217"/>
      <c r="N183" s="217"/>
    </row>
    <row r="184" spans="1:14" ht="15.6">
      <c r="A184" s="230"/>
      <c r="B184" s="217"/>
      <c r="C184" s="217"/>
      <c r="D184" s="217"/>
      <c r="E184" s="217"/>
      <c r="F184" s="217"/>
      <c r="G184" s="217"/>
      <c r="H184" s="217"/>
      <c r="I184" s="217"/>
      <c r="J184" s="217"/>
      <c r="K184" s="217"/>
      <c r="L184" s="217"/>
      <c r="M184" s="217"/>
      <c r="N184" s="217"/>
    </row>
    <row r="185" spans="1:14" ht="15.6">
      <c r="A185" s="230"/>
      <c r="B185" s="217"/>
      <c r="C185" s="217"/>
      <c r="D185" s="217"/>
      <c r="E185" s="217"/>
      <c r="F185" s="217"/>
      <c r="G185" s="217"/>
      <c r="H185" s="217"/>
      <c r="I185" s="217"/>
      <c r="J185" s="217"/>
      <c r="K185" s="217"/>
      <c r="L185" s="217"/>
      <c r="M185" s="217"/>
      <c r="N185" s="217"/>
    </row>
    <row r="186" spans="1:14" ht="15.6">
      <c r="A186" s="230"/>
      <c r="B186" s="217"/>
      <c r="C186" s="217"/>
      <c r="D186" s="217"/>
      <c r="E186" s="217"/>
      <c r="F186" s="217"/>
      <c r="G186" s="217"/>
      <c r="H186" s="217"/>
      <c r="I186" s="217"/>
      <c r="J186" s="217"/>
      <c r="K186" s="217"/>
      <c r="L186" s="217"/>
      <c r="M186" s="217"/>
      <c r="N186" s="217"/>
    </row>
    <row r="187" spans="1:14" ht="15.6">
      <c r="A187" s="230"/>
      <c r="B187" s="217"/>
      <c r="C187" s="217"/>
      <c r="D187" s="217"/>
      <c r="E187" s="217"/>
      <c r="F187" s="217"/>
      <c r="G187" s="217"/>
      <c r="H187" s="217"/>
      <c r="I187" s="217"/>
      <c r="J187" s="217"/>
      <c r="K187" s="217"/>
      <c r="L187" s="217"/>
      <c r="M187" s="217"/>
      <c r="N187" s="217"/>
    </row>
    <row r="188" spans="1:14" ht="15.6">
      <c r="A188" s="230"/>
      <c r="B188" s="217"/>
      <c r="C188" s="217"/>
      <c r="D188" s="217"/>
      <c r="E188" s="217"/>
      <c r="F188" s="217"/>
      <c r="G188" s="217"/>
      <c r="H188" s="217"/>
      <c r="I188" s="217"/>
      <c r="J188" s="217"/>
      <c r="K188" s="217"/>
      <c r="L188" s="217"/>
      <c r="M188" s="217"/>
      <c r="N188" s="217"/>
    </row>
    <row r="189" spans="1:14" ht="15.6">
      <c r="A189" s="230"/>
      <c r="B189" s="217"/>
      <c r="C189" s="217"/>
      <c r="D189" s="217"/>
      <c r="E189" s="217"/>
      <c r="F189" s="217"/>
      <c r="G189" s="217"/>
      <c r="H189" s="217"/>
      <c r="I189" s="217"/>
      <c r="J189" s="217"/>
      <c r="K189" s="217"/>
      <c r="L189" s="217"/>
      <c r="M189" s="217"/>
      <c r="N189" s="217"/>
    </row>
    <row r="190" spans="1:14" ht="15.6">
      <c r="A190" s="230"/>
      <c r="B190" s="217"/>
      <c r="C190" s="217"/>
      <c r="D190" s="217"/>
      <c r="E190" s="217"/>
      <c r="F190" s="217"/>
      <c r="G190" s="217"/>
      <c r="H190" s="217"/>
      <c r="I190" s="217"/>
      <c r="J190" s="217"/>
      <c r="K190" s="217"/>
      <c r="L190" s="217"/>
      <c r="M190" s="217"/>
      <c r="N190" s="217"/>
    </row>
    <row r="191" spans="1:14" ht="15.6">
      <c r="A191" s="230"/>
      <c r="B191" s="217"/>
      <c r="C191" s="217"/>
      <c r="D191" s="217"/>
      <c r="E191" s="217"/>
      <c r="F191" s="217"/>
      <c r="G191" s="217"/>
      <c r="H191" s="217"/>
      <c r="I191" s="217"/>
      <c r="J191" s="217"/>
      <c r="K191" s="217"/>
      <c r="L191" s="217"/>
      <c r="M191" s="217"/>
      <c r="N191" s="217"/>
    </row>
    <row r="192" spans="1:14" ht="15.6">
      <c r="A192" s="230"/>
      <c r="B192" s="217"/>
      <c r="C192" s="217"/>
      <c r="D192" s="217"/>
      <c r="E192" s="217"/>
      <c r="F192" s="217"/>
      <c r="G192" s="217"/>
      <c r="H192" s="217"/>
      <c r="I192" s="217"/>
      <c r="J192" s="217"/>
      <c r="K192" s="217"/>
      <c r="L192" s="217"/>
      <c r="M192" s="217"/>
      <c r="N192" s="217"/>
    </row>
    <row r="193" spans="1:14" ht="15.6">
      <c r="A193" s="230"/>
      <c r="B193" s="217"/>
      <c r="C193" s="217"/>
      <c r="D193" s="217"/>
      <c r="E193" s="217"/>
      <c r="F193" s="217"/>
      <c r="G193" s="217"/>
      <c r="H193" s="217"/>
      <c r="I193" s="217"/>
      <c r="J193" s="217"/>
      <c r="K193" s="217"/>
      <c r="L193" s="217"/>
      <c r="M193" s="217"/>
      <c r="N193" s="217"/>
    </row>
    <row r="194" spans="1:14" ht="15.6">
      <c r="A194" s="230"/>
      <c r="B194" s="217"/>
      <c r="C194" s="217"/>
      <c r="D194" s="217"/>
      <c r="E194" s="217"/>
      <c r="F194" s="217"/>
      <c r="G194" s="217"/>
      <c r="H194" s="217"/>
      <c r="I194" s="217"/>
      <c r="J194" s="217"/>
      <c r="K194" s="217"/>
      <c r="L194" s="217"/>
      <c r="M194" s="217"/>
      <c r="N194" s="217"/>
    </row>
    <row r="195" spans="1:14" ht="15.6">
      <c r="A195" s="230"/>
      <c r="B195" s="217"/>
      <c r="C195" s="217"/>
      <c r="D195" s="217"/>
      <c r="E195" s="217"/>
      <c r="F195" s="217"/>
      <c r="G195" s="217"/>
      <c r="H195" s="217"/>
      <c r="I195" s="217"/>
      <c r="J195" s="217"/>
      <c r="K195" s="217"/>
      <c r="L195" s="217"/>
      <c r="M195" s="217"/>
      <c r="N195" s="217"/>
    </row>
    <row r="196" spans="1:14" ht="15.6">
      <c r="A196" s="230"/>
      <c r="B196" s="217"/>
      <c r="C196" s="217"/>
      <c r="D196" s="217"/>
      <c r="E196" s="217"/>
      <c r="F196" s="217"/>
      <c r="G196" s="217"/>
      <c r="H196" s="217"/>
      <c r="I196" s="217"/>
      <c r="J196" s="217"/>
      <c r="K196" s="217"/>
      <c r="L196" s="217"/>
      <c r="M196" s="217"/>
      <c r="N196" s="217"/>
    </row>
  </sheetData>
  <mergeCells count="24">
    <mergeCell ref="A91:F91"/>
    <mergeCell ref="I91:M91"/>
    <mergeCell ref="I93:M93"/>
    <mergeCell ref="A121:F121"/>
    <mergeCell ref="J121:M121"/>
    <mergeCell ref="J88:M88"/>
    <mergeCell ref="J34:M34"/>
    <mergeCell ref="C44:J48"/>
    <mergeCell ref="A52:F52"/>
    <mergeCell ref="J52:M52"/>
    <mergeCell ref="J53:M53"/>
    <mergeCell ref="A61:F61"/>
    <mergeCell ref="J61:M61"/>
    <mergeCell ref="J66:M66"/>
    <mergeCell ref="A70:F70"/>
    <mergeCell ref="L70:M70"/>
    <mergeCell ref="A80:F80"/>
    <mergeCell ref="J80:M80"/>
    <mergeCell ref="D1:I1"/>
    <mergeCell ref="D2:I2"/>
    <mergeCell ref="A3:F3"/>
    <mergeCell ref="J3:M3"/>
    <mergeCell ref="A33:F33"/>
    <mergeCell ref="J33:M33"/>
  </mergeCells>
  <printOptions horizontalCentered="1"/>
  <pageMargins left="0.25" right="0.25" top="0.75" bottom="0.75" header="0.5" footer="0.5"/>
  <pageSetup scale="58" fitToHeight="0" orientation="landscape" r:id="rId1"/>
  <headerFooter alignWithMargins="0"/>
  <rowBreaks count="3" manualBreakCount="3">
    <brk id="50" max="13" man="1"/>
    <brk id="96" max="13" man="1"/>
    <brk id="11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6C98E-457A-4C60-AABB-B88FB08CCD96}">
  <sheetPr>
    <pageSetUpPr fitToPage="1"/>
  </sheetPr>
  <dimension ref="A1:R44"/>
  <sheetViews>
    <sheetView view="pageBreakPreview" zoomScale="80" zoomScaleNormal="100" zoomScaleSheetLayoutView="80" workbookViewId="0"/>
  </sheetViews>
  <sheetFormatPr defaultRowHeight="15.6"/>
  <cols>
    <col min="1" max="1" width="8.90625" style="234"/>
    <col min="2" max="2" width="41.1796875" style="234" customWidth="1"/>
    <col min="3" max="3" width="23.81640625" style="234" customWidth="1"/>
    <col min="4" max="4" width="13.453125" style="234" bestFit="1" customWidth="1"/>
    <col min="5" max="5" width="11.1796875" style="234" bestFit="1" customWidth="1"/>
    <col min="6" max="6" width="12.1796875" style="234" bestFit="1" customWidth="1"/>
    <col min="7" max="7" width="11.6328125" style="234" bestFit="1" customWidth="1"/>
    <col min="8" max="8" width="11.1796875" style="234" bestFit="1" customWidth="1"/>
    <col min="9" max="10" width="12" style="234" bestFit="1" customWidth="1"/>
    <col min="11" max="11" width="11.1796875" style="234" bestFit="1" customWidth="1"/>
    <col min="12" max="12" width="12" style="234" bestFit="1" customWidth="1"/>
    <col min="13" max="13" width="14.453125" style="234" bestFit="1" customWidth="1"/>
    <col min="14" max="14" width="12" style="234" bestFit="1" customWidth="1"/>
    <col min="15" max="15" width="14" style="234" bestFit="1" customWidth="1"/>
    <col min="16" max="16" width="13.90625" style="234" bestFit="1" customWidth="1"/>
    <col min="17" max="17" width="15.1796875" style="234" customWidth="1"/>
    <col min="18" max="18" width="8.90625" style="234"/>
  </cols>
  <sheetData>
    <row r="1" spans="1:17" ht="17.399999999999999">
      <c r="A1" s="491"/>
      <c r="E1" s="1062" t="s">
        <v>357</v>
      </c>
      <c r="F1" s="1062"/>
      <c r="G1" s="1062"/>
      <c r="H1" s="1062"/>
      <c r="I1" s="1062"/>
      <c r="J1" s="1062"/>
      <c r="O1" s="217"/>
    </row>
    <row r="2" spans="1:17" ht="17.399999999999999">
      <c r="A2" s="492" t="s">
        <v>465</v>
      </c>
      <c r="E2" s="1062" t="str">
        <f>'Appendix A'!$E$9</f>
        <v>NextEra Energy Transmission New York, Inc.</v>
      </c>
      <c r="F2" s="1062"/>
      <c r="G2" s="1062"/>
      <c r="H2" s="1062"/>
      <c r="I2" s="1062"/>
      <c r="J2" s="1062"/>
    </row>
    <row r="3" spans="1:17" ht="16.2" thickBot="1">
      <c r="A3" s="1104"/>
      <c r="B3" s="1104"/>
      <c r="C3" s="1104"/>
      <c r="D3" s="1104"/>
      <c r="E3" s="1104"/>
      <c r="F3" s="1104"/>
      <c r="G3" s="493"/>
      <c r="H3" s="1105"/>
      <c r="I3" s="1106"/>
      <c r="J3" s="1106"/>
      <c r="K3" s="1106"/>
      <c r="L3" s="1106"/>
      <c r="M3" s="1106"/>
      <c r="N3" s="243"/>
      <c r="O3" s="243"/>
      <c r="P3" s="243"/>
      <c r="Q3" s="243"/>
    </row>
    <row r="4" spans="1:17">
      <c r="A4" s="494"/>
      <c r="B4" s="491"/>
      <c r="C4" s="495"/>
      <c r="D4" s="496"/>
      <c r="E4" s="497"/>
      <c r="F4" s="497"/>
      <c r="G4" s="497"/>
      <c r="H4" s="496"/>
      <c r="I4" s="496"/>
      <c r="J4" s="496"/>
      <c r="K4" s="496"/>
      <c r="L4" s="496"/>
      <c r="M4" s="496"/>
      <c r="N4" s="498"/>
      <c r="O4" s="498"/>
      <c r="P4" s="498"/>
      <c r="Q4" s="499"/>
    </row>
    <row r="5" spans="1:17">
      <c r="A5" s="500"/>
      <c r="B5" s="501"/>
      <c r="C5" s="501"/>
      <c r="D5" s="502"/>
      <c r="E5" s="502"/>
      <c r="F5" s="502"/>
      <c r="G5" s="502"/>
      <c r="H5" s="502"/>
      <c r="I5" s="502"/>
      <c r="J5" s="502"/>
      <c r="K5" s="502"/>
      <c r="L5" s="502"/>
      <c r="M5" s="502"/>
      <c r="N5" s="502"/>
      <c r="O5" s="502"/>
      <c r="P5" s="502"/>
      <c r="Q5" s="503"/>
    </row>
    <row r="6" spans="1:17">
      <c r="A6" s="504"/>
      <c r="B6" s="501"/>
      <c r="C6" s="505" t="s">
        <v>466</v>
      </c>
      <c r="D6" s="502"/>
      <c r="E6" s="502"/>
      <c r="F6" s="502"/>
      <c r="G6" s="502"/>
      <c r="H6" s="502"/>
      <c r="I6" s="502"/>
      <c r="J6" s="502"/>
      <c r="K6" s="502"/>
      <c r="L6" s="502"/>
      <c r="M6" s="502"/>
      <c r="N6" s="502"/>
      <c r="O6" s="502"/>
      <c r="P6" s="502"/>
      <c r="Q6" s="503"/>
    </row>
    <row r="7" spans="1:17">
      <c r="A7" s="506" t="s">
        <v>270</v>
      </c>
      <c r="B7" s="507" t="s">
        <v>467</v>
      </c>
      <c r="C7" s="507" t="s">
        <v>468</v>
      </c>
      <c r="D7" s="508" t="s">
        <v>300</v>
      </c>
      <c r="E7" s="508" t="s">
        <v>302</v>
      </c>
      <c r="F7" s="508" t="s">
        <v>304</v>
      </c>
      <c r="G7" s="508" t="s">
        <v>305</v>
      </c>
      <c r="H7" s="508" t="s">
        <v>306</v>
      </c>
      <c r="I7" s="508" t="s">
        <v>307</v>
      </c>
      <c r="J7" s="508" t="s">
        <v>469</v>
      </c>
      <c r="K7" s="508" t="s">
        <v>309</v>
      </c>
      <c r="L7" s="508" t="s">
        <v>310</v>
      </c>
      <c r="M7" s="508" t="s">
        <v>311</v>
      </c>
      <c r="N7" s="508" t="s">
        <v>318</v>
      </c>
      <c r="O7" s="508" t="s">
        <v>313</v>
      </c>
      <c r="P7" s="508" t="s">
        <v>300</v>
      </c>
      <c r="Q7" s="509" t="s">
        <v>470</v>
      </c>
    </row>
    <row r="8" spans="1:17">
      <c r="A8" s="504"/>
      <c r="D8" s="510" t="s">
        <v>471</v>
      </c>
      <c r="E8" s="510" t="s">
        <v>472</v>
      </c>
      <c r="F8" s="510" t="s">
        <v>473</v>
      </c>
      <c r="G8" s="510" t="s">
        <v>474</v>
      </c>
      <c r="H8" s="510" t="s">
        <v>475</v>
      </c>
      <c r="I8" s="510" t="s">
        <v>476</v>
      </c>
      <c r="J8" s="510" t="s">
        <v>477</v>
      </c>
      <c r="K8" s="510" t="s">
        <v>478</v>
      </c>
      <c r="L8" s="510" t="s">
        <v>479</v>
      </c>
      <c r="M8" s="510" t="s">
        <v>480</v>
      </c>
      <c r="N8" s="510" t="s">
        <v>481</v>
      </c>
      <c r="O8" s="510" t="s">
        <v>482</v>
      </c>
      <c r="P8" s="510" t="s">
        <v>483</v>
      </c>
      <c r="Q8" s="511" t="s">
        <v>484</v>
      </c>
    </row>
    <row r="9" spans="1:17">
      <c r="A9" s="504">
        <f>+'3 - Cost Support'!A132+1</f>
        <v>198</v>
      </c>
      <c r="B9" s="234" t="s">
        <v>485</v>
      </c>
      <c r="D9" s="512"/>
      <c r="E9" s="512"/>
      <c r="F9" s="512"/>
      <c r="G9" s="512"/>
      <c r="H9" s="512"/>
      <c r="I9" s="512"/>
      <c r="J9" s="512"/>
      <c r="K9" s="512"/>
      <c r="L9" s="512"/>
      <c r="M9" s="512"/>
      <c r="N9" s="512"/>
      <c r="O9" s="512"/>
      <c r="P9" s="512"/>
      <c r="Q9" s="513"/>
    </row>
    <row r="10" spans="1:17">
      <c r="A10" s="504">
        <f t="shared" ref="A10:A40" si="0">A9+1</f>
        <v>199</v>
      </c>
      <c r="B10" s="514" t="s">
        <v>486</v>
      </c>
      <c r="C10" s="501" t="s">
        <v>487</v>
      </c>
      <c r="D10" s="515">
        <v>0</v>
      </c>
      <c r="E10" s="515">
        <v>0</v>
      </c>
      <c r="F10" s="515">
        <v>0</v>
      </c>
      <c r="G10" s="515">
        <v>0</v>
      </c>
      <c r="H10" s="515">
        <v>0</v>
      </c>
      <c r="I10" s="515">
        <v>0</v>
      </c>
      <c r="J10" s="515">
        <v>0</v>
      </c>
      <c r="K10" s="515">
        <v>0</v>
      </c>
      <c r="L10" s="515">
        <v>0</v>
      </c>
      <c r="M10" s="515">
        <v>0</v>
      </c>
      <c r="N10" s="515">
        <v>0</v>
      </c>
      <c r="O10" s="515">
        <v>0</v>
      </c>
      <c r="P10" s="515">
        <v>0</v>
      </c>
      <c r="Q10" s="513">
        <f>AVERAGE(D10:P10)</f>
        <v>0</v>
      </c>
    </row>
    <row r="11" spans="1:17">
      <c r="A11" s="504">
        <f t="shared" si="0"/>
        <v>200</v>
      </c>
      <c r="B11" s="514" t="s">
        <v>488</v>
      </c>
      <c r="C11" s="501" t="s">
        <v>489</v>
      </c>
      <c r="D11" s="516">
        <v>0</v>
      </c>
      <c r="E11" s="516">
        <v>0</v>
      </c>
      <c r="F11" s="516">
        <v>0</v>
      </c>
      <c r="G11" s="516">
        <v>0</v>
      </c>
      <c r="H11" s="516">
        <v>0</v>
      </c>
      <c r="I11" s="516">
        <v>0</v>
      </c>
      <c r="J11" s="516">
        <v>0</v>
      </c>
      <c r="K11" s="516">
        <v>0</v>
      </c>
      <c r="L11" s="516">
        <v>0</v>
      </c>
      <c r="M11" s="516">
        <v>0</v>
      </c>
      <c r="N11" s="516">
        <v>0</v>
      </c>
      <c r="O11" s="516">
        <v>0</v>
      </c>
      <c r="P11" s="516">
        <v>0</v>
      </c>
      <c r="Q11" s="517">
        <f>AVERAGE(D11:P11)</f>
        <v>0</v>
      </c>
    </row>
    <row r="12" spans="1:17">
      <c r="A12" s="504">
        <f t="shared" si="0"/>
        <v>201</v>
      </c>
      <c r="B12" s="514" t="s">
        <v>490</v>
      </c>
      <c r="C12" s="501" t="s">
        <v>491</v>
      </c>
      <c r="D12" s="516">
        <v>120140700.16999999</v>
      </c>
      <c r="E12" s="516">
        <v>120801293.16</v>
      </c>
      <c r="F12" s="516">
        <v>120469321.81999999</v>
      </c>
      <c r="G12" s="516">
        <v>120442962.80999999</v>
      </c>
      <c r="H12" s="516">
        <v>120958573.48999999</v>
      </c>
      <c r="I12" s="516">
        <v>120814604.02999999</v>
      </c>
      <c r="J12" s="516">
        <v>120826861.16</v>
      </c>
      <c r="K12" s="516">
        <v>120682355.89999999</v>
      </c>
      <c r="L12" s="516">
        <v>120478885.84999999</v>
      </c>
      <c r="M12" s="516">
        <v>120507169.03999999</v>
      </c>
      <c r="N12" s="516">
        <v>120361809.31999999</v>
      </c>
      <c r="O12" s="516">
        <v>120114152.69</v>
      </c>
      <c r="P12" s="516">
        <v>120255403.19999999</v>
      </c>
      <c r="Q12" s="517">
        <f>AVERAGE(D12:P12)</f>
        <v>120527237.89538461</v>
      </c>
    </row>
    <row r="13" spans="1:17">
      <c r="A13" s="504">
        <f t="shared" si="0"/>
        <v>202</v>
      </c>
      <c r="B13" s="514" t="s">
        <v>492</v>
      </c>
      <c r="C13" s="501" t="s">
        <v>493</v>
      </c>
      <c r="D13" s="516">
        <v>0</v>
      </c>
      <c r="E13" s="516">
        <v>0</v>
      </c>
      <c r="F13" s="516">
        <v>0</v>
      </c>
      <c r="G13" s="516">
        <v>0</v>
      </c>
      <c r="H13" s="516">
        <v>0</v>
      </c>
      <c r="I13" s="516">
        <v>0</v>
      </c>
      <c r="J13" s="516">
        <v>0</v>
      </c>
      <c r="K13" s="516">
        <v>0</v>
      </c>
      <c r="L13" s="516">
        <v>0</v>
      </c>
      <c r="M13" s="516">
        <v>0</v>
      </c>
      <c r="N13" s="516">
        <v>0</v>
      </c>
      <c r="O13" s="516">
        <v>0</v>
      </c>
      <c r="P13" s="516">
        <v>0</v>
      </c>
      <c r="Q13" s="517">
        <f>AVERAGE(D13:P13)</f>
        <v>0</v>
      </c>
    </row>
    <row r="14" spans="1:17">
      <c r="A14" s="504">
        <f t="shared" si="0"/>
        <v>203</v>
      </c>
      <c r="B14" s="514" t="s">
        <v>494</v>
      </c>
      <c r="C14" s="501" t="str">
        <f>"Sum Lines "&amp;A10&amp;" - "&amp;A13</f>
        <v>Sum Lines 199 - 202</v>
      </c>
      <c r="D14" s="515">
        <f>SUM(D10:D13)</f>
        <v>120140700.16999999</v>
      </c>
      <c r="E14" s="515">
        <f>SUM(E10:E13)</f>
        <v>120801293.16</v>
      </c>
      <c r="F14" s="515">
        <f t="shared" ref="F14:P14" si="1">SUM(F10:F13)</f>
        <v>120469321.81999999</v>
      </c>
      <c r="G14" s="515">
        <f t="shared" si="1"/>
        <v>120442962.80999999</v>
      </c>
      <c r="H14" s="515">
        <f t="shared" si="1"/>
        <v>120958573.48999999</v>
      </c>
      <c r="I14" s="515">
        <f t="shared" si="1"/>
        <v>120814604.02999999</v>
      </c>
      <c r="J14" s="515">
        <f t="shared" si="1"/>
        <v>120826861.16</v>
      </c>
      <c r="K14" s="515">
        <f t="shared" si="1"/>
        <v>120682355.89999999</v>
      </c>
      <c r="L14" s="515">
        <f t="shared" si="1"/>
        <v>120478885.84999999</v>
      </c>
      <c r="M14" s="515">
        <f t="shared" si="1"/>
        <v>120507169.03999999</v>
      </c>
      <c r="N14" s="515">
        <f t="shared" si="1"/>
        <v>120361809.31999999</v>
      </c>
      <c r="O14" s="515">
        <f t="shared" si="1"/>
        <v>120114152.69</v>
      </c>
      <c r="P14" s="515">
        <f t="shared" si="1"/>
        <v>120255403.19999999</v>
      </c>
      <c r="Q14" s="517">
        <f>SUM(Q10:Q13)</f>
        <v>120527237.89538461</v>
      </c>
    </row>
    <row r="15" spans="1:17" ht="16.2" thickBot="1">
      <c r="A15" s="504">
        <f t="shared" si="0"/>
        <v>204</v>
      </c>
      <c r="D15" s="512"/>
      <c r="E15" s="512"/>
      <c r="F15" s="512"/>
      <c r="G15" s="512"/>
      <c r="H15" s="512"/>
      <c r="I15" s="512"/>
      <c r="J15" s="512"/>
      <c r="K15" s="512"/>
      <c r="L15" s="512"/>
      <c r="M15" s="512"/>
      <c r="N15" s="512"/>
      <c r="O15" s="512"/>
      <c r="P15" s="512"/>
      <c r="Q15" s="513"/>
    </row>
    <row r="16" spans="1:17" ht="16.2" thickBot="1">
      <c r="A16" s="504">
        <f t="shared" si="0"/>
        <v>205</v>
      </c>
      <c r="B16" s="518" t="s">
        <v>495</v>
      </c>
      <c r="C16" s="501" t="s">
        <v>496</v>
      </c>
      <c r="D16" s="515">
        <v>0</v>
      </c>
      <c r="E16" s="515">
        <v>0</v>
      </c>
      <c r="F16" s="515">
        <v>0</v>
      </c>
      <c r="G16" s="515">
        <v>0</v>
      </c>
      <c r="H16" s="515">
        <v>0</v>
      </c>
      <c r="I16" s="515">
        <v>0</v>
      </c>
      <c r="J16" s="515">
        <v>0</v>
      </c>
      <c r="K16" s="515">
        <v>0</v>
      </c>
      <c r="L16" s="515">
        <v>0</v>
      </c>
      <c r="M16" s="515">
        <v>0</v>
      </c>
      <c r="N16" s="515">
        <v>0</v>
      </c>
      <c r="O16" s="515">
        <v>0</v>
      </c>
      <c r="P16" s="519">
        <v>0</v>
      </c>
      <c r="Q16" s="520">
        <f>AVERAGE(D16:P16)</f>
        <v>0</v>
      </c>
    </row>
    <row r="17" spans="1:17" ht="16.2" thickBot="1">
      <c r="A17" s="504">
        <f t="shared" si="0"/>
        <v>206</v>
      </c>
      <c r="D17" s="512"/>
      <c r="E17" s="512"/>
      <c r="F17" s="512"/>
      <c r="G17" s="512"/>
      <c r="H17" s="512"/>
      <c r="I17" s="512"/>
      <c r="J17" s="512"/>
      <c r="K17" s="512"/>
      <c r="L17" s="512"/>
      <c r="M17" s="512"/>
      <c r="N17" s="512"/>
      <c r="O17" s="512"/>
      <c r="P17" s="512"/>
      <c r="Q17" s="513"/>
    </row>
    <row r="18" spans="1:17" ht="16.2" thickBot="1">
      <c r="A18" s="504">
        <f t="shared" si="0"/>
        <v>207</v>
      </c>
      <c r="B18" s="518" t="s">
        <v>497</v>
      </c>
      <c r="C18" s="501" t="s">
        <v>498</v>
      </c>
      <c r="D18" s="515">
        <v>135477810.83000001</v>
      </c>
      <c r="E18" s="515">
        <v>136222734.84</v>
      </c>
      <c r="F18" s="515">
        <v>135848384.18000001</v>
      </c>
      <c r="G18" s="515">
        <v>135818660.19</v>
      </c>
      <c r="H18" s="515">
        <v>136400093.51000002</v>
      </c>
      <c r="I18" s="515">
        <v>136237744.97</v>
      </c>
      <c r="J18" s="515">
        <v>136251566.84</v>
      </c>
      <c r="K18" s="515">
        <v>136088614.09999999</v>
      </c>
      <c r="L18" s="515">
        <v>135859169.15000001</v>
      </c>
      <c r="M18" s="515">
        <v>135891062.96000001</v>
      </c>
      <c r="N18" s="515">
        <v>135727146.68000001</v>
      </c>
      <c r="O18" s="515">
        <v>135447874.31</v>
      </c>
      <c r="P18" s="515">
        <v>135607156.80000001</v>
      </c>
      <c r="Q18" s="520">
        <f>AVERAGE(D18:P18)</f>
        <v>135913693.7969231</v>
      </c>
    </row>
    <row r="19" spans="1:17" ht="16.2" thickBot="1">
      <c r="A19" s="504">
        <f t="shared" si="0"/>
        <v>208</v>
      </c>
      <c r="B19" s="518" t="s">
        <v>499</v>
      </c>
      <c r="C19" s="501" t="s">
        <v>496</v>
      </c>
      <c r="D19" s="515">
        <v>0</v>
      </c>
      <c r="E19" s="515">
        <v>0</v>
      </c>
      <c r="F19" s="515">
        <v>0</v>
      </c>
      <c r="G19" s="515">
        <v>0</v>
      </c>
      <c r="H19" s="515">
        <v>0</v>
      </c>
      <c r="I19" s="515">
        <v>0</v>
      </c>
      <c r="J19" s="515">
        <v>0</v>
      </c>
      <c r="K19" s="515">
        <v>0</v>
      </c>
      <c r="L19" s="515">
        <v>0</v>
      </c>
      <c r="M19" s="515">
        <v>0</v>
      </c>
      <c r="N19" s="515">
        <v>0</v>
      </c>
      <c r="O19" s="515">
        <v>0</v>
      </c>
      <c r="P19" s="519">
        <v>0</v>
      </c>
      <c r="Q19" s="520">
        <f>AVERAGE(D19:P19)</f>
        <v>0</v>
      </c>
    </row>
    <row r="20" spans="1:17" ht="16.2" thickBot="1">
      <c r="A20" s="504">
        <f t="shared" si="0"/>
        <v>209</v>
      </c>
      <c r="B20" s="518" t="s">
        <v>500</v>
      </c>
      <c r="C20" s="501" t="s">
        <v>501</v>
      </c>
      <c r="D20" s="515">
        <v>0</v>
      </c>
      <c r="E20" s="515">
        <v>0</v>
      </c>
      <c r="F20" s="515">
        <v>0</v>
      </c>
      <c r="G20" s="515">
        <v>0</v>
      </c>
      <c r="H20" s="515">
        <v>0</v>
      </c>
      <c r="I20" s="515">
        <v>0</v>
      </c>
      <c r="J20" s="515">
        <v>0</v>
      </c>
      <c r="K20" s="515">
        <v>0</v>
      </c>
      <c r="L20" s="515">
        <v>0</v>
      </c>
      <c r="M20" s="515">
        <v>0</v>
      </c>
      <c r="N20" s="515">
        <v>0</v>
      </c>
      <c r="O20" s="515">
        <v>0</v>
      </c>
      <c r="P20" s="519">
        <v>0</v>
      </c>
      <c r="Q20" s="520">
        <f>AVERAGE(D20:P20)</f>
        <v>0</v>
      </c>
    </row>
    <row r="21" spans="1:17" ht="16.2" thickBot="1">
      <c r="A21" s="504">
        <f t="shared" si="0"/>
        <v>210</v>
      </c>
      <c r="B21" s="518" t="s">
        <v>502</v>
      </c>
      <c r="C21" s="501" t="s">
        <v>503</v>
      </c>
      <c r="D21" s="515">
        <v>0</v>
      </c>
      <c r="E21" s="515">
        <v>0</v>
      </c>
      <c r="F21" s="515">
        <v>0</v>
      </c>
      <c r="G21" s="515">
        <v>0</v>
      </c>
      <c r="H21" s="515">
        <v>0</v>
      </c>
      <c r="I21" s="515">
        <v>0</v>
      </c>
      <c r="J21" s="515">
        <v>0</v>
      </c>
      <c r="K21" s="515">
        <v>0</v>
      </c>
      <c r="L21" s="515">
        <v>0</v>
      </c>
      <c r="M21" s="515">
        <v>0</v>
      </c>
      <c r="N21" s="515">
        <v>0</v>
      </c>
      <c r="O21" s="515">
        <v>0</v>
      </c>
      <c r="P21" s="519">
        <v>0</v>
      </c>
      <c r="Q21" s="520">
        <f>AVERAGE(D21:P21)</f>
        <v>0</v>
      </c>
    </row>
    <row r="22" spans="1:17" ht="16.2" thickBot="1">
      <c r="A22" s="504">
        <f t="shared" si="0"/>
        <v>211</v>
      </c>
      <c r="B22" s="518" t="str">
        <f>"Adjusted Common Equity"</f>
        <v>Adjusted Common Equity</v>
      </c>
      <c r="C22" s="501" t="str">
        <f>"Ln "&amp; A18&amp;" - "&amp;A19&amp;" - "&amp;A20&amp;" - "&amp;A21</f>
        <v>Ln 207 - 208 - 209 - 210</v>
      </c>
      <c r="D22" s="515">
        <f>D18-D19-D20-D21</f>
        <v>135477810.83000001</v>
      </c>
      <c r="E22" s="515">
        <f t="shared" ref="E22:Q22" si="2">E18-E19-E20-E21</f>
        <v>136222734.84</v>
      </c>
      <c r="F22" s="515">
        <f t="shared" si="2"/>
        <v>135848384.18000001</v>
      </c>
      <c r="G22" s="515">
        <f t="shared" si="2"/>
        <v>135818660.19</v>
      </c>
      <c r="H22" s="515">
        <f t="shared" si="2"/>
        <v>136400093.51000002</v>
      </c>
      <c r="I22" s="515">
        <f t="shared" si="2"/>
        <v>136237744.97</v>
      </c>
      <c r="J22" s="515">
        <f t="shared" si="2"/>
        <v>136251566.84</v>
      </c>
      <c r="K22" s="515">
        <f t="shared" si="2"/>
        <v>136088614.09999999</v>
      </c>
      <c r="L22" s="515">
        <f t="shared" si="2"/>
        <v>135859169.15000001</v>
      </c>
      <c r="M22" s="515">
        <f t="shared" si="2"/>
        <v>135891062.96000001</v>
      </c>
      <c r="N22" s="515">
        <f t="shared" si="2"/>
        <v>135727146.68000001</v>
      </c>
      <c r="O22" s="515">
        <f t="shared" si="2"/>
        <v>135447874.31</v>
      </c>
      <c r="P22" s="519">
        <f t="shared" si="2"/>
        <v>135607156.80000001</v>
      </c>
      <c r="Q22" s="520">
        <f t="shared" si="2"/>
        <v>135913693.7969231</v>
      </c>
    </row>
    <row r="23" spans="1:17" ht="16.2" thickBot="1">
      <c r="A23" s="504">
        <f t="shared" si="0"/>
        <v>212</v>
      </c>
      <c r="D23" s="512"/>
      <c r="E23" s="512"/>
      <c r="F23" s="512"/>
      <c r="G23" s="512"/>
      <c r="H23" s="512"/>
      <c r="I23" s="512"/>
      <c r="J23" s="512"/>
      <c r="K23" s="512"/>
      <c r="L23" s="512"/>
      <c r="M23" s="512"/>
      <c r="N23" s="512"/>
      <c r="O23" s="512"/>
      <c r="P23" s="512"/>
      <c r="Q23" s="513"/>
    </row>
    <row r="24" spans="1:17" ht="16.2" thickBot="1">
      <c r="A24" s="504">
        <f t="shared" si="0"/>
        <v>213</v>
      </c>
      <c r="B24" s="518" t="str">
        <f>"Total (Line "&amp;A14&amp;" plus Line "&amp;A16&amp;" plus Line "&amp;A22&amp;")"</f>
        <v>Total (Line 203 plus Line 205 plus Line 211)</v>
      </c>
      <c r="C24" s="501"/>
      <c r="D24" s="515">
        <f>D14+D16+D22</f>
        <v>255618511</v>
      </c>
      <c r="E24" s="515">
        <f t="shared" ref="E24:Q24" si="3">E14+E16+E22</f>
        <v>257024028</v>
      </c>
      <c r="F24" s="515">
        <f t="shared" si="3"/>
        <v>256317706</v>
      </c>
      <c r="G24" s="515">
        <f t="shared" si="3"/>
        <v>256261623</v>
      </c>
      <c r="H24" s="515">
        <f t="shared" si="3"/>
        <v>257358667</v>
      </c>
      <c r="I24" s="515">
        <f t="shared" si="3"/>
        <v>257052349</v>
      </c>
      <c r="J24" s="515">
        <f t="shared" si="3"/>
        <v>257078428</v>
      </c>
      <c r="K24" s="515">
        <f t="shared" si="3"/>
        <v>256770970</v>
      </c>
      <c r="L24" s="515">
        <f t="shared" si="3"/>
        <v>256338055</v>
      </c>
      <c r="M24" s="515">
        <f t="shared" si="3"/>
        <v>256398232</v>
      </c>
      <c r="N24" s="515">
        <f t="shared" si="3"/>
        <v>256088956</v>
      </c>
      <c r="O24" s="515">
        <f t="shared" si="3"/>
        <v>255562027</v>
      </c>
      <c r="P24" s="519">
        <f t="shared" si="3"/>
        <v>255862560</v>
      </c>
      <c r="Q24" s="520">
        <f t="shared" si="3"/>
        <v>256440931.69230771</v>
      </c>
    </row>
    <row r="25" spans="1:17">
      <c r="A25" s="504">
        <f t="shared" si="0"/>
        <v>214</v>
      </c>
      <c r="D25" s="512"/>
      <c r="E25" s="512"/>
      <c r="F25" s="512"/>
      <c r="G25" s="512"/>
      <c r="H25" s="512"/>
      <c r="I25" s="512"/>
      <c r="J25" s="512"/>
      <c r="K25" s="512"/>
      <c r="L25" s="512"/>
      <c r="M25" s="512"/>
      <c r="N25" s="512"/>
      <c r="O25" s="512"/>
      <c r="P25" s="512"/>
      <c r="Q25" s="513"/>
    </row>
    <row r="26" spans="1:17">
      <c r="A26" s="504">
        <f t="shared" si="0"/>
        <v>215</v>
      </c>
      <c r="B26" s="234" t="s">
        <v>504</v>
      </c>
      <c r="D26" s="512"/>
      <c r="E26" s="512"/>
      <c r="F26" s="512"/>
      <c r="G26" s="512"/>
      <c r="H26" s="512"/>
      <c r="I26" s="512"/>
      <c r="J26" s="512"/>
      <c r="K26" s="512"/>
      <c r="L26" s="512"/>
      <c r="M26" s="512"/>
      <c r="N26" s="512"/>
      <c r="O26" s="512"/>
      <c r="P26" s="512"/>
      <c r="Q26" s="521"/>
    </row>
    <row r="27" spans="1:17">
      <c r="A27" s="504">
        <f t="shared" si="0"/>
        <v>216</v>
      </c>
      <c r="B27" s="522" t="s">
        <v>505</v>
      </c>
      <c r="C27" s="501" t="s">
        <v>506</v>
      </c>
      <c r="D27" s="523"/>
      <c r="E27" s="512"/>
      <c r="F27" s="512"/>
      <c r="G27" s="512"/>
      <c r="H27" s="512"/>
      <c r="I27" s="512"/>
      <c r="J27" s="512"/>
      <c r="K27" s="512"/>
      <c r="L27" s="512"/>
      <c r="M27" s="512"/>
      <c r="N27" s="512"/>
      <c r="O27" s="512"/>
      <c r="P27" s="519">
        <f>+Q12*0.04</f>
        <v>4821089.5158153847</v>
      </c>
      <c r="Q27" s="513"/>
    </row>
    <row r="28" spans="1:17">
      <c r="A28" s="504">
        <f t="shared" si="0"/>
        <v>217</v>
      </c>
      <c r="B28" s="522" t="s">
        <v>507</v>
      </c>
      <c r="C28" s="501" t="s">
        <v>508</v>
      </c>
      <c r="D28" s="502"/>
      <c r="E28" s="512"/>
      <c r="F28" s="512"/>
      <c r="G28" s="512"/>
      <c r="H28" s="512"/>
      <c r="I28" s="512"/>
      <c r="J28" s="512"/>
      <c r="K28" s="512"/>
      <c r="L28" s="512"/>
      <c r="M28" s="512"/>
      <c r="N28" s="512"/>
      <c r="O28" s="512"/>
      <c r="P28" s="519">
        <v>0</v>
      </c>
      <c r="Q28" s="513"/>
    </row>
    <row r="29" spans="1:17">
      <c r="A29" s="504">
        <f t="shared" si="0"/>
        <v>218</v>
      </c>
      <c r="B29" s="522" t="s">
        <v>509</v>
      </c>
      <c r="C29" s="501" t="s">
        <v>510</v>
      </c>
      <c r="D29" s="502"/>
      <c r="E29" s="512"/>
      <c r="F29" s="512"/>
      <c r="G29" s="512"/>
      <c r="H29" s="512"/>
      <c r="I29" s="512"/>
      <c r="J29" s="512"/>
      <c r="K29" s="512"/>
      <c r="L29" s="512"/>
      <c r="M29" s="512"/>
      <c r="N29" s="512"/>
      <c r="O29" s="512"/>
      <c r="P29" s="519">
        <v>0</v>
      </c>
      <c r="Q29" s="513"/>
    </row>
    <row r="30" spans="1:17" ht="31.2">
      <c r="A30" s="504">
        <f t="shared" si="0"/>
        <v>219</v>
      </c>
      <c r="B30" s="522" t="s">
        <v>511</v>
      </c>
      <c r="C30" s="501" t="s">
        <v>512</v>
      </c>
      <c r="D30" s="502"/>
      <c r="E30" s="512"/>
      <c r="F30" s="512"/>
      <c r="G30" s="512"/>
      <c r="H30" s="512"/>
      <c r="I30" s="512"/>
      <c r="J30" s="512"/>
      <c r="K30" s="512"/>
      <c r="L30" s="512"/>
      <c r="M30" s="512"/>
      <c r="N30" s="512"/>
      <c r="O30" s="512"/>
      <c r="P30" s="519">
        <v>0</v>
      </c>
      <c r="Q30" s="513"/>
    </row>
    <row r="31" spans="1:17">
      <c r="A31" s="504">
        <f t="shared" si="0"/>
        <v>220</v>
      </c>
      <c r="B31" s="524" t="s">
        <v>513</v>
      </c>
      <c r="C31" s="518" t="s">
        <v>514</v>
      </c>
      <c r="D31" s="502"/>
      <c r="E31" s="512"/>
      <c r="F31" s="512"/>
      <c r="G31" s="512"/>
      <c r="H31" s="512"/>
      <c r="I31" s="512"/>
      <c r="J31" s="512"/>
      <c r="K31" s="512"/>
      <c r="L31" s="512"/>
      <c r="M31" s="512"/>
      <c r="N31" s="512"/>
      <c r="O31" s="512"/>
      <c r="P31" s="519">
        <v>0</v>
      </c>
      <c r="Q31" s="513"/>
    </row>
    <row r="32" spans="1:17">
      <c r="A32" s="504">
        <f t="shared" si="0"/>
        <v>221</v>
      </c>
      <c r="B32" s="524" t="s">
        <v>515</v>
      </c>
      <c r="C32" s="518" t="s">
        <v>516</v>
      </c>
      <c r="D32" s="502"/>
      <c r="E32" s="512"/>
      <c r="F32" s="512"/>
      <c r="G32" s="512"/>
      <c r="H32" s="512"/>
      <c r="I32" s="512"/>
      <c r="J32" s="512"/>
      <c r="K32" s="512"/>
      <c r="L32" s="512"/>
      <c r="M32" s="512"/>
      <c r="N32" s="512"/>
      <c r="O32" s="512"/>
      <c r="P32" s="525">
        <v>0</v>
      </c>
      <c r="Q32" s="513"/>
    </row>
    <row r="33" spans="1:17">
      <c r="A33" s="504">
        <f>A32+1</f>
        <v>222</v>
      </c>
      <c r="B33" s="522" t="s">
        <v>517</v>
      </c>
      <c r="C33" s="501" t="str">
        <f>"Sum Lines "&amp;A27&amp;" - "&amp;A32</f>
        <v>Sum Lines 216 - 221</v>
      </c>
      <c r="D33" s="512"/>
      <c r="E33" s="512"/>
      <c r="F33" s="512"/>
      <c r="G33" s="512"/>
      <c r="H33" s="512"/>
      <c r="I33" s="512"/>
      <c r="J33" s="512"/>
      <c r="K33" s="512"/>
      <c r="L33" s="512"/>
      <c r="M33" s="512"/>
      <c r="N33" s="512"/>
      <c r="O33" s="512"/>
      <c r="P33" s="526">
        <f>SUM(P27:P32)</f>
        <v>4821089.5158153847</v>
      </c>
      <c r="Q33" s="513"/>
    </row>
    <row r="34" spans="1:17" ht="16.2" thickBot="1">
      <c r="A34" s="504">
        <f t="shared" si="0"/>
        <v>223</v>
      </c>
      <c r="B34" s="514"/>
      <c r="D34" s="512"/>
      <c r="E34" s="512"/>
      <c r="F34" s="512"/>
      <c r="G34" s="512"/>
      <c r="H34" s="512"/>
      <c r="I34" s="512"/>
      <c r="J34" s="512"/>
      <c r="K34" s="512"/>
      <c r="L34" s="512"/>
      <c r="M34" s="512"/>
      <c r="N34" s="512"/>
      <c r="O34" s="512"/>
      <c r="P34" s="512"/>
      <c r="Q34" s="513"/>
    </row>
    <row r="35" spans="1:17" ht="16.2" thickBot="1">
      <c r="A35" s="504">
        <f t="shared" si="0"/>
        <v>224</v>
      </c>
      <c r="B35" s="514" t="str">
        <f>"Average Cost of Debt (Line "&amp;A33&amp;", col. n / Line "&amp;A14&amp;", col. n)"</f>
        <v>Average Cost of Debt (Line 222, col. n / Line 203, col. n)</v>
      </c>
      <c r="D35" s="512"/>
      <c r="E35" s="512"/>
      <c r="F35" s="512"/>
      <c r="G35" s="512"/>
      <c r="H35" s="512"/>
      <c r="I35" s="512"/>
      <c r="J35" s="512"/>
      <c r="K35" s="512"/>
      <c r="L35" s="512"/>
      <c r="M35" s="512"/>
      <c r="N35" s="512"/>
      <c r="O35" s="512"/>
      <c r="P35" s="527">
        <f>IF(Q14=0,0,ROUND(P33/Q14,4))</f>
        <v>0.04</v>
      </c>
      <c r="Q35" s="513"/>
    </row>
    <row r="36" spans="1:17">
      <c r="A36" s="504">
        <f t="shared" si="0"/>
        <v>225</v>
      </c>
      <c r="B36" s="514"/>
      <c r="D36" s="512"/>
      <c r="E36" s="512"/>
      <c r="F36" s="512"/>
      <c r="G36" s="512"/>
      <c r="H36" s="512"/>
      <c r="I36" s="512"/>
      <c r="J36" s="512"/>
      <c r="K36" s="512"/>
      <c r="L36" s="512"/>
      <c r="M36" s="512"/>
      <c r="N36" s="512"/>
      <c r="O36" s="512"/>
      <c r="P36" s="512"/>
      <c r="Q36" s="513"/>
    </row>
    <row r="37" spans="1:17">
      <c r="A37" s="504">
        <f t="shared" si="0"/>
        <v>226</v>
      </c>
      <c r="B37" s="234" t="s">
        <v>518</v>
      </c>
      <c r="D37" s="512"/>
      <c r="E37" s="512"/>
      <c r="F37" s="512"/>
      <c r="G37" s="512"/>
      <c r="H37" s="512"/>
      <c r="I37" s="512"/>
      <c r="J37" s="512"/>
      <c r="K37" s="512"/>
      <c r="L37" s="512"/>
      <c r="M37" s="512"/>
      <c r="N37" s="512"/>
      <c r="O37" s="512"/>
      <c r="P37" s="512"/>
      <c r="Q37" s="513"/>
    </row>
    <row r="38" spans="1:17">
      <c r="A38" s="504">
        <f t="shared" si="0"/>
        <v>227</v>
      </c>
      <c r="B38" s="514" t="s">
        <v>519</v>
      </c>
      <c r="C38" s="501" t="s">
        <v>520</v>
      </c>
      <c r="D38" s="512"/>
      <c r="E38" s="512"/>
      <c r="F38" s="512"/>
      <c r="G38" s="512"/>
      <c r="H38" s="512"/>
      <c r="I38" s="512"/>
      <c r="J38" s="512"/>
      <c r="K38" s="512"/>
      <c r="L38" s="512"/>
      <c r="M38" s="512"/>
      <c r="N38" s="512"/>
      <c r="O38" s="512"/>
      <c r="P38" s="515"/>
      <c r="Q38" s="513"/>
    </row>
    <row r="39" spans="1:17">
      <c r="A39" s="504">
        <f t="shared" si="0"/>
        <v>228</v>
      </c>
      <c r="B39" s="514"/>
      <c r="D39" s="512"/>
      <c r="E39" s="512"/>
      <c r="F39" s="512"/>
      <c r="G39" s="512"/>
      <c r="H39" s="512"/>
      <c r="I39" s="512"/>
      <c r="J39" s="512"/>
      <c r="K39" s="512"/>
      <c r="L39" s="512"/>
      <c r="M39" s="512"/>
      <c r="N39" s="512"/>
      <c r="O39" s="512"/>
      <c r="P39" s="512"/>
      <c r="Q39" s="513"/>
    </row>
    <row r="40" spans="1:17">
      <c r="A40" s="504">
        <f t="shared" si="0"/>
        <v>229</v>
      </c>
      <c r="B40" s="514" t="str">
        <f>"Average Cost of Preferred Stock (Line "&amp;A38&amp;", col. n / Line "&amp;A16&amp;", col. n)"</f>
        <v>Average Cost of Preferred Stock (Line 227, col. n / Line 205, col. n)</v>
      </c>
      <c r="D40" s="512"/>
      <c r="E40" s="512"/>
      <c r="F40" s="512"/>
      <c r="G40" s="512"/>
      <c r="H40" s="512"/>
      <c r="I40" s="512"/>
      <c r="J40" s="512"/>
      <c r="K40" s="512"/>
      <c r="L40" s="512"/>
      <c r="M40" s="512"/>
      <c r="N40" s="512"/>
      <c r="O40" s="512"/>
      <c r="P40" s="512">
        <f>IF(P38=0,0,ROUND(P38/Q16,4))</f>
        <v>0</v>
      </c>
      <c r="Q40" s="513"/>
    </row>
    <row r="41" spans="1:17">
      <c r="A41" s="504"/>
      <c r="B41" s="514"/>
      <c r="D41" s="512"/>
      <c r="E41" s="512"/>
      <c r="F41" s="512"/>
      <c r="G41" s="512"/>
      <c r="H41" s="512"/>
      <c r="I41" s="512"/>
      <c r="J41" s="512"/>
      <c r="K41" s="512"/>
      <c r="L41" s="512"/>
      <c r="M41" s="512"/>
      <c r="N41" s="512"/>
      <c r="O41" s="512"/>
      <c r="P41" s="512"/>
      <c r="Q41" s="513"/>
    </row>
    <row r="42" spans="1:17">
      <c r="A42" s="504"/>
      <c r="B42" s="1058" t="s">
        <v>521</v>
      </c>
      <c r="C42" s="1058"/>
      <c r="D42" s="1058"/>
      <c r="E42" s="1058"/>
      <c r="F42" s="1058"/>
      <c r="G42" s="1058"/>
      <c r="H42" s="512"/>
      <c r="I42" s="512"/>
      <c r="J42" s="512"/>
      <c r="K42" s="512"/>
      <c r="L42" s="512"/>
      <c r="M42" s="512"/>
      <c r="N42" s="512"/>
      <c r="O42" s="512"/>
      <c r="P42" s="512"/>
      <c r="Q42" s="513"/>
    </row>
    <row r="43" spans="1:17">
      <c r="A43" s="504"/>
      <c r="B43" s="234" t="s">
        <v>522</v>
      </c>
      <c r="D43" s="512"/>
      <c r="E43" s="512"/>
      <c r="F43" s="512"/>
      <c r="G43" s="512"/>
      <c r="H43" s="512"/>
      <c r="I43" s="512"/>
      <c r="J43" s="512"/>
      <c r="K43" s="512"/>
      <c r="L43" s="512"/>
      <c r="M43" s="512"/>
      <c r="N43" s="512"/>
      <c r="O43" s="512"/>
      <c r="P43" s="512"/>
      <c r="Q43" s="513"/>
    </row>
    <row r="44" spans="1:17" ht="16.2" thickBot="1">
      <c r="A44" s="528"/>
      <c r="B44" s="529" t="s">
        <v>523</v>
      </c>
      <c r="C44" s="529"/>
      <c r="D44" s="530"/>
      <c r="E44" s="530"/>
      <c r="F44" s="530"/>
      <c r="G44" s="530"/>
      <c r="H44" s="530"/>
      <c r="I44" s="530"/>
      <c r="J44" s="530"/>
      <c r="K44" s="530"/>
      <c r="L44" s="530"/>
      <c r="M44" s="530"/>
      <c r="N44" s="530"/>
      <c r="O44" s="530"/>
      <c r="P44" s="530"/>
      <c r="Q44" s="531"/>
    </row>
  </sheetData>
  <mergeCells count="5">
    <mergeCell ref="E1:J1"/>
    <mergeCell ref="E2:J2"/>
    <mergeCell ref="A3:F3"/>
    <mergeCell ref="H3:M3"/>
    <mergeCell ref="B42:G42"/>
  </mergeCells>
  <pageMargins left="0.7" right="0.7" top="0.75" bottom="0.75" header="0.3" footer="0.3"/>
  <pageSetup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28B33-B1EC-4F1B-ADB8-F1AB6D0B9D7B}">
  <sheetPr>
    <pageSetUpPr fitToPage="1"/>
  </sheetPr>
  <dimension ref="A1:S166"/>
  <sheetViews>
    <sheetView view="pageBreakPreview" zoomScale="80" zoomScaleNormal="100" zoomScaleSheetLayoutView="80" workbookViewId="0">
      <selection activeCell="J14" sqref="J14"/>
    </sheetView>
  </sheetViews>
  <sheetFormatPr defaultRowHeight="15.6"/>
  <cols>
    <col min="1" max="1" width="8.90625" style="533"/>
    <col min="2" max="2" width="42.54296875" style="166" customWidth="1"/>
    <col min="3" max="3" width="54.81640625" style="166" customWidth="1"/>
    <col min="4" max="4" width="11.453125" style="166" bestFit="1" customWidth="1"/>
    <col min="5" max="5" width="10.81640625" style="166" customWidth="1"/>
    <col min="6" max="6" width="11.1796875" style="166" customWidth="1"/>
    <col min="7" max="7" width="10.81640625" style="166" customWidth="1"/>
    <col min="8" max="8" width="11.81640625" style="166" customWidth="1"/>
    <col min="9" max="9" width="13.453125" style="166" bestFit="1" customWidth="1"/>
    <col min="10" max="10" width="17.1796875" style="166" customWidth="1"/>
    <col min="11" max="11" width="17" style="166" customWidth="1"/>
    <col min="12" max="12" width="23.453125" style="166" customWidth="1"/>
    <col min="13" max="13" width="13.08984375" style="166" customWidth="1"/>
    <col min="14" max="14" width="12.453125" style="166" customWidth="1"/>
    <col min="15" max="15" width="16.1796875" style="166" customWidth="1"/>
    <col min="16" max="18" width="14.81640625" style="166" customWidth="1"/>
    <col min="19" max="19" width="8.90625" style="166"/>
  </cols>
  <sheetData>
    <row r="1" spans="1:10">
      <c r="A1" s="532"/>
    </row>
    <row r="2" spans="1:10">
      <c r="E2" s="534"/>
      <c r="F2" s="535" t="s">
        <v>524</v>
      </c>
      <c r="G2" s="534"/>
    </row>
    <row r="3" spans="1:10">
      <c r="F3" s="536" t="s">
        <v>525</v>
      </c>
    </row>
    <row r="4" spans="1:10">
      <c r="A4" s="537"/>
      <c r="B4" s="532"/>
      <c r="C4" s="534"/>
      <c r="D4" s="534"/>
      <c r="F4" s="535" t="s">
        <v>11</v>
      </c>
      <c r="H4" s="534"/>
      <c r="I4" s="534"/>
      <c r="J4" s="538" t="str">
        <f>'Appendix A'!M8</f>
        <v>For the 12 months ended 12/31/2023</v>
      </c>
    </row>
    <row r="5" spans="1:10">
      <c r="A5" s="537"/>
      <c r="B5" s="539" t="s">
        <v>526</v>
      </c>
      <c r="C5" s="534"/>
      <c r="D5" s="532" t="s">
        <v>22</v>
      </c>
      <c r="G5" s="532"/>
      <c r="H5" s="532"/>
      <c r="I5" s="532"/>
      <c r="J5" s="534"/>
    </row>
    <row r="6" spans="1:10">
      <c r="A6" s="537"/>
      <c r="B6" s="540"/>
      <c r="C6" s="540"/>
      <c r="D6" s="540"/>
      <c r="E6" s="540"/>
      <c r="F6" s="540"/>
      <c r="G6" s="540"/>
      <c r="H6" s="540"/>
      <c r="I6" s="540"/>
      <c r="J6" s="540"/>
    </row>
    <row r="7" spans="1:10">
      <c r="A7" s="537"/>
      <c r="B7" s="540" t="s">
        <v>527</v>
      </c>
      <c r="C7" s="540"/>
      <c r="D7" s="540"/>
      <c r="E7" s="540"/>
      <c r="F7" s="540"/>
      <c r="G7" s="540"/>
      <c r="H7" s="540"/>
      <c r="I7" s="540"/>
      <c r="J7" s="540"/>
    </row>
    <row r="8" spans="1:10">
      <c r="A8" s="537"/>
      <c r="B8" s="540" t="s">
        <v>528</v>
      </c>
      <c r="C8" s="540"/>
      <c r="D8" s="540"/>
      <c r="E8" s="540"/>
      <c r="F8" s="540"/>
      <c r="G8" s="540"/>
      <c r="H8" s="540"/>
      <c r="I8" s="540"/>
      <c r="J8" s="540"/>
    </row>
    <row r="9" spans="1:10">
      <c r="A9" s="537"/>
      <c r="B9" s="540" t="s">
        <v>529</v>
      </c>
      <c r="C9" s="540"/>
      <c r="D9" s="540"/>
      <c r="E9" s="540"/>
      <c r="F9" s="540"/>
      <c r="G9" s="540"/>
      <c r="H9" s="540"/>
      <c r="I9" s="540"/>
      <c r="J9" s="540"/>
    </row>
    <row r="10" spans="1:10">
      <c r="A10" s="537"/>
      <c r="B10" s="540"/>
      <c r="C10" s="540"/>
      <c r="D10" s="540"/>
      <c r="E10" s="540"/>
      <c r="F10" s="540"/>
      <c r="G10" s="540"/>
      <c r="H10" s="540"/>
      <c r="I10" s="540"/>
      <c r="J10" s="540"/>
    </row>
    <row r="11" spans="1:10">
      <c r="A11" s="537"/>
      <c r="B11" s="540"/>
      <c r="C11" s="540"/>
      <c r="D11" s="540"/>
      <c r="E11" s="540"/>
      <c r="F11" s="541" t="str">
        <f>+'1 - Revenue Credits'!A2</f>
        <v>NextEra Energy Transmission New York, Inc.</v>
      </c>
      <c r="G11" s="540"/>
      <c r="H11" s="540"/>
      <c r="I11" s="540"/>
      <c r="J11" s="540"/>
    </row>
    <row r="12" spans="1:10">
      <c r="A12" s="542" t="s">
        <v>530</v>
      </c>
      <c r="B12" s="540"/>
      <c r="C12" s="540"/>
      <c r="D12" s="540"/>
      <c r="E12" s="540"/>
      <c r="F12" s="541"/>
      <c r="G12" s="540"/>
      <c r="H12" s="540"/>
      <c r="I12" s="540"/>
      <c r="J12" s="540"/>
    </row>
    <row r="13" spans="1:10">
      <c r="A13" s="537"/>
      <c r="F13" s="543" t="s">
        <v>37</v>
      </c>
      <c r="J13" s="544" t="s">
        <v>531</v>
      </c>
    </row>
    <row r="14" spans="1:10">
      <c r="A14" s="537">
        <v>1</v>
      </c>
      <c r="B14" s="166" t="s">
        <v>532</v>
      </c>
      <c r="J14" s="545">
        <f>+'Appendix A'!J117</f>
        <v>251265103.66802114</v>
      </c>
    </row>
    <row r="15" spans="1:10">
      <c r="A15" s="537"/>
      <c r="J15" s="545"/>
    </row>
    <row r="16" spans="1:10">
      <c r="A16" s="546">
        <f>+A14+1</f>
        <v>2</v>
      </c>
      <c r="B16" s="547" t="s">
        <v>533</v>
      </c>
      <c r="C16" s="548"/>
      <c r="D16" s="548"/>
      <c r="E16" s="548"/>
      <c r="F16" s="548"/>
      <c r="G16" s="548"/>
      <c r="H16" s="548"/>
      <c r="I16" s="549"/>
      <c r="J16" s="545"/>
    </row>
    <row r="17" spans="1:10">
      <c r="A17" s="546"/>
      <c r="B17" s="550"/>
      <c r="C17" s="548"/>
      <c r="D17" s="548"/>
      <c r="E17" s="548"/>
      <c r="F17" s="548"/>
      <c r="G17" s="549"/>
      <c r="H17" s="548"/>
      <c r="I17" s="548"/>
      <c r="J17" s="545"/>
    </row>
    <row r="18" spans="1:10" ht="16.2" thickBot="1">
      <c r="A18" s="546"/>
      <c r="B18" s="550"/>
      <c r="C18" s="548"/>
      <c r="D18" s="551" t="s">
        <v>152</v>
      </c>
      <c r="E18" s="551" t="s">
        <v>163</v>
      </c>
      <c r="F18" s="548"/>
      <c r="G18" s="551" t="s">
        <v>164</v>
      </c>
      <c r="H18" s="548"/>
      <c r="I18" s="551" t="s">
        <v>165</v>
      </c>
      <c r="J18" s="545"/>
    </row>
    <row r="19" spans="1:10">
      <c r="A19" s="546">
        <f>+A16+1</f>
        <v>3</v>
      </c>
      <c r="B19" s="547" t="s">
        <v>534</v>
      </c>
      <c r="C19" s="552" t="s">
        <v>535</v>
      </c>
      <c r="D19" s="553">
        <f>+'Appendix A'!F229</f>
        <v>120527237.89538461</v>
      </c>
      <c r="E19" s="554">
        <f>+'Appendix A'!G229</f>
        <v>0.46999999999999992</v>
      </c>
      <c r="F19" s="554"/>
      <c r="G19" s="555">
        <f>+'Appendix A'!I229</f>
        <v>0.04</v>
      </c>
      <c r="H19" s="552"/>
      <c r="I19" s="554">
        <f>E19*G19</f>
        <v>1.8799999999999997E-2</v>
      </c>
      <c r="J19" s="545"/>
    </row>
    <row r="20" spans="1:10">
      <c r="A20" s="546">
        <f>+A19+1</f>
        <v>4</v>
      </c>
      <c r="B20" s="547" t="s">
        <v>536</v>
      </c>
      <c r="C20" s="552" t="s">
        <v>537</v>
      </c>
      <c r="D20" s="553">
        <f>+'Appendix A'!F230</f>
        <v>0</v>
      </c>
      <c r="E20" s="554">
        <f>+'Appendix A'!G230</f>
        <v>0</v>
      </c>
      <c r="F20" s="554"/>
      <c r="G20" s="556">
        <f>+'Appendix A'!I230</f>
        <v>0</v>
      </c>
      <c r="H20" s="552"/>
      <c r="I20" s="554">
        <f>E20*G20</f>
        <v>0</v>
      </c>
      <c r="J20" s="545"/>
    </row>
    <row r="21" spans="1:10" ht="16.2" thickBot="1">
      <c r="A21" s="546">
        <f>+A20+1</f>
        <v>5</v>
      </c>
      <c r="B21" s="547" t="s">
        <v>538</v>
      </c>
      <c r="C21" s="552" t="s">
        <v>539</v>
      </c>
      <c r="D21" s="553">
        <f>+'Appendix A'!F231</f>
        <v>135913693.7969231</v>
      </c>
      <c r="E21" s="554">
        <f>+'Appendix A'!G231</f>
        <v>0.53</v>
      </c>
      <c r="F21" s="554"/>
      <c r="G21" s="555">
        <f>+'Appendix A'!I231</f>
        <v>9.6500000000000002E-2</v>
      </c>
      <c r="H21" s="552"/>
      <c r="I21" s="557">
        <f>E21*G21</f>
        <v>5.1145000000000003E-2</v>
      </c>
      <c r="J21" s="545"/>
    </row>
    <row r="22" spans="1:10">
      <c r="A22" s="546">
        <f>+A21+1</f>
        <v>6</v>
      </c>
      <c r="B22" s="550" t="s">
        <v>540</v>
      </c>
      <c r="C22" s="552"/>
      <c r="D22" s="553">
        <f>SUM(D19:D21)</f>
        <v>256440931.69230771</v>
      </c>
      <c r="E22" s="554" t="s">
        <v>22</v>
      </c>
      <c r="F22" s="554"/>
      <c r="G22" s="548"/>
      <c r="H22" s="548"/>
      <c r="I22" s="554">
        <f>SUM(I19:I21)</f>
        <v>6.9945000000000007E-2</v>
      </c>
      <c r="J22" s="545"/>
    </row>
    <row r="23" spans="1:10">
      <c r="A23" s="546">
        <f t="shared" ref="A23:A34" si="0">+A22+1</f>
        <v>7</v>
      </c>
      <c r="B23" s="550" t="s">
        <v>541</v>
      </c>
      <c r="C23" s="552"/>
      <c r="D23" s="558"/>
      <c r="E23" s="548"/>
      <c r="F23" s="548"/>
      <c r="G23" s="548"/>
      <c r="H23" s="548"/>
      <c r="I23" s="554"/>
      <c r="J23" s="545">
        <f>+I22*J14</f>
        <v>17574737.676059742</v>
      </c>
    </row>
    <row r="24" spans="1:10">
      <c r="A24" s="546"/>
      <c r="J24" s="545"/>
    </row>
    <row r="25" spans="1:10">
      <c r="A25" s="546">
        <f>+A23+1</f>
        <v>8</v>
      </c>
      <c r="B25" s="550" t="s">
        <v>132</v>
      </c>
      <c r="C25" s="548"/>
      <c r="D25" s="548"/>
      <c r="E25" s="548"/>
      <c r="F25" s="552"/>
      <c r="G25" s="559"/>
      <c r="H25" s="548"/>
      <c r="I25" s="552"/>
      <c r="J25" s="545"/>
    </row>
    <row r="26" spans="1:10">
      <c r="A26" s="546">
        <f t="shared" si="0"/>
        <v>9</v>
      </c>
      <c r="B26" s="560" t="s">
        <v>542</v>
      </c>
      <c r="C26" s="561"/>
      <c r="D26" s="562">
        <f>+'Appendix A'!E$172</f>
        <v>0.26134999999999997</v>
      </c>
      <c r="E26" s="548"/>
      <c r="F26" s="552"/>
      <c r="G26" s="559"/>
      <c r="H26" s="548"/>
      <c r="I26" s="552"/>
      <c r="J26" s="545"/>
    </row>
    <row r="27" spans="1:10">
      <c r="A27" s="546">
        <f t="shared" si="0"/>
        <v>10</v>
      </c>
      <c r="B27" s="563" t="s">
        <v>134</v>
      </c>
      <c r="C27" s="561"/>
      <c r="D27" s="562">
        <f>IF(I22=0,0,('4 - Incentives'!D26/(1-'4 - Incentives'!D26))*(1-'4 - Incentives'!I19/'4 - Incentives'!I22))</f>
        <v>0.25872018356843285</v>
      </c>
      <c r="E27" s="548"/>
      <c r="F27" s="552"/>
      <c r="G27" s="559"/>
      <c r="H27" s="548"/>
      <c r="I27" s="552"/>
      <c r="J27" s="545"/>
    </row>
    <row r="28" spans="1:10">
      <c r="A28" s="546">
        <f t="shared" si="0"/>
        <v>11</v>
      </c>
      <c r="B28" s="563" t="str">
        <f>"       where WCLTD=(line "&amp;A19&amp;") and R= (line "&amp;A22&amp;")"</f>
        <v xml:space="preserve">       where WCLTD=(line 3) and R= (line 6)</v>
      </c>
      <c r="C28" s="561"/>
      <c r="D28" s="561"/>
      <c r="E28" s="548"/>
      <c r="F28" s="552"/>
      <c r="G28" s="559"/>
      <c r="H28" s="548"/>
      <c r="I28" s="552"/>
      <c r="J28" s="545"/>
    </row>
    <row r="29" spans="1:10">
      <c r="A29" s="546">
        <f t="shared" si="0"/>
        <v>12</v>
      </c>
      <c r="B29" s="563" t="str">
        <f>"       and FIT, SIT &amp; p are as given in footnote "&amp;'Appendix A'!$A$282&amp;" on Appendix A."</f>
        <v xml:space="preserve">       and FIT, SIT &amp; p are as given in footnote F on Appendix A.</v>
      </c>
      <c r="C29" s="561"/>
      <c r="D29" s="561"/>
      <c r="E29" s="548"/>
      <c r="F29" s="552"/>
      <c r="G29" s="559"/>
      <c r="H29" s="548"/>
      <c r="I29" s="552"/>
      <c r="J29" s="545"/>
    </row>
    <row r="30" spans="1:10">
      <c r="A30" s="546">
        <f t="shared" si="0"/>
        <v>13</v>
      </c>
      <c r="B30" s="560" t="str">
        <f>"      1 / (1 - T)  = (T from line "&amp;A26&amp;")"</f>
        <v xml:space="preserve">      1 / (1 - T)  = (T from line 9)</v>
      </c>
      <c r="C30" s="561"/>
      <c r="D30" s="562">
        <f>IF(D26&gt;0,1/(1-D26),0)</f>
        <v>1.3538211602247343</v>
      </c>
      <c r="E30" s="548"/>
      <c r="F30" s="552"/>
      <c r="G30" s="559"/>
      <c r="H30" s="548"/>
      <c r="I30" s="552"/>
      <c r="J30" s="545"/>
    </row>
    <row r="31" spans="1:10">
      <c r="A31" s="546">
        <f t="shared" si="0"/>
        <v>14</v>
      </c>
      <c r="B31" s="563" t="s">
        <v>543</v>
      </c>
      <c r="C31" s="561"/>
      <c r="D31" s="564">
        <v>0</v>
      </c>
      <c r="E31" s="548"/>
      <c r="F31" s="552"/>
      <c r="G31" s="559"/>
      <c r="H31" s="548"/>
      <c r="I31" s="552"/>
      <c r="J31" s="545"/>
    </row>
    <row r="32" spans="1:10">
      <c r="A32" s="546">
        <f>A31+1</f>
        <v>15</v>
      </c>
      <c r="B32" s="563" t="s">
        <v>544</v>
      </c>
      <c r="C32" s="561"/>
      <c r="D32" s="545">
        <f>'Appendix A'!E178</f>
        <v>216752.18303662087</v>
      </c>
      <c r="E32" s="548"/>
      <c r="F32" s="565"/>
      <c r="G32" s="554"/>
      <c r="H32" s="548"/>
      <c r="I32" s="552"/>
      <c r="J32" s="566"/>
    </row>
    <row r="33" spans="1:11">
      <c r="A33" s="546">
        <f t="shared" si="0"/>
        <v>16</v>
      </c>
      <c r="B33" s="560" t="str">
        <f>"Income Tax Calculation (line "&amp;A27&amp;" * line "&amp;A23&amp;")"</f>
        <v>Income Tax Calculation (line 10 * line 7)</v>
      </c>
      <c r="C33" s="567"/>
      <c r="D33" s="545">
        <f>+D27*J23</f>
        <v>4546939.3577172291</v>
      </c>
      <c r="E33" s="548"/>
      <c r="F33" s="568"/>
      <c r="G33" s="569"/>
      <c r="H33" s="568"/>
      <c r="J33" s="545"/>
    </row>
    <row r="34" spans="1:11">
      <c r="A34" s="546">
        <f t="shared" si="0"/>
        <v>17</v>
      </c>
      <c r="B34" s="563" t="str">
        <f>"ITC adjustment (line "&amp;A30&amp;" * line "&amp;A31&amp;")"</f>
        <v>ITC adjustment (line 13 * line 14)</v>
      </c>
      <c r="C34" s="567"/>
      <c r="D34" s="570">
        <f>+D30*D31</f>
        <v>0</v>
      </c>
      <c r="E34" s="568"/>
      <c r="F34" s="565" t="s">
        <v>79</v>
      </c>
      <c r="G34" s="571">
        <f>+'Appendix A'!H97</f>
        <v>1</v>
      </c>
      <c r="H34" s="568"/>
      <c r="J34" s="566">
        <f>G34*D34</f>
        <v>0</v>
      </c>
    </row>
    <row r="35" spans="1:11">
      <c r="A35" s="546">
        <f>A34+1</f>
        <v>18</v>
      </c>
      <c r="B35" s="572" t="s">
        <v>140</v>
      </c>
      <c r="C35" s="573" t="str">
        <f>"(Sum lines "&amp;A32&amp;" to "&amp;A34&amp;")"</f>
        <v>(Sum lines 15 to 17)</v>
      </c>
      <c r="D35" s="574">
        <f>SUM(D32:D34)</f>
        <v>4763691.5407538498</v>
      </c>
      <c r="E35" s="568"/>
      <c r="J35" s="574">
        <f>SUM(J33:J34)</f>
        <v>0</v>
      </c>
    </row>
    <row r="36" spans="1:11">
      <c r="A36" s="546"/>
      <c r="B36" s="552"/>
      <c r="C36" s="575"/>
      <c r="D36" s="571"/>
      <c r="E36" s="568"/>
      <c r="F36" s="565"/>
      <c r="G36" s="554"/>
      <c r="H36" s="568"/>
      <c r="I36" s="571"/>
      <c r="J36" s="545"/>
    </row>
    <row r="37" spans="1:11">
      <c r="A37" s="546"/>
      <c r="J37" s="545"/>
    </row>
    <row r="38" spans="1:11">
      <c r="A38" s="546">
        <f>+A35+1</f>
        <v>19</v>
      </c>
      <c r="B38" s="552" t="s">
        <v>545</v>
      </c>
      <c r="E38" s="166" t="str">
        <f>"Sum lines "&amp;A23&amp;" and "&amp;A35&amp;""</f>
        <v>Sum lines 7 and 18</v>
      </c>
      <c r="J38" s="545">
        <f>+J35+J23</f>
        <v>17574737.676059742</v>
      </c>
      <c r="K38" s="576"/>
    </row>
    <row r="39" spans="1:11">
      <c r="A39" s="577">
        <f>+A38+1</f>
        <v>20</v>
      </c>
      <c r="B39" s="166" t="s">
        <v>532</v>
      </c>
      <c r="E39" s="166" t="str">
        <f>"Line "&amp;A14&amp;""</f>
        <v>Line 1</v>
      </c>
      <c r="J39" s="566">
        <f>+J14</f>
        <v>251265103.66802114</v>
      </c>
    </row>
    <row r="40" spans="1:11">
      <c r="A40" s="577">
        <f>+A39+1</f>
        <v>21</v>
      </c>
      <c r="B40" s="166" t="s">
        <v>546</v>
      </c>
      <c r="E40" s="166" t="str">
        <f>"Line "&amp;A38&amp;" / line "&amp;A39&amp;""</f>
        <v>Line 19 / line 20</v>
      </c>
      <c r="J40" s="578">
        <f>IF(J39=0,0,J38/J39)</f>
        <v>6.9945000000000007E-2</v>
      </c>
    </row>
    <row r="41" spans="1:11">
      <c r="A41" s="577"/>
      <c r="B41" s="552"/>
      <c r="J41" s="545"/>
    </row>
    <row r="43" spans="1:11">
      <c r="A43" s="579" t="s">
        <v>547</v>
      </c>
      <c r="J43" s="534" t="str">
        <f>+F4</f>
        <v>Attachment 4</v>
      </c>
    </row>
    <row r="44" spans="1:11">
      <c r="A44" s="580"/>
      <c r="J44" s="534"/>
    </row>
    <row r="45" spans="1:11">
      <c r="A45" s="577"/>
      <c r="B45" s="552"/>
      <c r="J45" s="544" t="s">
        <v>531</v>
      </c>
    </row>
    <row r="46" spans="1:11">
      <c r="A46" s="574">
        <f>+A40+1</f>
        <v>22</v>
      </c>
      <c r="B46" s="166" t="s">
        <v>532</v>
      </c>
      <c r="J46" s="554">
        <f>+J14</f>
        <v>251265103.66802114</v>
      </c>
    </row>
    <row r="47" spans="1:11">
      <c r="A47" s="574"/>
      <c r="J47" s="576"/>
    </row>
    <row r="48" spans="1:11">
      <c r="A48" s="577">
        <f>+A46+1</f>
        <v>23</v>
      </c>
      <c r="B48" s="547" t="s">
        <v>548</v>
      </c>
      <c r="C48" s="548"/>
      <c r="D48" s="548"/>
      <c r="E48" s="548"/>
      <c r="F48" s="548"/>
      <c r="G48" s="548"/>
      <c r="H48" s="548"/>
      <c r="I48" s="549"/>
      <c r="J48" s="576"/>
    </row>
    <row r="49" spans="1:11">
      <c r="A49" s="577"/>
      <c r="B49" s="550"/>
      <c r="C49" s="548"/>
      <c r="D49" s="548"/>
      <c r="E49" s="548"/>
      <c r="F49" s="548"/>
      <c r="G49" s="549"/>
      <c r="H49" s="548"/>
      <c r="I49" s="548"/>
      <c r="J49" s="576"/>
    </row>
    <row r="50" spans="1:11" ht="16.2" thickBot="1">
      <c r="A50" s="577"/>
      <c r="B50" s="550"/>
      <c r="C50" s="548"/>
      <c r="D50" s="551" t="s">
        <v>152</v>
      </c>
      <c r="E50" s="551" t="s">
        <v>163</v>
      </c>
      <c r="F50" s="548"/>
      <c r="G50" s="551" t="s">
        <v>164</v>
      </c>
      <c r="H50" s="548"/>
      <c r="I50" s="551" t="s">
        <v>165</v>
      </c>
      <c r="J50" s="576"/>
    </row>
    <row r="51" spans="1:11">
      <c r="A51" s="577">
        <f>+A48+1</f>
        <v>24</v>
      </c>
      <c r="B51" s="547" t="s">
        <v>534</v>
      </c>
      <c r="C51" s="552" t="s">
        <v>549</v>
      </c>
      <c r="D51" s="553">
        <f t="shared" ref="D51:E53" si="1">+D19</f>
        <v>120527237.89538461</v>
      </c>
      <c r="E51" s="554">
        <f t="shared" si="1"/>
        <v>0.46999999999999992</v>
      </c>
      <c r="F51" s="554"/>
      <c r="G51" s="556">
        <f>G19</f>
        <v>0.04</v>
      </c>
      <c r="H51" s="554"/>
      <c r="I51" s="581">
        <f>E51*G51</f>
        <v>1.8799999999999997E-2</v>
      </c>
      <c r="J51" s="576"/>
    </row>
    <row r="52" spans="1:11">
      <c r="A52" s="577">
        <f>+A51+1</f>
        <v>25</v>
      </c>
      <c r="B52" s="547" t="s">
        <v>536</v>
      </c>
      <c r="C52" s="552" t="s">
        <v>550</v>
      </c>
      <c r="D52" s="553">
        <f t="shared" si="1"/>
        <v>0</v>
      </c>
      <c r="E52" s="554">
        <f t="shared" si="1"/>
        <v>0</v>
      </c>
      <c r="F52" s="554"/>
      <c r="G52" s="554">
        <f>+G20</f>
        <v>0</v>
      </c>
      <c r="H52" s="554"/>
      <c r="I52" s="581">
        <f>E52*G52</f>
        <v>0</v>
      </c>
      <c r="J52" s="576"/>
    </row>
    <row r="53" spans="1:11" ht="16.2" thickBot="1">
      <c r="A53" s="577">
        <f>+A52+1</f>
        <v>26</v>
      </c>
      <c r="B53" s="547" t="s">
        <v>551</v>
      </c>
      <c r="C53" s="552" t="s">
        <v>552</v>
      </c>
      <c r="D53" s="582">
        <f t="shared" si="1"/>
        <v>135913693.7969231</v>
      </c>
      <c r="E53" s="554">
        <f t="shared" si="1"/>
        <v>0.53</v>
      </c>
      <c r="F53" s="554"/>
      <c r="G53" s="555">
        <f>G21+0.01</f>
        <v>0.1065</v>
      </c>
      <c r="H53" s="554"/>
      <c r="I53" s="583">
        <f>E53*G53</f>
        <v>5.6445000000000002E-2</v>
      </c>
      <c r="J53" s="576"/>
      <c r="K53" s="584"/>
    </row>
    <row r="54" spans="1:11">
      <c r="A54" s="577">
        <f>+A53+1</f>
        <v>27</v>
      </c>
      <c r="B54" s="550" t="s">
        <v>553</v>
      </c>
      <c r="C54" s="552"/>
      <c r="D54" s="553">
        <f>SUM(D51:D53)</f>
        <v>256440931.69230771</v>
      </c>
      <c r="E54" s="554" t="s">
        <v>22</v>
      </c>
      <c r="F54" s="554"/>
      <c r="G54" s="554"/>
      <c r="H54" s="554"/>
      <c r="I54" s="581">
        <f>SUM(I51:I53)</f>
        <v>7.5245000000000006E-2</v>
      </c>
      <c r="J54" s="576"/>
    </row>
    <row r="55" spans="1:11">
      <c r="A55" s="577">
        <f t="shared" ref="A55:A66" si="2">+A54+1</f>
        <v>28</v>
      </c>
      <c r="B55" s="550" t="s">
        <v>554</v>
      </c>
      <c r="C55" s="552"/>
      <c r="D55" s="558"/>
      <c r="E55" s="548"/>
      <c r="F55" s="548"/>
      <c r="G55" s="548"/>
      <c r="H55" s="548"/>
      <c r="I55" s="585"/>
      <c r="J55" s="554">
        <f>+I54*J46</f>
        <v>18906442.725500252</v>
      </c>
    </row>
    <row r="56" spans="1:11">
      <c r="A56" s="577"/>
      <c r="J56" s="576"/>
    </row>
    <row r="57" spans="1:11">
      <c r="A57" s="577">
        <f>+A55+1</f>
        <v>29</v>
      </c>
      <c r="B57" s="550" t="s">
        <v>132</v>
      </c>
      <c r="C57" s="548"/>
      <c r="D57" s="548"/>
      <c r="E57" s="548"/>
      <c r="F57" s="552"/>
      <c r="G57" s="559"/>
      <c r="H57" s="548"/>
      <c r="I57" s="552"/>
      <c r="J57" s="576"/>
    </row>
    <row r="58" spans="1:11">
      <c r="A58" s="577">
        <f t="shared" si="2"/>
        <v>30</v>
      </c>
      <c r="B58" s="560" t="s">
        <v>542</v>
      </c>
      <c r="C58" s="561"/>
      <c r="D58" s="562">
        <f>+'Appendix A'!E$172</f>
        <v>0.26134999999999997</v>
      </c>
      <c r="E58" s="548"/>
      <c r="F58" s="552"/>
      <c r="G58" s="559"/>
      <c r="H58" s="548"/>
      <c r="I58" s="552"/>
      <c r="J58" s="576"/>
    </row>
    <row r="59" spans="1:11">
      <c r="A59" s="577">
        <f t="shared" si="2"/>
        <v>31</v>
      </c>
      <c r="B59" s="563" t="s">
        <v>134</v>
      </c>
      <c r="C59" s="561"/>
      <c r="D59" s="562">
        <f>IF('4 - Incentives'!D58=0,0,('4 - Incentives'!D58/(1-'4 - Incentives'!D58))*(1-'4 - Incentives'!I51/'4 - Incentives'!I54))</f>
        <v>0.26541877053472157</v>
      </c>
      <c r="E59" s="548"/>
      <c r="F59" s="552"/>
      <c r="G59" s="559"/>
      <c r="H59" s="548"/>
      <c r="I59" s="552"/>
      <c r="J59" s="576"/>
    </row>
    <row r="60" spans="1:11">
      <c r="A60" s="577">
        <f t="shared" si="2"/>
        <v>32</v>
      </c>
      <c r="B60" s="563" t="str">
        <f>"       where WCLTD=(line "&amp;A51&amp;") and R= (line "&amp;A54&amp;")"</f>
        <v xml:space="preserve">       where WCLTD=(line 24) and R= (line 27)</v>
      </c>
      <c r="C60" s="561"/>
      <c r="E60" s="548"/>
      <c r="F60" s="552"/>
      <c r="G60" s="559"/>
      <c r="H60" s="548"/>
      <c r="I60" s="552"/>
      <c r="J60" s="576"/>
    </row>
    <row r="61" spans="1:11">
      <c r="A61" s="577">
        <f t="shared" si="2"/>
        <v>33</v>
      </c>
      <c r="B61" s="563" t="str">
        <f>"       and FIT, SIT &amp; p are as given in footnote "&amp;'Appendix A'!$A$282&amp;" on Appendix A."</f>
        <v xml:space="preserve">       and FIT, SIT &amp; p are as given in footnote F on Appendix A.</v>
      </c>
      <c r="C61" s="561"/>
      <c r="D61" s="561"/>
      <c r="E61" s="548"/>
      <c r="F61" s="552"/>
      <c r="G61" s="559"/>
      <c r="H61" s="548"/>
      <c r="I61" s="552"/>
      <c r="J61" s="576"/>
    </row>
    <row r="62" spans="1:11">
      <c r="A62" s="577">
        <f t="shared" si="2"/>
        <v>34</v>
      </c>
      <c r="B62" s="560" t="str">
        <f>"      1 / (1 - T)  = (T from line "&amp;A58&amp;")"</f>
        <v xml:space="preserve">      1 / (1 - T)  = (T from line 30)</v>
      </c>
      <c r="C62" s="561"/>
      <c r="D62" s="562">
        <f>IF(D58&gt;0,1/(1-D58),0)</f>
        <v>1.3538211602247343</v>
      </c>
      <c r="E62" s="548"/>
      <c r="F62" s="552"/>
      <c r="G62" s="559"/>
      <c r="H62" s="548"/>
      <c r="I62" s="552"/>
      <c r="J62" s="576"/>
    </row>
    <row r="63" spans="1:11">
      <c r="A63" s="577">
        <f t="shared" si="2"/>
        <v>35</v>
      </c>
      <c r="B63" s="563" t="str">
        <f>"Amortized Investment Tax Credit (line "&amp;A31&amp;")"</f>
        <v>Amortized Investment Tax Credit (line 14)</v>
      </c>
      <c r="C63" s="561"/>
      <c r="D63" s="586">
        <f>D31</f>
        <v>0</v>
      </c>
      <c r="E63" s="548"/>
      <c r="F63" s="552"/>
      <c r="G63" s="559"/>
      <c r="H63" s="548"/>
      <c r="I63" s="552"/>
      <c r="J63" s="576"/>
    </row>
    <row r="64" spans="1:11">
      <c r="A64" s="577">
        <f>A63+1</f>
        <v>36</v>
      </c>
      <c r="B64" s="563" t="s">
        <v>555</v>
      </c>
      <c r="C64" s="561"/>
      <c r="D64" s="545">
        <f>D32</f>
        <v>216752.18303662087</v>
      </c>
      <c r="E64" s="548"/>
      <c r="F64" s="565"/>
      <c r="G64" s="566"/>
      <c r="H64" s="548"/>
      <c r="I64" s="552"/>
      <c r="J64" s="566"/>
    </row>
    <row r="65" spans="1:10">
      <c r="A65" s="577">
        <f t="shared" si="2"/>
        <v>37</v>
      </c>
      <c r="B65" s="560" t="str">
        <f>"Income Tax Calculation (line "&amp;A59&amp;" * line "&amp;A55&amp;")"</f>
        <v>Income Tax Calculation (line 31 * line 28)</v>
      </c>
      <c r="C65" s="567"/>
      <c r="D65" s="545">
        <f>+D59*J55</f>
        <v>5018124.7833874077</v>
      </c>
      <c r="E65" s="548"/>
      <c r="F65" s="568"/>
      <c r="G65" s="569"/>
      <c r="H65" s="568"/>
      <c r="J65" s="545"/>
    </row>
    <row r="66" spans="1:10">
      <c r="A66" s="577">
        <f t="shared" si="2"/>
        <v>38</v>
      </c>
      <c r="B66" s="587" t="str">
        <f>"ITC adjustment (line "&amp;A62&amp;" * line "&amp;A63&amp;")"</f>
        <v>ITC adjustment (line 34 * line 35)</v>
      </c>
      <c r="C66" s="588"/>
      <c r="D66" s="589">
        <f>+D62*D63</f>
        <v>0</v>
      </c>
      <c r="E66" s="568"/>
      <c r="F66" s="565" t="s">
        <v>79</v>
      </c>
      <c r="G66" s="571">
        <f>+'Appendix A'!H97</f>
        <v>1</v>
      </c>
      <c r="H66" s="568"/>
      <c r="J66" s="566">
        <f>G66*D66</f>
        <v>0</v>
      </c>
    </row>
    <row r="67" spans="1:10">
      <c r="A67" s="577">
        <f>+A66+1</f>
        <v>39</v>
      </c>
      <c r="B67" s="590" t="s">
        <v>140</v>
      </c>
      <c r="C67" s="563" t="str">
        <f>"(Sum lines "&amp;A64&amp;" to "&amp;A66&amp;")"</f>
        <v>(Sum lines 36 to 38)</v>
      </c>
      <c r="D67" s="574">
        <f>SUM(D64:D66)</f>
        <v>5234876.9664240284</v>
      </c>
      <c r="E67" s="568"/>
      <c r="J67" s="574">
        <f>SUM(J63:J66)</f>
        <v>0</v>
      </c>
    </row>
    <row r="68" spans="1:10">
      <c r="B68" s="591"/>
      <c r="C68" s="552"/>
      <c r="D68" s="592"/>
      <c r="E68" s="568"/>
      <c r="F68" s="568"/>
      <c r="G68" s="569"/>
      <c r="H68" s="568"/>
      <c r="I68" s="592"/>
      <c r="J68" s="571"/>
    </row>
    <row r="69" spans="1:10">
      <c r="A69" s="577"/>
      <c r="J69" s="576"/>
    </row>
    <row r="70" spans="1:10">
      <c r="A70" s="577">
        <f>+A67+1</f>
        <v>40</v>
      </c>
      <c r="B70" s="552" t="s">
        <v>556</v>
      </c>
      <c r="E70" s="166" t="str">
        <f>"Sum lines "&amp;A55&amp;" and "&amp;A67&amp;""</f>
        <v>Sum lines 28 and 39</v>
      </c>
      <c r="J70" s="545">
        <f>+J67+J55</f>
        <v>18906442.725500252</v>
      </c>
    </row>
    <row r="71" spans="1:10">
      <c r="A71" s="577">
        <f>+A70+1</f>
        <v>41</v>
      </c>
      <c r="B71" s="166" t="s">
        <v>532</v>
      </c>
      <c r="E71" s="166" t="str">
        <f>"Line "&amp;A46&amp;""</f>
        <v>Line 22</v>
      </c>
      <c r="J71" s="566">
        <f>+J46</f>
        <v>251265103.66802114</v>
      </c>
    </row>
    <row r="72" spans="1:10">
      <c r="A72" s="577">
        <f>+A71+1</f>
        <v>42</v>
      </c>
      <c r="B72" s="166" t="s">
        <v>557</v>
      </c>
      <c r="E72" s="166" t="str">
        <f>"Line "&amp;A70&amp;" / line "&amp;A71&amp;""</f>
        <v>Line 40 / line 41</v>
      </c>
      <c r="J72" s="578">
        <f>IF(J71=0,0,J70/J71)</f>
        <v>7.5245000000000006E-2</v>
      </c>
    </row>
    <row r="73" spans="1:10">
      <c r="A73" s="577">
        <f>+A72+1</f>
        <v>43</v>
      </c>
      <c r="B73" s="166" t="s">
        <v>558</v>
      </c>
      <c r="E73" s="166" t="str">
        <f>"Line "&amp;A72&amp;" - Line "&amp;A40&amp;""</f>
        <v>Line 42 - Line 21</v>
      </c>
      <c r="J73" s="578">
        <f>+J72-J40</f>
        <v>5.2999999999999992E-3</v>
      </c>
    </row>
    <row r="76" spans="1:10">
      <c r="A76" s="579" t="s">
        <v>559</v>
      </c>
      <c r="J76" s="593"/>
    </row>
    <row r="77" spans="1:10">
      <c r="A77" s="580"/>
      <c r="J77" s="594" t="s">
        <v>560</v>
      </c>
    </row>
    <row r="78" spans="1:10">
      <c r="A78" s="577"/>
      <c r="B78" s="552"/>
    </row>
    <row r="79" spans="1:10">
      <c r="A79" s="574">
        <f>+A73+1</f>
        <v>44</v>
      </c>
      <c r="B79" s="166" t="s">
        <v>532</v>
      </c>
      <c r="J79" s="545">
        <f>+J46</f>
        <v>251265103.66802114</v>
      </c>
    </row>
    <row r="80" spans="1:10">
      <c r="A80" s="574"/>
      <c r="J80" s="576"/>
    </row>
    <row r="81" spans="1:10">
      <c r="A81" s="577">
        <f>+A79+1</f>
        <v>45</v>
      </c>
      <c r="B81" s="547" t="s">
        <v>561</v>
      </c>
      <c r="C81" s="548"/>
      <c r="D81" s="548"/>
      <c r="E81" s="548"/>
      <c r="F81" s="548"/>
      <c r="G81" s="548"/>
      <c r="H81" s="548"/>
      <c r="I81" s="549"/>
      <c r="J81" s="576"/>
    </row>
    <row r="82" spans="1:10">
      <c r="A82" s="577"/>
      <c r="B82" s="550"/>
      <c r="C82" s="548"/>
      <c r="D82" s="548"/>
      <c r="E82" s="548"/>
      <c r="F82" s="548"/>
      <c r="G82" s="549"/>
      <c r="H82" s="548"/>
      <c r="I82" s="548"/>
      <c r="J82" s="576"/>
    </row>
    <row r="83" spans="1:10" ht="16.2" thickBot="1">
      <c r="A83" s="577"/>
      <c r="B83" s="550"/>
      <c r="C83" s="548"/>
      <c r="D83" s="595"/>
      <c r="E83" s="551" t="s">
        <v>163</v>
      </c>
      <c r="F83" s="548"/>
      <c r="G83" s="551" t="s">
        <v>164</v>
      </c>
      <c r="H83" s="548"/>
      <c r="I83" s="551" t="s">
        <v>165</v>
      </c>
      <c r="J83" s="576"/>
    </row>
    <row r="84" spans="1:10">
      <c r="A84" s="577">
        <f>+A81+1</f>
        <v>46</v>
      </c>
      <c r="B84" s="547" t="s">
        <v>534</v>
      </c>
      <c r="C84" s="552" t="s">
        <v>562</v>
      </c>
      <c r="D84" s="596"/>
      <c r="E84" s="597">
        <f>1-E85-E86</f>
        <v>0.45999999999999996</v>
      </c>
      <c r="F84" s="554"/>
      <c r="G84" s="598">
        <f>+G19</f>
        <v>0.04</v>
      </c>
      <c r="H84" s="599"/>
      <c r="I84" s="599">
        <f>E84*G84</f>
        <v>1.84E-2</v>
      </c>
      <c r="J84" s="576"/>
    </row>
    <row r="85" spans="1:10">
      <c r="A85" s="577">
        <f>+A84+1</f>
        <v>47</v>
      </c>
      <c r="B85" s="547" t="s">
        <v>536</v>
      </c>
      <c r="C85" s="552" t="s">
        <v>550</v>
      </c>
      <c r="D85" s="596"/>
      <c r="E85" s="597">
        <f>+E20</f>
        <v>0</v>
      </c>
      <c r="F85" s="554"/>
      <c r="G85" s="598">
        <f>+G20</f>
        <v>0</v>
      </c>
      <c r="H85" s="599"/>
      <c r="I85" s="599">
        <f>E85*G85</f>
        <v>0</v>
      </c>
      <c r="J85" s="576"/>
    </row>
    <row r="86" spans="1:10" ht="16.2" thickBot="1">
      <c r="A86" s="577">
        <f>+A85+1</f>
        <v>48</v>
      </c>
      <c r="B86" s="547" t="s">
        <v>563</v>
      </c>
      <c r="C86" s="552" t="s">
        <v>564</v>
      </c>
      <c r="D86" s="600"/>
      <c r="E86" s="601">
        <f>+E21+0.01</f>
        <v>0.54</v>
      </c>
      <c r="F86" s="554"/>
      <c r="G86" s="598">
        <f>+G21</f>
        <v>9.6500000000000002E-2</v>
      </c>
      <c r="H86" s="599"/>
      <c r="I86" s="602">
        <f>E86*G86</f>
        <v>5.2110000000000004E-2</v>
      </c>
      <c r="J86" s="576"/>
    </row>
    <row r="87" spans="1:10">
      <c r="A87" s="577">
        <f>+A86+1</f>
        <v>49</v>
      </c>
      <c r="B87" s="550" t="s">
        <v>565</v>
      </c>
      <c r="C87" s="552"/>
      <c r="D87" s="596"/>
      <c r="E87" s="554" t="s">
        <v>22</v>
      </c>
      <c r="F87" s="554"/>
      <c r="G87" s="599"/>
      <c r="H87" s="599"/>
      <c r="I87" s="599">
        <f>SUM(I84:I86)</f>
        <v>7.0510000000000003E-2</v>
      </c>
      <c r="J87" s="576"/>
    </row>
    <row r="88" spans="1:10">
      <c r="A88" s="577">
        <f t="shared" ref="A88:A100" si="3">+A87+1</f>
        <v>50</v>
      </c>
      <c r="B88" s="550" t="str">
        <f>"Line "&amp;A87&amp;" x line "&amp;A79&amp;""</f>
        <v>Line 49 x line 44</v>
      </c>
      <c r="C88" s="552"/>
      <c r="D88" s="558"/>
      <c r="E88" s="548"/>
      <c r="F88" s="548"/>
      <c r="G88" s="599"/>
      <c r="H88" s="599"/>
      <c r="I88" s="554"/>
      <c r="J88" s="545">
        <f>+I87*J79</f>
        <v>17716702.459632173</v>
      </c>
    </row>
    <row r="89" spans="1:10">
      <c r="A89" s="577"/>
      <c r="J89" s="576"/>
    </row>
    <row r="90" spans="1:10">
      <c r="A90" s="577">
        <f>+A88+1</f>
        <v>51</v>
      </c>
      <c r="B90" s="550" t="s">
        <v>132</v>
      </c>
      <c r="C90" s="548"/>
      <c r="D90" s="548"/>
      <c r="E90" s="548"/>
      <c r="F90" s="552"/>
      <c r="G90" s="559"/>
      <c r="H90" s="548"/>
      <c r="I90" s="552"/>
      <c r="J90" s="576"/>
    </row>
    <row r="91" spans="1:10">
      <c r="A91" s="577">
        <f t="shared" si="3"/>
        <v>52</v>
      </c>
      <c r="B91" s="560" t="s">
        <v>542</v>
      </c>
      <c r="C91" s="561"/>
      <c r="D91" s="562">
        <f>+'Appendix A'!E$172</f>
        <v>0.26134999999999997</v>
      </c>
      <c r="E91" s="548"/>
      <c r="F91" s="552"/>
      <c r="G91" s="559"/>
      <c r="H91" s="548"/>
      <c r="I91" s="552"/>
      <c r="J91" s="576"/>
    </row>
    <row r="92" spans="1:10">
      <c r="A92" s="577">
        <f t="shared" si="3"/>
        <v>53</v>
      </c>
      <c r="B92" s="563" t="s">
        <v>134</v>
      </c>
      <c r="C92" s="561"/>
      <c r="D92" s="562">
        <f>IF('4 - Incentives'!D91&gt;0,('4 - Incentives'!D91/(1-'4 - Incentives'!D91))*(1-'4 - Incentives'!I84/'4 - Incentives'!I87),0)</f>
        <v>0.26148944347342085</v>
      </c>
      <c r="E92" s="548"/>
      <c r="F92" s="552"/>
      <c r="G92" s="559"/>
      <c r="H92" s="548"/>
      <c r="I92" s="552"/>
      <c r="J92" s="576"/>
    </row>
    <row r="93" spans="1:10">
      <c r="A93" s="577">
        <f t="shared" si="3"/>
        <v>54</v>
      </c>
      <c r="B93" s="563" t="str">
        <f>"       where WCLTD=(line "&amp;A84&amp;") and R= (line "&amp;A87&amp;")"</f>
        <v xml:space="preserve">       where WCLTD=(line 46) and R= (line 49)</v>
      </c>
      <c r="C93" s="561"/>
      <c r="E93" s="548"/>
      <c r="F93" s="552"/>
      <c r="G93" s="559"/>
      <c r="H93" s="548"/>
      <c r="I93" s="552"/>
      <c r="J93" s="576"/>
    </row>
    <row r="94" spans="1:10">
      <c r="A94" s="577">
        <f t="shared" si="3"/>
        <v>55</v>
      </c>
      <c r="B94" s="563" t="str">
        <f>"       and FIT, SIT &amp; p are as given in footnote "&amp;'Appendix A'!$A$282&amp;" on Appendix A."</f>
        <v xml:space="preserve">       and FIT, SIT &amp; p are as given in footnote F on Appendix A.</v>
      </c>
      <c r="C94" s="561"/>
      <c r="D94" s="561"/>
      <c r="E94" s="548"/>
      <c r="F94" s="552"/>
      <c r="G94" s="559"/>
      <c r="H94" s="548"/>
      <c r="I94" s="552"/>
      <c r="J94" s="576"/>
    </row>
    <row r="95" spans="1:10">
      <c r="A95" s="577">
        <f t="shared" si="3"/>
        <v>56</v>
      </c>
      <c r="B95" s="560" t="str">
        <f>"      1 / (1 - T)  = (T from line "&amp;A91&amp;")"</f>
        <v xml:space="preserve">      1 / (1 - T)  = (T from line 52)</v>
      </c>
      <c r="C95" s="561"/>
      <c r="D95" s="562">
        <f>IF(D91&gt;0,1/(1-D91),0)</f>
        <v>1.3538211602247343</v>
      </c>
      <c r="E95" s="548"/>
      <c r="F95" s="552"/>
      <c r="G95" s="559"/>
      <c r="H95" s="548"/>
      <c r="I95" s="552"/>
      <c r="J95" s="576"/>
    </row>
    <row r="96" spans="1:10">
      <c r="A96" s="577">
        <f t="shared" si="3"/>
        <v>57</v>
      </c>
      <c r="B96" s="563" t="str">
        <f>"Amortized Investment Tax Credit (line "&amp;A31&amp;")"</f>
        <v>Amortized Investment Tax Credit (line 14)</v>
      </c>
      <c r="C96" s="561"/>
      <c r="D96" s="586">
        <f>D31</f>
        <v>0</v>
      </c>
      <c r="E96" s="548"/>
      <c r="F96" s="552"/>
      <c r="G96" s="559"/>
      <c r="H96" s="548"/>
      <c r="I96" s="552"/>
      <c r="J96" s="576"/>
    </row>
    <row r="97" spans="1:13">
      <c r="A97" s="577">
        <f t="shared" si="3"/>
        <v>58</v>
      </c>
      <c r="B97" s="563" t="s">
        <v>555</v>
      </c>
      <c r="C97" s="561"/>
      <c r="D97" s="545">
        <f>D32</f>
        <v>216752.18303662087</v>
      </c>
      <c r="E97" s="548"/>
      <c r="F97" s="565"/>
      <c r="G97" s="566"/>
      <c r="H97" s="548"/>
      <c r="I97" s="552"/>
      <c r="J97" s="545"/>
    </row>
    <row r="98" spans="1:13">
      <c r="A98" s="577">
        <f t="shared" si="3"/>
        <v>59</v>
      </c>
      <c r="B98" s="560" t="str">
        <f>"Income Tax Calculation (line "&amp;A92&amp;" * line "&amp;A88&amp;")"</f>
        <v>Income Tax Calculation (line 53 * line 50)</v>
      </c>
      <c r="C98" s="567"/>
      <c r="D98" s="545">
        <f>+D92*J88</f>
        <v>4632730.6663534036</v>
      </c>
      <c r="E98" s="548"/>
      <c r="F98" s="568"/>
      <c r="G98" s="569"/>
      <c r="H98" s="568"/>
      <c r="J98" s="545"/>
    </row>
    <row r="99" spans="1:13">
      <c r="A99" s="577">
        <f t="shared" si="3"/>
        <v>60</v>
      </c>
      <c r="B99" s="587" t="str">
        <f>"ITC adjustment (line "&amp;A95&amp;" * line "&amp;A96&amp;")"</f>
        <v>ITC adjustment (line 56 * line 57)</v>
      </c>
      <c r="C99" s="588"/>
      <c r="D99" s="589">
        <f>+D95*D96</f>
        <v>0</v>
      </c>
      <c r="E99" s="568"/>
      <c r="F99" s="565" t="s">
        <v>79</v>
      </c>
      <c r="G99" s="571">
        <f>+'Appendix A'!H97</f>
        <v>1</v>
      </c>
      <c r="H99" s="568"/>
      <c r="J99" s="566">
        <f>G99*D99</f>
        <v>0</v>
      </c>
    </row>
    <row r="100" spans="1:13">
      <c r="A100" s="577">
        <f t="shared" si="3"/>
        <v>61</v>
      </c>
      <c r="B100" s="590" t="s">
        <v>140</v>
      </c>
      <c r="C100" s="563" t="str">
        <f>"(Sum lines "&amp;A97&amp;" to "&amp;A99&amp;")"</f>
        <v>(Sum lines 58 to 60)</v>
      </c>
      <c r="D100" s="574">
        <f>SUM(D97:D99)</f>
        <v>4849482.8493900243</v>
      </c>
      <c r="E100" s="568"/>
      <c r="J100" s="574">
        <f>SUM(J99:J99)</f>
        <v>0</v>
      </c>
    </row>
    <row r="101" spans="1:13">
      <c r="B101" s="591"/>
      <c r="C101" s="552"/>
      <c r="D101" s="592"/>
      <c r="E101" s="568"/>
      <c r="F101" s="568"/>
      <c r="G101" s="569"/>
      <c r="H101" s="568"/>
      <c r="I101" s="592"/>
      <c r="J101" s="571"/>
    </row>
    <row r="102" spans="1:13">
      <c r="A102" s="577"/>
      <c r="J102" s="576"/>
    </row>
    <row r="103" spans="1:13">
      <c r="A103" s="577">
        <f>+A100+1</f>
        <v>62</v>
      </c>
      <c r="B103" s="552" t="s">
        <v>566</v>
      </c>
      <c r="E103" s="166" t="str">
        <f>"Sum lines "&amp;A88&amp;" and "&amp;A100&amp;""</f>
        <v>Sum lines 50 and 61</v>
      </c>
      <c r="J103" s="545">
        <f>+J100+J88</f>
        <v>17716702.459632173</v>
      </c>
    </row>
    <row r="104" spans="1:13">
      <c r="A104" s="577">
        <f>+A103+1</f>
        <v>63</v>
      </c>
      <c r="B104" s="166" t="s">
        <v>532</v>
      </c>
      <c r="E104" s="166" t="str">
        <f>"Line "&amp;A79&amp;""</f>
        <v>Line 44</v>
      </c>
      <c r="J104" s="566">
        <f>+J79</f>
        <v>251265103.66802114</v>
      </c>
    </row>
    <row r="105" spans="1:13">
      <c r="A105" s="577">
        <f>+A104+1</f>
        <v>64</v>
      </c>
      <c r="B105" s="166" t="s">
        <v>566</v>
      </c>
      <c r="E105" s="166" t="str">
        <f>"Line "&amp;A103&amp;" / line "&amp;A104&amp;""</f>
        <v>Line 62 / line 63</v>
      </c>
      <c r="J105" s="578">
        <f>IF(J104=0,0,J103/J104)</f>
        <v>7.0510000000000003E-2</v>
      </c>
    </row>
    <row r="106" spans="1:13">
      <c r="A106" s="577">
        <f>+A105+1</f>
        <v>65</v>
      </c>
      <c r="B106" s="166" t="s">
        <v>567</v>
      </c>
      <c r="E106" s="166" t="str">
        <f>"Line "&amp;A105&amp;" - Line "&amp;A40&amp;""</f>
        <v>Line 64 - Line 21</v>
      </c>
      <c r="J106" s="578">
        <f>+J105-J40</f>
        <v>5.6499999999999606E-4</v>
      </c>
    </row>
    <row r="107" spans="1:13">
      <c r="A107" s="603"/>
      <c r="J107" s="534" t="str">
        <f>+J43</f>
        <v>Attachment 4</v>
      </c>
    </row>
    <row r="109" spans="1:13">
      <c r="A109" s="577">
        <f>A106+1</f>
        <v>66</v>
      </c>
      <c r="B109" s="604" t="s">
        <v>568</v>
      </c>
      <c r="E109" s="548"/>
      <c r="F109" s="548"/>
      <c r="G109" s="548"/>
      <c r="H109" s="548"/>
      <c r="J109" s="605"/>
    </row>
    <row r="110" spans="1:13">
      <c r="B110" s="604"/>
      <c r="E110" s="548"/>
      <c r="F110" s="548"/>
      <c r="G110" s="548"/>
      <c r="H110" s="548"/>
      <c r="J110" s="605"/>
    </row>
    <row r="111" spans="1:13">
      <c r="A111" s="577">
        <f>A109+1</f>
        <v>67</v>
      </c>
      <c r="B111" s="604" t="s">
        <v>569</v>
      </c>
      <c r="C111" s="166" t="s">
        <v>570</v>
      </c>
      <c r="E111" s="548"/>
      <c r="F111" s="548"/>
      <c r="G111" s="548"/>
      <c r="H111" s="548"/>
      <c r="M111" s="606">
        <f>IF(M136=0,0,('Appendix A'!J153+'Appendix A'!J169)/M136)</f>
        <v>5.7638470669220669E-2</v>
      </c>
    </row>
    <row r="112" spans="1:13">
      <c r="A112" s="577">
        <f>A111+1</f>
        <v>68</v>
      </c>
      <c r="B112" s="604" t="s">
        <v>571</v>
      </c>
      <c r="C112" s="166" t="s">
        <v>572</v>
      </c>
      <c r="E112" s="548"/>
      <c r="F112" s="548"/>
      <c r="G112" s="548"/>
      <c r="H112" s="548"/>
      <c r="M112" s="606">
        <f>+'Appendix A'!M244</f>
        <v>8.8903826638528319E-2</v>
      </c>
    </row>
    <row r="113" spans="1:19">
      <c r="A113" s="607"/>
      <c r="D113" s="548"/>
      <c r="E113" s="548"/>
      <c r="F113" s="548"/>
      <c r="G113" s="548"/>
      <c r="H113" s="548"/>
      <c r="M113" s="605"/>
    </row>
    <row r="114" spans="1:19">
      <c r="A114" s="608" t="s">
        <v>573</v>
      </c>
    </row>
    <row r="115" spans="1:19">
      <c r="A115" s="607"/>
      <c r="D115" s="548"/>
      <c r="E115" s="548"/>
      <c r="F115" s="548"/>
      <c r="G115" s="548"/>
      <c r="H115" s="548"/>
      <c r="J115" s="605"/>
    </row>
    <row r="116" spans="1:19" ht="16.2" thickBot="1">
      <c r="A116" s="607"/>
      <c r="B116" s="166" t="s">
        <v>174</v>
      </c>
      <c r="C116" s="166" t="s">
        <v>175</v>
      </c>
      <c r="D116" s="543" t="s">
        <v>176</v>
      </c>
      <c r="E116" s="543" t="s">
        <v>378</v>
      </c>
      <c r="F116" s="543" t="s">
        <v>379</v>
      </c>
      <c r="G116" s="543" t="s">
        <v>380</v>
      </c>
      <c r="H116" s="543" t="s">
        <v>381</v>
      </c>
      <c r="I116" s="543" t="s">
        <v>382</v>
      </c>
      <c r="J116" s="543" t="s">
        <v>574</v>
      </c>
      <c r="K116" s="543" t="s">
        <v>575</v>
      </c>
      <c r="L116" s="543" t="s">
        <v>576</v>
      </c>
      <c r="M116" s="543" t="s">
        <v>577</v>
      </c>
      <c r="N116" s="543" t="s">
        <v>578</v>
      </c>
      <c r="O116" s="543" t="s">
        <v>579</v>
      </c>
      <c r="P116" s="543" t="s">
        <v>580</v>
      </c>
      <c r="Q116" s="543" t="s">
        <v>581</v>
      </c>
      <c r="R116" s="543" t="s">
        <v>582</v>
      </c>
    </row>
    <row r="117" spans="1:19" s="618" customFormat="1" ht="92.25" customHeight="1" thickBot="1">
      <c r="A117" s="609" t="s">
        <v>29</v>
      </c>
      <c r="B117" s="610" t="s">
        <v>467</v>
      </c>
      <c r="C117" s="611" t="s">
        <v>583</v>
      </c>
      <c r="D117" s="611" t="s">
        <v>584</v>
      </c>
      <c r="E117" s="611" t="s">
        <v>585</v>
      </c>
      <c r="F117" s="611" t="s">
        <v>586</v>
      </c>
      <c r="G117" s="612" t="s">
        <v>587</v>
      </c>
      <c r="H117" s="613" t="s">
        <v>588</v>
      </c>
      <c r="I117" s="611" t="s">
        <v>589</v>
      </c>
      <c r="J117" s="611" t="s">
        <v>590</v>
      </c>
      <c r="K117" s="611" t="s">
        <v>591</v>
      </c>
      <c r="L117" s="614" t="s">
        <v>592</v>
      </c>
      <c r="M117" s="613" t="s">
        <v>593</v>
      </c>
      <c r="N117" s="613" t="s">
        <v>594</v>
      </c>
      <c r="O117" s="613" t="s">
        <v>595</v>
      </c>
      <c r="P117" s="613" t="s">
        <v>596</v>
      </c>
      <c r="Q117" s="615" t="s">
        <v>597</v>
      </c>
      <c r="R117" s="616" t="s">
        <v>598</v>
      </c>
      <c r="S117" s="617"/>
    </row>
    <row r="118" spans="1:19">
      <c r="A118" s="619">
        <v>69</v>
      </c>
      <c r="B118" s="620" t="s">
        <v>599</v>
      </c>
      <c r="C118" s="621">
        <f>+'Appendix A'!E107+'Appendix A'!E115</f>
        <v>-4732891.8267285302</v>
      </c>
      <c r="D118" s="622">
        <v>9.6500000000000002E-2</v>
      </c>
      <c r="E118" s="623">
        <f>+'Appendix A'!I231</f>
        <v>9.6500000000000002E-2</v>
      </c>
      <c r="F118" s="622">
        <v>0</v>
      </c>
      <c r="G118" s="624">
        <f>+$J$73</f>
        <v>5.2999999999999992E-3</v>
      </c>
      <c r="H118" s="625">
        <f>+F118/0.01*G118</f>
        <v>0</v>
      </c>
      <c r="I118" s="626">
        <f>+C118*H118</f>
        <v>0</v>
      </c>
      <c r="J118" s="621">
        <v>0</v>
      </c>
      <c r="K118" s="627">
        <f>+J118*$J$106*C118</f>
        <v>0</v>
      </c>
      <c r="L118" s="628">
        <f t="shared" ref="L118:L135" si="4">+C118*M$112</f>
        <v>-420772.19446238084</v>
      </c>
      <c r="M118" s="621">
        <f>C118</f>
        <v>-4732891.8267285302</v>
      </c>
      <c r="N118" s="629">
        <f>+M111</f>
        <v>5.7638470669220669E-2</v>
      </c>
      <c r="O118" s="627">
        <f>+M118*N118</f>
        <v>-272796.64673548663</v>
      </c>
      <c r="P118" s="621"/>
      <c r="Q118" s="621"/>
      <c r="R118" s="566">
        <f>+I118+L118+O118+P118+K118-Q118</f>
        <v>-693568.84119786741</v>
      </c>
    </row>
    <row r="119" spans="1:19">
      <c r="A119" s="630" t="s">
        <v>600</v>
      </c>
      <c r="B119" s="620" t="s">
        <v>601</v>
      </c>
      <c r="C119" s="631">
        <f>'8b - WP Incentives'!E5</f>
        <v>172829107.24246424</v>
      </c>
      <c r="D119" s="632">
        <v>9.6500000000000002E-2</v>
      </c>
      <c r="E119" s="633">
        <f>+E118</f>
        <v>9.6500000000000002E-2</v>
      </c>
      <c r="F119" s="632">
        <v>0.01</v>
      </c>
      <c r="G119" s="606">
        <f t="shared" ref="G119:G135" si="5">+$J$73</f>
        <v>5.2999999999999992E-3</v>
      </c>
      <c r="H119" s="634">
        <f>+F119/0.01*G119</f>
        <v>5.2999999999999992E-3</v>
      </c>
      <c r="I119" s="635">
        <f>+C119*H119</f>
        <v>915994.26838506036</v>
      </c>
      <c r="J119" s="631">
        <v>0</v>
      </c>
      <c r="K119" s="566">
        <f t="shared" ref="K119:K135" si="6">+J119*$J$106*C119</f>
        <v>0</v>
      </c>
      <c r="L119" s="636">
        <f t="shared" si="4"/>
        <v>15365168.98837566</v>
      </c>
      <c r="M119" s="631">
        <f>'8b - WP Incentives'!D5</f>
        <v>178239627.78999999</v>
      </c>
      <c r="N119" s="637">
        <f>+N118</f>
        <v>5.7638470669220669E-2</v>
      </c>
      <c r="O119" s="566">
        <f>+M119*N119</f>
        <v>10273459.558466723</v>
      </c>
      <c r="P119" s="631">
        <f>'8b - WP Incentives'!N35-'8b - WP Incentives'!N23</f>
        <v>4117101.4242101517</v>
      </c>
      <c r="Q119" s="631"/>
      <c r="R119" s="566">
        <f t="shared" ref="R119:R134" si="7">+I119+L119+O119+P119+K119-Q119</f>
        <v>30671724.239437595</v>
      </c>
    </row>
    <row r="120" spans="1:19">
      <c r="A120" s="630" t="s">
        <v>602</v>
      </c>
      <c r="B120" s="620" t="s">
        <v>603</v>
      </c>
      <c r="C120" s="631">
        <f>'8b - WP Incentives'!E6</f>
        <v>5091410.087164199</v>
      </c>
      <c r="D120" s="632">
        <v>9.6500000000000002E-2</v>
      </c>
      <c r="E120" s="633">
        <f t="shared" ref="E120:E134" si="8">+E119</f>
        <v>9.6500000000000002E-2</v>
      </c>
      <c r="F120" s="632">
        <v>0</v>
      </c>
      <c r="G120" s="606">
        <f t="shared" si="5"/>
        <v>5.2999999999999992E-3</v>
      </c>
      <c r="H120" s="634">
        <f>+F120/0.01*G120</f>
        <v>0</v>
      </c>
      <c r="I120" s="635">
        <f>+C120*H120</f>
        <v>0</v>
      </c>
      <c r="J120" s="631">
        <v>0</v>
      </c>
      <c r="K120" s="566">
        <f t="shared" si="6"/>
        <v>0</v>
      </c>
      <c r="L120" s="636">
        <f t="shared" si="4"/>
        <v>452645.83973490028</v>
      </c>
      <c r="M120" s="631">
        <f>'8b - WP Incentives'!D6</f>
        <v>5250799.7833331805</v>
      </c>
      <c r="N120" s="637">
        <f>+N119</f>
        <v>5.7638470669220669E-2</v>
      </c>
      <c r="O120" s="566">
        <f>+M120*N120</f>
        <v>302648.06930159975</v>
      </c>
      <c r="P120" s="631">
        <f>'8b - WP Incentives'!O35-'8b - WP Incentives'!O23</f>
        <v>121286.58219413234</v>
      </c>
      <c r="Q120" s="631">
        <f>'8b - WP Incentives'!E25</f>
        <v>90529.167946980058</v>
      </c>
      <c r="R120" s="566">
        <f t="shared" si="7"/>
        <v>786051.32328365231</v>
      </c>
    </row>
    <row r="121" spans="1:19">
      <c r="A121" s="630" t="s">
        <v>604</v>
      </c>
      <c r="B121" s="620" t="s">
        <v>605</v>
      </c>
      <c r="C121" s="631">
        <f>'8b - WP Incentives'!E7</f>
        <v>78077478.165121138</v>
      </c>
      <c r="D121" s="632">
        <v>9.6500000000000002E-2</v>
      </c>
      <c r="E121" s="633">
        <f t="shared" si="8"/>
        <v>9.6500000000000002E-2</v>
      </c>
      <c r="F121" s="632">
        <v>0.01</v>
      </c>
      <c r="G121" s="606">
        <f t="shared" si="5"/>
        <v>5.2999999999999992E-3</v>
      </c>
      <c r="H121" s="634">
        <f t="shared" ref="H121:H135" si="9">+F121/0.01*G121</f>
        <v>5.2999999999999992E-3</v>
      </c>
      <c r="I121" s="635">
        <f t="shared" ref="I121:I135" si="10">+C121*H121</f>
        <v>413810.63427514199</v>
      </c>
      <c r="J121" s="631">
        <v>0</v>
      </c>
      <c r="K121" s="566">
        <f t="shared" si="6"/>
        <v>0</v>
      </c>
      <c r="L121" s="636">
        <f t="shared" si="4"/>
        <v>6941386.58316541</v>
      </c>
      <c r="M121" s="631">
        <f>'8b - WP Incentives'!D7</f>
        <v>80521741.210000008</v>
      </c>
      <c r="N121" s="637">
        <f t="shared" ref="N121:N135" si="11">+N120</f>
        <v>5.7638470669220669E-2</v>
      </c>
      <c r="O121" s="566">
        <f t="shared" ref="O121:O135" si="12">+M121*N121</f>
        <v>4641150.0189671628</v>
      </c>
      <c r="P121" s="631">
        <f>'8b - WP Incentives'!P35-'8b - WP Incentives'!P23</f>
        <v>1859946.519896019</v>
      </c>
      <c r="Q121" s="631"/>
      <c r="R121" s="566">
        <f t="shared" si="7"/>
        <v>13856293.756303735</v>
      </c>
    </row>
    <row r="122" spans="1:19">
      <c r="A122" s="630" t="s">
        <v>277</v>
      </c>
      <c r="B122" s="620"/>
      <c r="C122" s="631"/>
      <c r="D122" s="638"/>
      <c r="E122" s="633">
        <f t="shared" si="8"/>
        <v>9.6500000000000002E-2</v>
      </c>
      <c r="F122" s="631"/>
      <c r="G122" s="606">
        <f t="shared" si="5"/>
        <v>5.2999999999999992E-3</v>
      </c>
      <c r="H122" s="634">
        <f t="shared" si="9"/>
        <v>0</v>
      </c>
      <c r="I122" s="635">
        <f t="shared" si="10"/>
        <v>0</v>
      </c>
      <c r="J122" s="631"/>
      <c r="K122" s="566">
        <f t="shared" si="6"/>
        <v>0</v>
      </c>
      <c r="L122" s="636">
        <f t="shared" si="4"/>
        <v>0</v>
      </c>
      <c r="M122" s="631"/>
      <c r="N122" s="637">
        <f t="shared" si="11"/>
        <v>5.7638470669220669E-2</v>
      </c>
      <c r="O122" s="566">
        <f t="shared" si="12"/>
        <v>0</v>
      </c>
      <c r="P122" s="631"/>
      <c r="Q122" s="631"/>
      <c r="R122" s="566">
        <f t="shared" si="7"/>
        <v>0</v>
      </c>
    </row>
    <row r="123" spans="1:19">
      <c r="A123" s="630" t="s">
        <v>277</v>
      </c>
      <c r="B123" s="620"/>
      <c r="C123" s="631"/>
      <c r="D123" s="638"/>
      <c r="E123" s="633">
        <f t="shared" si="8"/>
        <v>9.6500000000000002E-2</v>
      </c>
      <c r="F123" s="631"/>
      <c r="G123" s="606">
        <f t="shared" si="5"/>
        <v>5.2999999999999992E-3</v>
      </c>
      <c r="H123" s="634">
        <f t="shared" si="9"/>
        <v>0</v>
      </c>
      <c r="I123" s="635">
        <f t="shared" si="10"/>
        <v>0</v>
      </c>
      <c r="J123" s="631"/>
      <c r="K123" s="566">
        <f t="shared" si="6"/>
        <v>0</v>
      </c>
      <c r="L123" s="636">
        <f t="shared" si="4"/>
        <v>0</v>
      </c>
      <c r="M123" s="631"/>
      <c r="N123" s="637">
        <f t="shared" si="11"/>
        <v>5.7638470669220669E-2</v>
      </c>
      <c r="O123" s="566">
        <f t="shared" si="12"/>
        <v>0</v>
      </c>
      <c r="P123" s="631"/>
      <c r="Q123" s="631"/>
      <c r="R123" s="566">
        <f t="shared" si="7"/>
        <v>0</v>
      </c>
    </row>
    <row r="124" spans="1:19">
      <c r="A124" s="630" t="s">
        <v>277</v>
      </c>
      <c r="B124" s="620"/>
      <c r="C124" s="631"/>
      <c r="D124" s="639"/>
      <c r="E124" s="633">
        <f t="shared" si="8"/>
        <v>9.6500000000000002E-2</v>
      </c>
      <c r="F124" s="631"/>
      <c r="G124" s="606">
        <f t="shared" si="5"/>
        <v>5.2999999999999992E-3</v>
      </c>
      <c r="H124" s="634">
        <f t="shared" si="9"/>
        <v>0</v>
      </c>
      <c r="I124" s="635">
        <f t="shared" si="10"/>
        <v>0</v>
      </c>
      <c r="J124" s="631"/>
      <c r="K124" s="566">
        <f t="shared" si="6"/>
        <v>0</v>
      </c>
      <c r="L124" s="636">
        <f t="shared" si="4"/>
        <v>0</v>
      </c>
      <c r="M124" s="631"/>
      <c r="N124" s="637">
        <f t="shared" si="11"/>
        <v>5.7638470669220669E-2</v>
      </c>
      <c r="O124" s="566">
        <f t="shared" si="12"/>
        <v>0</v>
      </c>
      <c r="P124" s="631"/>
      <c r="Q124" s="631"/>
      <c r="R124" s="566">
        <f t="shared" si="7"/>
        <v>0</v>
      </c>
    </row>
    <row r="125" spans="1:19">
      <c r="A125" s="630" t="s">
        <v>277</v>
      </c>
      <c r="B125" s="620"/>
      <c r="C125" s="631"/>
      <c r="D125" s="640"/>
      <c r="E125" s="633">
        <f t="shared" si="8"/>
        <v>9.6500000000000002E-2</v>
      </c>
      <c r="F125" s="631"/>
      <c r="G125" s="606">
        <f t="shared" si="5"/>
        <v>5.2999999999999992E-3</v>
      </c>
      <c r="H125" s="634">
        <f t="shared" si="9"/>
        <v>0</v>
      </c>
      <c r="I125" s="635">
        <f t="shared" si="10"/>
        <v>0</v>
      </c>
      <c r="J125" s="631"/>
      <c r="K125" s="566">
        <f t="shared" si="6"/>
        <v>0</v>
      </c>
      <c r="L125" s="636">
        <f t="shared" si="4"/>
        <v>0</v>
      </c>
      <c r="M125" s="631"/>
      <c r="N125" s="637">
        <f t="shared" si="11"/>
        <v>5.7638470669220669E-2</v>
      </c>
      <c r="O125" s="566">
        <f t="shared" si="12"/>
        <v>0</v>
      </c>
      <c r="P125" s="631"/>
      <c r="Q125" s="631"/>
      <c r="R125" s="566">
        <f t="shared" si="7"/>
        <v>0</v>
      </c>
    </row>
    <row r="126" spans="1:19">
      <c r="A126" s="630" t="s">
        <v>277</v>
      </c>
      <c r="B126" s="620"/>
      <c r="C126" s="631"/>
      <c r="D126" s="641"/>
      <c r="E126" s="633">
        <f t="shared" si="8"/>
        <v>9.6500000000000002E-2</v>
      </c>
      <c r="F126" s="631"/>
      <c r="G126" s="606">
        <f t="shared" si="5"/>
        <v>5.2999999999999992E-3</v>
      </c>
      <c r="H126" s="634">
        <f t="shared" si="9"/>
        <v>0</v>
      </c>
      <c r="I126" s="635">
        <f t="shared" si="10"/>
        <v>0</v>
      </c>
      <c r="J126" s="631"/>
      <c r="K126" s="566">
        <f t="shared" si="6"/>
        <v>0</v>
      </c>
      <c r="L126" s="636">
        <f t="shared" si="4"/>
        <v>0</v>
      </c>
      <c r="M126" s="631"/>
      <c r="N126" s="637">
        <f t="shared" si="11"/>
        <v>5.7638470669220669E-2</v>
      </c>
      <c r="O126" s="566">
        <f t="shared" si="12"/>
        <v>0</v>
      </c>
      <c r="P126" s="631"/>
      <c r="Q126" s="631"/>
      <c r="R126" s="566">
        <f t="shared" si="7"/>
        <v>0</v>
      </c>
    </row>
    <row r="127" spans="1:19">
      <c r="A127" s="630" t="s">
        <v>277</v>
      </c>
      <c r="B127" s="620"/>
      <c r="C127" s="631"/>
      <c r="D127" s="641"/>
      <c r="E127" s="633">
        <f t="shared" si="8"/>
        <v>9.6500000000000002E-2</v>
      </c>
      <c r="F127" s="631"/>
      <c r="G127" s="606">
        <f t="shared" si="5"/>
        <v>5.2999999999999992E-3</v>
      </c>
      <c r="H127" s="634">
        <f t="shared" si="9"/>
        <v>0</v>
      </c>
      <c r="I127" s="635">
        <f t="shared" si="10"/>
        <v>0</v>
      </c>
      <c r="J127" s="631"/>
      <c r="K127" s="566">
        <f t="shared" si="6"/>
        <v>0</v>
      </c>
      <c r="L127" s="636">
        <f t="shared" si="4"/>
        <v>0</v>
      </c>
      <c r="M127" s="631"/>
      <c r="N127" s="637">
        <f t="shared" si="11"/>
        <v>5.7638470669220669E-2</v>
      </c>
      <c r="O127" s="566">
        <f t="shared" si="12"/>
        <v>0</v>
      </c>
      <c r="P127" s="631"/>
      <c r="Q127" s="631"/>
      <c r="R127" s="566">
        <f t="shared" si="7"/>
        <v>0</v>
      </c>
    </row>
    <row r="128" spans="1:19">
      <c r="A128" s="630" t="s">
        <v>277</v>
      </c>
      <c r="B128" s="620"/>
      <c r="C128" s="631"/>
      <c r="D128" s="639"/>
      <c r="E128" s="633">
        <f t="shared" si="8"/>
        <v>9.6500000000000002E-2</v>
      </c>
      <c r="F128" s="631"/>
      <c r="G128" s="606">
        <f t="shared" si="5"/>
        <v>5.2999999999999992E-3</v>
      </c>
      <c r="H128" s="634">
        <f t="shared" si="9"/>
        <v>0</v>
      </c>
      <c r="I128" s="635">
        <f t="shared" si="10"/>
        <v>0</v>
      </c>
      <c r="J128" s="631"/>
      <c r="K128" s="566">
        <f t="shared" si="6"/>
        <v>0</v>
      </c>
      <c r="L128" s="636">
        <f t="shared" si="4"/>
        <v>0</v>
      </c>
      <c r="M128" s="631"/>
      <c r="N128" s="637">
        <f t="shared" si="11"/>
        <v>5.7638470669220669E-2</v>
      </c>
      <c r="O128" s="566">
        <f t="shared" si="12"/>
        <v>0</v>
      </c>
      <c r="P128" s="631"/>
      <c r="Q128" s="631"/>
      <c r="R128" s="566">
        <f t="shared" si="7"/>
        <v>0</v>
      </c>
    </row>
    <row r="129" spans="1:18">
      <c r="A129" s="630" t="s">
        <v>277</v>
      </c>
      <c r="B129" s="620"/>
      <c r="C129" s="631"/>
      <c r="D129" s="642"/>
      <c r="E129" s="633">
        <f t="shared" si="8"/>
        <v>9.6500000000000002E-2</v>
      </c>
      <c r="F129" s="631"/>
      <c r="G129" s="606">
        <f t="shared" si="5"/>
        <v>5.2999999999999992E-3</v>
      </c>
      <c r="H129" s="634">
        <f t="shared" si="9"/>
        <v>0</v>
      </c>
      <c r="I129" s="635">
        <f t="shared" si="10"/>
        <v>0</v>
      </c>
      <c r="J129" s="631"/>
      <c r="K129" s="566">
        <f t="shared" si="6"/>
        <v>0</v>
      </c>
      <c r="L129" s="636">
        <f t="shared" si="4"/>
        <v>0</v>
      </c>
      <c r="M129" s="631"/>
      <c r="N129" s="637">
        <f t="shared" si="11"/>
        <v>5.7638470669220669E-2</v>
      </c>
      <c r="O129" s="566">
        <f t="shared" si="12"/>
        <v>0</v>
      </c>
      <c r="P129" s="631"/>
      <c r="Q129" s="631"/>
      <c r="R129" s="566">
        <f t="shared" si="7"/>
        <v>0</v>
      </c>
    </row>
    <row r="130" spans="1:18">
      <c r="A130" s="630" t="s">
        <v>277</v>
      </c>
      <c r="B130" s="620"/>
      <c r="C130" s="631"/>
      <c r="D130" s="641"/>
      <c r="E130" s="633">
        <f t="shared" si="8"/>
        <v>9.6500000000000002E-2</v>
      </c>
      <c r="F130" s="631"/>
      <c r="G130" s="606">
        <f t="shared" si="5"/>
        <v>5.2999999999999992E-3</v>
      </c>
      <c r="H130" s="634">
        <f t="shared" si="9"/>
        <v>0</v>
      </c>
      <c r="I130" s="635">
        <f t="shared" si="10"/>
        <v>0</v>
      </c>
      <c r="J130" s="631"/>
      <c r="K130" s="566">
        <f t="shared" si="6"/>
        <v>0</v>
      </c>
      <c r="L130" s="636">
        <f t="shared" si="4"/>
        <v>0</v>
      </c>
      <c r="M130" s="631"/>
      <c r="N130" s="637">
        <f t="shared" si="11"/>
        <v>5.7638470669220669E-2</v>
      </c>
      <c r="O130" s="566">
        <f t="shared" si="12"/>
        <v>0</v>
      </c>
      <c r="P130" s="631"/>
      <c r="Q130" s="631"/>
      <c r="R130" s="566">
        <f t="shared" si="7"/>
        <v>0</v>
      </c>
    </row>
    <row r="131" spans="1:18">
      <c r="A131" s="630" t="s">
        <v>277</v>
      </c>
      <c r="B131" s="620"/>
      <c r="C131" s="631"/>
      <c r="D131" s="631"/>
      <c r="E131" s="633">
        <f t="shared" si="8"/>
        <v>9.6500000000000002E-2</v>
      </c>
      <c r="F131" s="631"/>
      <c r="G131" s="606">
        <f t="shared" si="5"/>
        <v>5.2999999999999992E-3</v>
      </c>
      <c r="H131" s="634">
        <f t="shared" si="9"/>
        <v>0</v>
      </c>
      <c r="I131" s="635">
        <f t="shared" si="10"/>
        <v>0</v>
      </c>
      <c r="J131" s="631"/>
      <c r="K131" s="566">
        <f t="shared" si="6"/>
        <v>0</v>
      </c>
      <c r="L131" s="636">
        <f t="shared" si="4"/>
        <v>0</v>
      </c>
      <c r="M131" s="631"/>
      <c r="N131" s="637">
        <f t="shared" si="11"/>
        <v>5.7638470669220669E-2</v>
      </c>
      <c r="O131" s="566">
        <f t="shared" si="12"/>
        <v>0</v>
      </c>
      <c r="P131" s="631"/>
      <c r="Q131" s="631"/>
      <c r="R131" s="566">
        <f t="shared" si="7"/>
        <v>0</v>
      </c>
    </row>
    <row r="132" spans="1:18">
      <c r="A132" s="630" t="s">
        <v>277</v>
      </c>
      <c r="B132" s="620"/>
      <c r="C132" s="631"/>
      <c r="D132" s="631"/>
      <c r="E132" s="633">
        <f t="shared" si="8"/>
        <v>9.6500000000000002E-2</v>
      </c>
      <c r="F132" s="631"/>
      <c r="G132" s="606">
        <f t="shared" si="5"/>
        <v>5.2999999999999992E-3</v>
      </c>
      <c r="H132" s="634">
        <f t="shared" si="9"/>
        <v>0</v>
      </c>
      <c r="I132" s="635">
        <f t="shared" si="10"/>
        <v>0</v>
      </c>
      <c r="J132" s="631"/>
      <c r="K132" s="566">
        <f t="shared" si="6"/>
        <v>0</v>
      </c>
      <c r="L132" s="636">
        <f t="shared" si="4"/>
        <v>0</v>
      </c>
      <c r="M132" s="631"/>
      <c r="N132" s="637">
        <f t="shared" si="11"/>
        <v>5.7638470669220669E-2</v>
      </c>
      <c r="O132" s="566">
        <f t="shared" si="12"/>
        <v>0</v>
      </c>
      <c r="P132" s="631"/>
      <c r="Q132" s="631"/>
      <c r="R132" s="566">
        <f t="shared" si="7"/>
        <v>0</v>
      </c>
    </row>
    <row r="133" spans="1:18">
      <c r="A133" s="630" t="s">
        <v>277</v>
      </c>
      <c r="B133" s="620"/>
      <c r="C133" s="631"/>
      <c r="D133" s="631"/>
      <c r="E133" s="633">
        <f t="shared" si="8"/>
        <v>9.6500000000000002E-2</v>
      </c>
      <c r="F133" s="631"/>
      <c r="G133" s="606">
        <f t="shared" si="5"/>
        <v>5.2999999999999992E-3</v>
      </c>
      <c r="H133" s="634">
        <f t="shared" si="9"/>
        <v>0</v>
      </c>
      <c r="I133" s="635">
        <f t="shared" si="10"/>
        <v>0</v>
      </c>
      <c r="J133" s="631"/>
      <c r="K133" s="566">
        <f t="shared" si="6"/>
        <v>0</v>
      </c>
      <c r="L133" s="636">
        <f t="shared" si="4"/>
        <v>0</v>
      </c>
      <c r="M133" s="631"/>
      <c r="N133" s="637">
        <f t="shared" si="11"/>
        <v>5.7638470669220669E-2</v>
      </c>
      <c r="O133" s="566">
        <f t="shared" si="12"/>
        <v>0</v>
      </c>
      <c r="P133" s="631"/>
      <c r="Q133" s="631"/>
      <c r="R133" s="566">
        <f t="shared" si="7"/>
        <v>0</v>
      </c>
    </row>
    <row r="134" spans="1:18">
      <c r="A134" s="630" t="s">
        <v>277</v>
      </c>
      <c r="B134" s="620"/>
      <c r="C134" s="631"/>
      <c r="D134" s="631"/>
      <c r="E134" s="633">
        <f t="shared" si="8"/>
        <v>9.6500000000000002E-2</v>
      </c>
      <c r="F134" s="631"/>
      <c r="G134" s="606">
        <f t="shared" si="5"/>
        <v>5.2999999999999992E-3</v>
      </c>
      <c r="H134" s="634">
        <f t="shared" si="9"/>
        <v>0</v>
      </c>
      <c r="I134" s="635">
        <f t="shared" si="10"/>
        <v>0</v>
      </c>
      <c r="J134" s="631"/>
      <c r="K134" s="566">
        <f t="shared" si="6"/>
        <v>0</v>
      </c>
      <c r="L134" s="636">
        <f t="shared" si="4"/>
        <v>0</v>
      </c>
      <c r="M134" s="631"/>
      <c r="N134" s="637">
        <f t="shared" si="11"/>
        <v>5.7638470669220669E-2</v>
      </c>
      <c r="O134" s="566">
        <f t="shared" si="12"/>
        <v>0</v>
      </c>
      <c r="P134" s="631"/>
      <c r="Q134" s="631"/>
      <c r="R134" s="566">
        <f t="shared" si="7"/>
        <v>0</v>
      </c>
    </row>
    <row r="135" spans="1:18" ht="16.2" thickBot="1">
      <c r="A135" s="643"/>
      <c r="B135" s="644"/>
      <c r="C135" s="645"/>
      <c r="D135" s="646"/>
      <c r="E135" s="647">
        <f>+E134</f>
        <v>9.6500000000000002E-2</v>
      </c>
      <c r="F135" s="648"/>
      <c r="G135" s="649">
        <f t="shared" si="5"/>
        <v>5.2999999999999992E-3</v>
      </c>
      <c r="H135" s="650">
        <f t="shared" si="9"/>
        <v>0</v>
      </c>
      <c r="I135" s="651">
        <f t="shared" si="10"/>
        <v>0</v>
      </c>
      <c r="J135" s="648"/>
      <c r="K135" s="652">
        <f t="shared" si="6"/>
        <v>0</v>
      </c>
      <c r="L135" s="653">
        <f t="shared" si="4"/>
        <v>0</v>
      </c>
      <c r="M135" s="648"/>
      <c r="N135" s="637">
        <f t="shared" si="11"/>
        <v>5.7638470669220669E-2</v>
      </c>
      <c r="O135" s="652">
        <f t="shared" si="12"/>
        <v>0</v>
      </c>
      <c r="P135" s="648"/>
      <c r="Q135" s="648"/>
      <c r="R135" s="652"/>
    </row>
    <row r="136" spans="1:18" ht="16.2" thickBot="1">
      <c r="A136" s="654">
        <v>70</v>
      </c>
      <c r="B136" s="655" t="s">
        <v>36</v>
      </c>
      <c r="C136" s="655">
        <f>SUM(C118:C135)</f>
        <v>251265103.66802105</v>
      </c>
      <c r="D136" s="655"/>
      <c r="E136" s="655"/>
      <c r="F136" s="655"/>
      <c r="G136" s="655"/>
      <c r="H136" s="655"/>
      <c r="I136" s="653">
        <f>SUM(I118:I135)</f>
        <v>1329804.9026602022</v>
      </c>
      <c r="J136" s="652"/>
      <c r="K136" s="653">
        <f>SUM(K118:K135)</f>
        <v>0</v>
      </c>
      <c r="L136" s="653">
        <f>SUM(L118:L135)</f>
        <v>22338429.21681359</v>
      </c>
      <c r="M136" s="656">
        <f>SUM(M118:M135)</f>
        <v>259279276.95660466</v>
      </c>
      <c r="N136" s="657"/>
      <c r="O136" s="653">
        <f>SUM(O118:O135)</f>
        <v>14944460.999999998</v>
      </c>
      <c r="P136" s="653">
        <f>SUM(P118:P135)</f>
        <v>6098334.5263003036</v>
      </c>
      <c r="Q136" s="653">
        <f>SUM(Q118:Q135)</f>
        <v>90529.167946980058</v>
      </c>
      <c r="R136" s="658">
        <f>SUM(R118:R135)</f>
        <v>44620500.477827117</v>
      </c>
    </row>
    <row r="137" spans="1:18" ht="16.2" thickBot="1">
      <c r="A137" s="607">
        <f>A136+1</f>
        <v>71</v>
      </c>
      <c r="B137" s="552" t="s">
        <v>606</v>
      </c>
      <c r="I137" s="636"/>
      <c r="J137" s="545"/>
      <c r="K137" s="545"/>
      <c r="L137" s="636"/>
      <c r="M137" s="545"/>
      <c r="N137" s="545"/>
      <c r="O137" s="545"/>
      <c r="P137" s="545"/>
      <c r="Q137" s="545"/>
      <c r="R137" s="659">
        <f>+'Appendix A'!J191</f>
        <v>44620500.477827109</v>
      </c>
    </row>
    <row r="138" spans="1:18">
      <c r="A138" s="607">
        <f>A137+1</f>
        <v>72</v>
      </c>
      <c r="B138" s="166" t="s">
        <v>607</v>
      </c>
      <c r="I138" s="636"/>
      <c r="J138" s="545"/>
      <c r="K138" s="545"/>
      <c r="L138" s="636"/>
      <c r="M138" s="545"/>
      <c r="N138" s="545"/>
      <c r="O138" s="545"/>
      <c r="P138" s="545"/>
      <c r="Q138" s="545"/>
      <c r="R138" s="545">
        <f>+R136-R137</f>
        <v>0</v>
      </c>
    </row>
    <row r="139" spans="1:18">
      <c r="A139" s="607"/>
      <c r="I139" s="636"/>
      <c r="J139" s="545"/>
      <c r="K139" s="545"/>
      <c r="L139" s="636"/>
      <c r="M139" s="545"/>
      <c r="N139" s="545"/>
      <c r="O139" s="545"/>
      <c r="P139" s="545"/>
      <c r="Q139" s="545"/>
      <c r="R139" s="545"/>
    </row>
    <row r="140" spans="1:18">
      <c r="A140" s="607" t="s">
        <v>608</v>
      </c>
      <c r="I140" s="636"/>
      <c r="J140" s="545"/>
      <c r="K140" s="545"/>
      <c r="L140" s="636"/>
      <c r="M140" s="545"/>
      <c r="N140" s="545"/>
      <c r="O140" s="545"/>
      <c r="P140" s="545"/>
      <c r="Q140" s="545"/>
      <c r="R140" s="545"/>
    </row>
    <row r="141" spans="1:18">
      <c r="A141" s="533" t="s">
        <v>195</v>
      </c>
      <c r="B141" s="166" t="s">
        <v>609</v>
      </c>
      <c r="O141" s="576"/>
    </row>
    <row r="142" spans="1:18">
      <c r="A142" s="533" t="s">
        <v>198</v>
      </c>
      <c r="B142" s="166" t="s">
        <v>610</v>
      </c>
      <c r="C142" s="660"/>
      <c r="D142" s="660"/>
      <c r="E142" s="660"/>
      <c r="F142" s="660"/>
      <c r="G142" s="660"/>
      <c r="H142" s="660"/>
      <c r="I142" s="660"/>
      <c r="J142" s="660"/>
    </row>
    <row r="143" spans="1:18">
      <c r="A143" s="533" t="s">
        <v>200</v>
      </c>
      <c r="B143" s="661" t="s">
        <v>611</v>
      </c>
    </row>
    <row r="144" spans="1:18" ht="15" customHeight="1">
      <c r="B144" s="166" t="s">
        <v>612</v>
      </c>
      <c r="C144" s="661"/>
      <c r="D144" s="661"/>
      <c r="E144" s="661"/>
      <c r="F144" s="661"/>
      <c r="G144" s="661"/>
      <c r="H144" s="661"/>
      <c r="I144" s="661"/>
      <c r="J144" s="661"/>
      <c r="K144" s="661"/>
    </row>
    <row r="145" spans="1:12">
      <c r="A145" s="533" t="s">
        <v>203</v>
      </c>
      <c r="B145" s="166" t="s">
        <v>613</v>
      </c>
    </row>
    <row r="147" spans="1:12">
      <c r="B147" s="1107" t="s">
        <v>614</v>
      </c>
      <c r="C147" s="1107"/>
      <c r="D147" s="1107" t="s">
        <v>615</v>
      </c>
      <c r="E147" s="1107"/>
      <c r="F147" s="1107"/>
      <c r="G147" s="1107" t="s">
        <v>193</v>
      </c>
      <c r="H147" s="1107"/>
      <c r="I147" s="1107"/>
      <c r="J147" s="1107"/>
      <c r="K147" s="1107"/>
    </row>
    <row r="148" spans="1:12" ht="270" customHeight="1">
      <c r="B148" s="1108" t="s">
        <v>601</v>
      </c>
      <c r="C148" s="1108"/>
      <c r="D148" s="1109" t="s">
        <v>616</v>
      </c>
      <c r="E148" s="1110"/>
      <c r="F148" s="1111"/>
      <c r="G148" s="1112" t="s">
        <v>617</v>
      </c>
      <c r="H148" s="1113"/>
      <c r="I148" s="1113"/>
      <c r="J148" s="1113"/>
      <c r="K148" s="1113"/>
      <c r="L148" s="1114"/>
    </row>
    <row r="149" spans="1:12" ht="78" customHeight="1">
      <c r="B149" s="1108" t="s">
        <v>603</v>
      </c>
      <c r="C149" s="1108"/>
      <c r="D149" s="1109" t="s">
        <v>616</v>
      </c>
      <c r="E149" s="1110"/>
      <c r="F149" s="1111"/>
      <c r="G149" s="1115" t="s">
        <v>618</v>
      </c>
      <c r="H149" s="1116"/>
      <c r="I149" s="1116"/>
      <c r="J149" s="1116"/>
      <c r="K149" s="1116"/>
      <c r="L149" s="1117"/>
    </row>
    <row r="150" spans="1:12" ht="90" customHeight="1">
      <c r="B150" s="1108" t="s">
        <v>605</v>
      </c>
      <c r="C150" s="1108"/>
      <c r="D150" s="1109" t="s">
        <v>616</v>
      </c>
      <c r="E150" s="1110"/>
      <c r="F150" s="1111"/>
      <c r="G150" s="1112" t="s">
        <v>619</v>
      </c>
      <c r="H150" s="1118"/>
      <c r="I150" s="1118"/>
      <c r="J150" s="1118"/>
      <c r="K150" s="1118"/>
      <c r="L150" s="1119"/>
    </row>
    <row r="151" spans="1:12" ht="129.75" customHeight="1">
      <c r="B151" s="1108" t="s">
        <v>620</v>
      </c>
      <c r="C151" s="1108"/>
      <c r="D151" s="1109" t="s">
        <v>616</v>
      </c>
      <c r="E151" s="1110"/>
      <c r="F151" s="1111"/>
      <c r="G151" s="1115" t="s">
        <v>621</v>
      </c>
      <c r="H151" s="1116"/>
      <c r="I151" s="1116"/>
      <c r="J151" s="1116"/>
      <c r="K151" s="1116"/>
      <c r="L151" s="1117"/>
    </row>
    <row r="152" spans="1:12" ht="27" customHeight="1">
      <c r="B152" s="1120" t="s">
        <v>622</v>
      </c>
      <c r="C152" s="1121"/>
      <c r="D152" s="1126" t="s">
        <v>616</v>
      </c>
      <c r="E152" s="1127"/>
      <c r="F152" s="1128"/>
      <c r="G152" s="1135" t="s">
        <v>622</v>
      </c>
      <c r="H152" s="1136"/>
      <c r="I152" s="1137"/>
      <c r="J152" s="1138"/>
      <c r="K152" s="1139"/>
      <c r="L152" s="1117"/>
    </row>
    <row r="153" spans="1:12" ht="38.25" customHeight="1">
      <c r="B153" s="1122"/>
      <c r="C153" s="1123"/>
      <c r="D153" s="1129"/>
      <c r="E153" s="1130"/>
      <c r="F153" s="1131"/>
      <c r="G153" s="1144" t="s">
        <v>623</v>
      </c>
      <c r="H153" s="1145"/>
      <c r="I153" s="1144" t="s">
        <v>624</v>
      </c>
      <c r="J153" s="1146"/>
      <c r="K153" s="1140"/>
      <c r="L153" s="1141"/>
    </row>
    <row r="154" spans="1:12" ht="30" customHeight="1">
      <c r="B154" s="1122"/>
      <c r="C154" s="1123"/>
      <c r="D154" s="1129"/>
      <c r="E154" s="1130"/>
      <c r="F154" s="1131"/>
      <c r="G154" s="1144" t="s">
        <v>625</v>
      </c>
      <c r="H154" s="1145"/>
      <c r="I154" s="1147" t="s">
        <v>626</v>
      </c>
      <c r="J154" s="1148"/>
      <c r="K154" s="1140"/>
      <c r="L154" s="1141"/>
    </row>
    <row r="155" spans="1:12" ht="30" customHeight="1">
      <c r="B155" s="1122"/>
      <c r="C155" s="1123"/>
      <c r="D155" s="1129"/>
      <c r="E155" s="1130"/>
      <c r="F155" s="1131"/>
      <c r="G155" s="1144" t="s">
        <v>627</v>
      </c>
      <c r="H155" s="1145"/>
      <c r="I155" s="1147" t="s">
        <v>628</v>
      </c>
      <c r="J155" s="1148"/>
      <c r="K155" s="1140"/>
      <c r="L155" s="1141"/>
    </row>
    <row r="156" spans="1:12" ht="30.75" customHeight="1">
      <c r="B156" s="1122"/>
      <c r="C156" s="1123"/>
      <c r="D156" s="1129"/>
      <c r="E156" s="1130"/>
      <c r="F156" s="1131"/>
      <c r="G156" s="1144" t="s">
        <v>629</v>
      </c>
      <c r="H156" s="1145"/>
      <c r="I156" s="1147" t="s">
        <v>630</v>
      </c>
      <c r="J156" s="1148"/>
      <c r="K156" s="1140"/>
      <c r="L156" s="1141"/>
    </row>
    <row r="157" spans="1:12" ht="26.25" customHeight="1">
      <c r="B157" s="1122"/>
      <c r="C157" s="1123"/>
      <c r="D157" s="1129"/>
      <c r="E157" s="1130"/>
      <c r="F157" s="1131"/>
      <c r="G157" s="1144" t="s">
        <v>631</v>
      </c>
      <c r="H157" s="1145"/>
      <c r="I157" s="1147" t="s">
        <v>632</v>
      </c>
      <c r="J157" s="1148"/>
      <c r="K157" s="1140"/>
      <c r="L157" s="1141"/>
    </row>
    <row r="158" spans="1:12" ht="26.25" customHeight="1">
      <c r="B158" s="1122"/>
      <c r="C158" s="1123"/>
      <c r="D158" s="1129"/>
      <c r="E158" s="1130"/>
      <c r="F158" s="1131"/>
      <c r="G158" s="1144" t="s">
        <v>633</v>
      </c>
      <c r="H158" s="1145"/>
      <c r="I158" s="1147" t="s">
        <v>634</v>
      </c>
      <c r="J158" s="1148"/>
      <c r="K158" s="1140"/>
      <c r="L158" s="1141"/>
    </row>
    <row r="159" spans="1:12" ht="25.5" customHeight="1">
      <c r="B159" s="1124"/>
      <c r="C159" s="1125"/>
      <c r="D159" s="1132"/>
      <c r="E159" s="1133"/>
      <c r="F159" s="1134"/>
      <c r="G159" s="1144" t="s">
        <v>635</v>
      </c>
      <c r="H159" s="1145"/>
      <c r="I159" s="1147" t="s">
        <v>636</v>
      </c>
      <c r="J159" s="1148"/>
      <c r="K159" s="1142"/>
      <c r="L159" s="1143"/>
    </row>
    <row r="160" spans="1:12">
      <c r="B160" s="1108"/>
      <c r="C160" s="1108"/>
      <c r="D160" s="1109"/>
      <c r="E160" s="1110"/>
      <c r="F160" s="1111"/>
      <c r="G160" s="1112"/>
      <c r="H160" s="1113"/>
      <c r="I160" s="1113"/>
      <c r="J160" s="1113"/>
      <c r="K160" s="1113"/>
      <c r="L160" s="1114"/>
    </row>
    <row r="164" spans="12:17">
      <c r="L164" s="545"/>
      <c r="M164" s="545"/>
      <c r="N164" s="545"/>
      <c r="O164" s="545"/>
      <c r="P164" s="545"/>
      <c r="Q164" s="545"/>
    </row>
    <row r="165" spans="12:17">
      <c r="L165" s="545"/>
      <c r="M165" s="545"/>
      <c r="N165" s="545"/>
      <c r="O165" s="545"/>
      <c r="P165" s="545"/>
      <c r="Q165" s="545"/>
    </row>
    <row r="166" spans="12:17">
      <c r="L166" s="599"/>
    </row>
  </sheetData>
  <mergeCells count="36">
    <mergeCell ref="B160:C160"/>
    <mergeCell ref="D160:F160"/>
    <mergeCell ref="G160:L160"/>
    <mergeCell ref="I156:J156"/>
    <mergeCell ref="G158:H158"/>
    <mergeCell ref="I158:J158"/>
    <mergeCell ref="G159:H159"/>
    <mergeCell ref="I159:J159"/>
    <mergeCell ref="G157:H157"/>
    <mergeCell ref="I157:J157"/>
    <mergeCell ref="B151:C151"/>
    <mergeCell ref="D151:F151"/>
    <mergeCell ref="G151:L151"/>
    <mergeCell ref="B152:C159"/>
    <mergeCell ref="D152:F159"/>
    <mergeCell ref="G152:J152"/>
    <mergeCell ref="K152:L159"/>
    <mergeCell ref="G153:H153"/>
    <mergeCell ref="I153:J153"/>
    <mergeCell ref="G154:H154"/>
    <mergeCell ref="I154:J154"/>
    <mergeCell ref="G155:H155"/>
    <mergeCell ref="I155:J155"/>
    <mergeCell ref="G156:H156"/>
    <mergeCell ref="B149:C149"/>
    <mergeCell ref="D149:F149"/>
    <mergeCell ref="G149:L149"/>
    <mergeCell ref="B150:C150"/>
    <mergeCell ref="D150:F150"/>
    <mergeCell ref="G150:L150"/>
    <mergeCell ref="B147:C147"/>
    <mergeCell ref="D147:F147"/>
    <mergeCell ref="G147:K147"/>
    <mergeCell ref="B148:C148"/>
    <mergeCell ref="D148:F148"/>
    <mergeCell ref="G148:L148"/>
  </mergeCells>
  <pageMargins left="0.25" right="0.25" top="0.75" bottom="0.75" header="0.3" footer="0.3"/>
  <pageSetup scale="35" fitToHeight="0" orientation="landscape" r:id="rId1"/>
  <rowBreaks count="3" manualBreakCount="3">
    <brk id="42" max="18" man="1"/>
    <brk id="106" max="18" man="1"/>
    <brk id="149"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87DE-846B-4321-A9C3-C198A0311BD4}">
  <dimension ref="A1:L52"/>
  <sheetViews>
    <sheetView view="pageBreakPreview" zoomScale="85" zoomScaleNormal="80" zoomScaleSheetLayoutView="85" workbookViewId="0"/>
  </sheetViews>
  <sheetFormatPr defaultColWidth="8.81640625" defaultRowHeight="15.6"/>
  <cols>
    <col min="1" max="1" width="6.1796875" style="239" bestFit="1" customWidth="1"/>
    <col min="2" max="2" width="21.81640625" style="234" customWidth="1"/>
    <col min="3" max="3" width="26.1796875" style="234" customWidth="1"/>
    <col min="4" max="4" width="12.81640625" style="234" bestFit="1" customWidth="1"/>
    <col min="5" max="5" width="18.81640625" style="234" customWidth="1"/>
    <col min="6" max="6" width="12.08984375" style="234" bestFit="1" customWidth="1"/>
    <col min="7" max="7" width="18.81640625" style="234" customWidth="1"/>
    <col min="8" max="8" width="12.81640625" style="234" customWidth="1"/>
    <col min="9" max="9" width="15" style="234" customWidth="1"/>
    <col min="10" max="10" width="15.81640625" style="234" customWidth="1"/>
    <col min="11" max="11" width="17.1796875" style="234" customWidth="1"/>
    <col min="12" max="12" width="13.453125" style="234" customWidth="1"/>
    <col min="14" max="14" width="8.453125" bestFit="1" customWidth="1"/>
  </cols>
  <sheetData>
    <row r="1" spans="1:12" s="663" customFormat="1">
      <c r="A1" s="662"/>
      <c r="B1" s="1149"/>
      <c r="C1" s="1149"/>
      <c r="D1" s="1149"/>
      <c r="E1" s="1149"/>
      <c r="F1" s="1149"/>
      <c r="G1" s="1149"/>
      <c r="H1" s="1149"/>
      <c r="I1" s="1149"/>
      <c r="J1" s="1149"/>
      <c r="K1" s="1149"/>
      <c r="L1" s="1149"/>
    </row>
    <row r="2" spans="1:12" s="663" customFormat="1">
      <c r="A2" s="1150" t="s">
        <v>637</v>
      </c>
      <c r="B2" s="1150"/>
      <c r="C2" s="1150"/>
      <c r="D2" s="1150"/>
      <c r="E2" s="1150"/>
      <c r="F2" s="1150"/>
      <c r="G2" s="1150"/>
      <c r="H2" s="1150"/>
      <c r="I2" s="1150"/>
      <c r="J2" s="1150"/>
      <c r="K2" s="662"/>
      <c r="L2" s="662"/>
    </row>
    <row r="3" spans="1:12" s="663" customFormat="1">
      <c r="A3" s="1151" t="str">
        <f>+'Appendix A'!E258</f>
        <v>NextEra Energy Transmission New York, Inc.</v>
      </c>
      <c r="B3" s="1151"/>
      <c r="C3" s="1151"/>
      <c r="D3" s="1151"/>
      <c r="E3" s="1151"/>
      <c r="F3" s="1151"/>
      <c r="G3" s="1151"/>
      <c r="H3" s="1151"/>
      <c r="I3" s="1151"/>
      <c r="J3" s="1151"/>
      <c r="K3" s="664"/>
      <c r="L3" s="664"/>
    </row>
    <row r="4" spans="1:12">
      <c r="B4" s="662"/>
      <c r="C4" s="662"/>
      <c r="D4" s="662"/>
      <c r="E4" s="662"/>
      <c r="F4" s="662"/>
      <c r="G4" s="662"/>
      <c r="H4" s="662"/>
      <c r="I4" s="662"/>
      <c r="J4" s="662"/>
      <c r="K4" s="662"/>
      <c r="L4" s="662"/>
    </row>
    <row r="5" spans="1:12">
      <c r="A5" s="535"/>
      <c r="B5" s="665"/>
      <c r="C5" s="665"/>
      <c r="D5" s="665"/>
      <c r="E5" s="666"/>
      <c r="F5" s="666"/>
      <c r="G5" s="666"/>
      <c r="H5" s="665"/>
      <c r="I5" s="540"/>
      <c r="J5" s="540"/>
    </row>
    <row r="6" spans="1:12">
      <c r="A6" s="667"/>
      <c r="B6" s="668"/>
      <c r="C6" s="668"/>
      <c r="D6" s="668"/>
      <c r="E6" s="669"/>
      <c r="F6" s="670"/>
      <c r="G6" s="671"/>
      <c r="H6" s="672"/>
      <c r="I6" s="667"/>
      <c r="J6" s="667"/>
    </row>
    <row r="7" spans="1:12">
      <c r="A7" s="673"/>
      <c r="B7" s="668" t="s">
        <v>298</v>
      </c>
      <c r="C7" s="668"/>
      <c r="D7" s="668"/>
      <c r="E7" s="665"/>
      <c r="F7" s="1152" t="s">
        <v>638</v>
      </c>
      <c r="G7" s="1153"/>
      <c r="H7" s="1154"/>
      <c r="I7" s="665"/>
      <c r="J7" s="665"/>
      <c r="K7" s="166"/>
    </row>
    <row r="8" spans="1:12">
      <c r="A8" s="674">
        <v>1</v>
      </c>
      <c r="B8" s="675">
        <f>'2 - Cost Support '!E7-1</f>
        <v>2021</v>
      </c>
      <c r="C8" s="668"/>
      <c r="D8" s="676"/>
      <c r="E8" s="676"/>
      <c r="F8" s="676"/>
      <c r="G8" s="676"/>
      <c r="H8" s="676"/>
      <c r="I8" s="665"/>
      <c r="J8" s="665"/>
      <c r="K8" s="166"/>
    </row>
    <row r="9" spans="1:12">
      <c r="A9" s="674"/>
      <c r="B9" s="677" t="s">
        <v>195</v>
      </c>
      <c r="C9" s="678" t="s">
        <v>198</v>
      </c>
      <c r="D9" s="679" t="s">
        <v>200</v>
      </c>
      <c r="E9" s="679" t="s">
        <v>203</v>
      </c>
      <c r="F9" s="679" t="s">
        <v>210</v>
      </c>
      <c r="G9" s="679" t="s">
        <v>214</v>
      </c>
      <c r="H9" s="679" t="s">
        <v>230</v>
      </c>
      <c r="I9" s="665"/>
      <c r="J9" s="665"/>
      <c r="K9" s="166"/>
    </row>
    <row r="10" spans="1:12">
      <c r="A10" s="674"/>
      <c r="B10" s="680"/>
      <c r="C10" s="680"/>
      <c r="D10" s="681"/>
      <c r="E10" s="681"/>
      <c r="F10" s="681" t="s">
        <v>639</v>
      </c>
      <c r="G10" s="682"/>
      <c r="H10" s="682"/>
      <c r="I10" s="665"/>
      <c r="J10" s="665"/>
      <c r="K10" s="166"/>
    </row>
    <row r="11" spans="1:12">
      <c r="A11" s="674"/>
      <c r="B11" s="683"/>
      <c r="C11" s="681"/>
      <c r="D11" s="681" t="s">
        <v>640</v>
      </c>
      <c r="E11" s="681"/>
      <c r="F11" s="681" t="s">
        <v>641</v>
      </c>
      <c r="G11" s="681" t="s">
        <v>642</v>
      </c>
      <c r="H11" s="683" t="s">
        <v>643</v>
      </c>
      <c r="I11" s="665"/>
      <c r="J11" s="665"/>
      <c r="K11" s="166"/>
    </row>
    <row r="12" spans="1:12">
      <c r="A12" s="674"/>
      <c r="B12" s="684" t="s">
        <v>614</v>
      </c>
      <c r="C12" s="681"/>
      <c r="D12" s="681" t="s">
        <v>644</v>
      </c>
      <c r="E12" s="681"/>
      <c r="F12" s="681" t="s">
        <v>645</v>
      </c>
      <c r="G12" s="681" t="s">
        <v>646</v>
      </c>
      <c r="H12" s="683" t="s">
        <v>647</v>
      </c>
      <c r="I12" s="665"/>
      <c r="J12" s="665"/>
      <c r="K12" s="166"/>
    </row>
    <row r="13" spans="1:12" ht="18.600000000000001">
      <c r="A13" s="674"/>
      <c r="B13" s="679" t="s">
        <v>648</v>
      </c>
      <c r="C13" s="679" t="s">
        <v>649</v>
      </c>
      <c r="D13" s="679" t="s">
        <v>650</v>
      </c>
      <c r="E13" s="685" t="s">
        <v>651</v>
      </c>
      <c r="F13" s="679" t="s">
        <v>652</v>
      </c>
      <c r="G13" s="679" t="s">
        <v>653</v>
      </c>
      <c r="H13" s="679" t="s">
        <v>654</v>
      </c>
      <c r="I13" s="665"/>
      <c r="J13" s="665"/>
      <c r="K13" s="166"/>
    </row>
    <row r="14" spans="1:12">
      <c r="A14" s="674">
        <v>2</v>
      </c>
      <c r="B14" s="686" t="s">
        <v>655</v>
      </c>
      <c r="C14" s="686" t="s">
        <v>656</v>
      </c>
      <c r="D14" s="687">
        <v>456429.57398937398</v>
      </c>
      <c r="E14" s="687">
        <v>0</v>
      </c>
      <c r="F14" s="688">
        <f t="shared" ref="F14:F19" si="0">D14-E14</f>
        <v>456429.57398937398</v>
      </c>
      <c r="G14" s="689">
        <f>F14*(E45/12)*24</f>
        <v>30124.351883298688</v>
      </c>
      <c r="H14" s="690">
        <f t="shared" ref="H14:H19" si="1">+F14+G14</f>
        <v>486553.9258726727</v>
      </c>
      <c r="I14" s="665"/>
      <c r="J14" s="665"/>
      <c r="K14" s="166"/>
    </row>
    <row r="15" spans="1:12">
      <c r="A15" s="674" t="s">
        <v>657</v>
      </c>
      <c r="B15" s="691"/>
      <c r="C15" s="691"/>
      <c r="D15" s="692">
        <v>0</v>
      </c>
      <c r="E15" s="693">
        <v>0</v>
      </c>
      <c r="F15" s="688">
        <f t="shared" si="0"/>
        <v>0</v>
      </c>
      <c r="G15" s="694">
        <v>0</v>
      </c>
      <c r="H15" s="695">
        <f t="shared" si="1"/>
        <v>0</v>
      </c>
      <c r="I15" s="665"/>
      <c r="J15" s="665"/>
      <c r="K15" s="166"/>
    </row>
    <row r="16" spans="1:12">
      <c r="A16" s="674" t="s">
        <v>658</v>
      </c>
      <c r="B16" s="691"/>
      <c r="C16" s="691"/>
      <c r="D16" s="692">
        <v>0</v>
      </c>
      <c r="E16" s="693">
        <v>0</v>
      </c>
      <c r="F16" s="688">
        <f t="shared" si="0"/>
        <v>0</v>
      </c>
      <c r="G16" s="694">
        <v>0</v>
      </c>
      <c r="H16" s="695">
        <f t="shared" si="1"/>
        <v>0</v>
      </c>
      <c r="I16" s="665"/>
      <c r="J16" s="665"/>
      <c r="K16" s="166"/>
    </row>
    <row r="17" spans="1:11">
      <c r="A17" s="674" t="s">
        <v>659</v>
      </c>
      <c r="B17" s="691"/>
      <c r="C17" s="691"/>
      <c r="D17" s="692">
        <v>0</v>
      </c>
      <c r="E17" s="693">
        <v>0</v>
      </c>
      <c r="F17" s="688">
        <f t="shared" si="0"/>
        <v>0</v>
      </c>
      <c r="G17" s="694">
        <v>0</v>
      </c>
      <c r="H17" s="695">
        <f t="shared" si="1"/>
        <v>0</v>
      </c>
      <c r="I17" s="665"/>
      <c r="J17" s="665"/>
      <c r="K17" s="166"/>
    </row>
    <row r="18" spans="1:11">
      <c r="A18" s="674" t="s">
        <v>660</v>
      </c>
      <c r="B18" s="691"/>
      <c r="C18" s="691"/>
      <c r="D18" s="692">
        <v>0</v>
      </c>
      <c r="E18" s="693">
        <v>0</v>
      </c>
      <c r="F18" s="688">
        <f t="shared" si="0"/>
        <v>0</v>
      </c>
      <c r="G18" s="694">
        <v>0</v>
      </c>
      <c r="H18" s="695">
        <f t="shared" si="1"/>
        <v>0</v>
      </c>
      <c r="I18" s="665"/>
      <c r="J18" s="665"/>
      <c r="K18" s="166"/>
    </row>
    <row r="19" spans="1:11">
      <c r="A19" s="674"/>
      <c r="B19" s="696"/>
      <c r="C19" s="696"/>
      <c r="D19" s="697">
        <v>0</v>
      </c>
      <c r="E19" s="698">
        <v>0</v>
      </c>
      <c r="F19" s="699">
        <f t="shared" si="0"/>
        <v>0</v>
      </c>
      <c r="G19" s="700">
        <v>0</v>
      </c>
      <c r="H19" s="701">
        <f t="shared" si="1"/>
        <v>0</v>
      </c>
      <c r="I19" s="665"/>
      <c r="J19" s="665"/>
      <c r="K19" s="166"/>
    </row>
    <row r="20" spans="1:11">
      <c r="A20" s="674"/>
      <c r="B20" s="668"/>
      <c r="C20" s="702"/>
      <c r="D20" s="702"/>
      <c r="E20" s="702"/>
      <c r="F20" s="702"/>
      <c r="G20" s="702"/>
      <c r="H20" s="703"/>
      <c r="I20" s="665"/>
      <c r="J20" s="702"/>
      <c r="K20" s="166"/>
    </row>
    <row r="21" spans="1:11">
      <c r="A21" s="674">
        <v>3</v>
      </c>
      <c r="B21" s="636" t="s">
        <v>36</v>
      </c>
      <c r="C21" s="702"/>
      <c r="D21" s="702">
        <f>SUM(D14:D19)</f>
        <v>456429.57398937398</v>
      </c>
      <c r="E21" s="702">
        <f t="shared" ref="E21" si="2">SUM(E14:E19)</f>
        <v>0</v>
      </c>
      <c r="F21" s="702">
        <f>SUM(F14:F19)</f>
        <v>456429.57398937398</v>
      </c>
      <c r="G21" s="702">
        <f>SUM(G14:G19)</f>
        <v>30124.351883298688</v>
      </c>
      <c r="H21" s="702">
        <f>SUM(H14:H19)</f>
        <v>486553.9258726727</v>
      </c>
      <c r="I21" s="665"/>
      <c r="J21" s="702"/>
      <c r="K21" s="166"/>
    </row>
    <row r="22" spans="1:11">
      <c r="A22" s="674"/>
      <c r="B22" s="668"/>
      <c r="C22" s="702"/>
      <c r="D22" s="702"/>
      <c r="E22" s="702"/>
      <c r="F22" s="702"/>
      <c r="G22" s="702"/>
      <c r="H22" s="702"/>
      <c r="I22" s="703"/>
      <c r="J22" s="702"/>
      <c r="K22" s="166"/>
    </row>
    <row r="23" spans="1:11">
      <c r="A23" s="636"/>
      <c r="B23" s="668"/>
      <c r="C23" s="702"/>
      <c r="D23" s="702"/>
      <c r="E23" s="702"/>
      <c r="F23" s="702"/>
      <c r="G23" s="702"/>
      <c r="H23" s="702"/>
      <c r="I23" s="703"/>
      <c r="J23" s="702"/>
      <c r="K23" s="166"/>
    </row>
    <row r="24" spans="1:11">
      <c r="A24" s="636"/>
      <c r="B24" s="704" t="s">
        <v>661</v>
      </c>
      <c r="C24" s="166"/>
      <c r="D24" s="166"/>
      <c r="E24" s="166"/>
      <c r="F24" s="705"/>
      <c r="G24" s="705"/>
      <c r="H24" s="166"/>
      <c r="I24" s="706"/>
      <c r="J24" s="707"/>
      <c r="K24" s="166"/>
    </row>
    <row r="25" spans="1:11">
      <c r="A25" s="636"/>
      <c r="B25" s="166" t="s">
        <v>662</v>
      </c>
      <c r="C25" s="166"/>
      <c r="D25" s="166"/>
      <c r="E25" s="166"/>
      <c r="F25" s="166"/>
      <c r="G25" s="166"/>
      <c r="H25" s="166"/>
      <c r="I25" s="668"/>
      <c r="J25" s="668"/>
      <c r="K25" s="166"/>
    </row>
    <row r="26" spans="1:11">
      <c r="A26" s="636"/>
      <c r="B26" s="166" t="s">
        <v>663</v>
      </c>
      <c r="C26" s="166"/>
      <c r="D26" s="166"/>
      <c r="E26" s="166"/>
      <c r="F26" s="166"/>
      <c r="G26" s="166"/>
      <c r="H26" s="166"/>
      <c r="I26" s="668"/>
      <c r="J26" s="668"/>
      <c r="K26" s="166"/>
    </row>
    <row r="27" spans="1:11">
      <c r="A27" s="636"/>
      <c r="B27" s="166" t="s">
        <v>664</v>
      </c>
      <c r="C27" s="166"/>
      <c r="D27" s="166"/>
      <c r="E27" s="166"/>
      <c r="F27" s="166"/>
      <c r="G27" s="166"/>
      <c r="H27" s="166"/>
      <c r="I27" s="668"/>
      <c r="J27" s="668"/>
      <c r="K27" s="166"/>
    </row>
    <row r="28" spans="1:11">
      <c r="A28" s="636"/>
      <c r="B28" s="708" t="s">
        <v>665</v>
      </c>
      <c r="C28" s="166"/>
      <c r="D28" s="166"/>
      <c r="E28" s="166"/>
      <c r="F28" s="166"/>
      <c r="G28" s="166"/>
      <c r="H28" s="166"/>
      <c r="I28" s="668"/>
      <c r="J28" s="668"/>
      <c r="K28" s="166"/>
    </row>
    <row r="29" spans="1:11">
      <c r="A29" s="636"/>
      <c r="B29" s="708" t="s">
        <v>666</v>
      </c>
      <c r="C29" s="166"/>
      <c r="D29" s="166"/>
      <c r="E29" s="166"/>
      <c r="F29" s="166"/>
      <c r="G29" s="166"/>
      <c r="H29" s="166"/>
      <c r="I29" s="668"/>
      <c r="J29" s="668"/>
      <c r="K29" s="166"/>
    </row>
    <row r="30" spans="1:11">
      <c r="A30" s="636"/>
      <c r="B30" s="166"/>
      <c r="C30" s="166"/>
      <c r="D30" s="166"/>
      <c r="E30" s="166"/>
      <c r="F30" s="166"/>
      <c r="G30" s="166"/>
      <c r="H30" s="166"/>
      <c r="I30" s="668"/>
      <c r="J30" s="668"/>
      <c r="K30" s="166"/>
    </row>
    <row r="31" spans="1:11">
      <c r="A31" s="709"/>
      <c r="B31" s="710"/>
      <c r="C31" s="710"/>
      <c r="D31" s="710"/>
      <c r="E31" s="710"/>
      <c r="F31" s="710"/>
      <c r="G31" s="710"/>
      <c r="H31" s="710"/>
      <c r="I31" s="710"/>
      <c r="J31" s="710"/>
      <c r="K31" s="166"/>
    </row>
    <row r="32" spans="1:11">
      <c r="A32" s="166"/>
      <c r="B32" s="711" t="s">
        <v>667</v>
      </c>
      <c r="C32" s="665"/>
      <c r="D32" s="665"/>
      <c r="E32" s="665"/>
      <c r="F32" s="665"/>
      <c r="G32" s="166"/>
      <c r="H32" s="166"/>
      <c r="I32" s="166"/>
      <c r="J32" s="166"/>
      <c r="K32" s="166"/>
    </row>
    <row r="33" spans="1:11">
      <c r="A33" s="665"/>
      <c r="B33" s="665"/>
      <c r="C33" s="665"/>
      <c r="D33" s="665"/>
      <c r="E33" s="665"/>
      <c r="F33" s="665"/>
      <c r="G33" s="166"/>
      <c r="H33" s="166"/>
      <c r="I33" s="166"/>
      <c r="J33" s="166"/>
      <c r="K33" s="166"/>
    </row>
    <row r="34" spans="1:11">
      <c r="A34" s="665"/>
      <c r="B34" s="543" t="s">
        <v>174</v>
      </c>
      <c r="C34" s="543" t="s">
        <v>175</v>
      </c>
      <c r="D34" s="543" t="s">
        <v>176</v>
      </c>
      <c r="E34" s="543" t="s">
        <v>378</v>
      </c>
      <c r="F34" s="665"/>
      <c r="G34" s="166"/>
      <c r="H34" s="166"/>
      <c r="I34" s="166"/>
      <c r="J34" s="166"/>
      <c r="K34" s="166"/>
    </row>
    <row r="35" spans="1:11" ht="31.2">
      <c r="A35" s="712">
        <v>4</v>
      </c>
      <c r="B35" s="713" t="s">
        <v>668</v>
      </c>
      <c r="C35" s="673" t="s">
        <v>669</v>
      </c>
      <c r="D35" s="673" t="s">
        <v>298</v>
      </c>
      <c r="E35" s="714" t="s">
        <v>670</v>
      </c>
      <c r="F35" s="665"/>
      <c r="G35" s="166"/>
      <c r="H35" s="166"/>
      <c r="I35" s="166"/>
      <c r="J35" s="166"/>
      <c r="K35" s="166"/>
    </row>
    <row r="36" spans="1:11">
      <c r="A36" s="712">
        <v>5</v>
      </c>
      <c r="B36" s="665"/>
      <c r="C36" s="713" t="s">
        <v>671</v>
      </c>
      <c r="D36" s="715">
        <f>B8</f>
        <v>2021</v>
      </c>
      <c r="E36" s="716">
        <v>3.2500000000000001E-2</v>
      </c>
      <c r="F36" s="554"/>
      <c r="G36" s="166"/>
      <c r="H36" s="166"/>
      <c r="I36" s="166"/>
      <c r="J36" s="166"/>
      <c r="K36" s="166"/>
    </row>
    <row r="37" spans="1:11">
      <c r="A37" s="712">
        <v>6</v>
      </c>
      <c r="B37" s="665"/>
      <c r="C37" s="713" t="s">
        <v>672</v>
      </c>
      <c r="D37" s="715">
        <f>D36</f>
        <v>2021</v>
      </c>
      <c r="E37" s="716">
        <v>3.2500000000000001E-2</v>
      </c>
      <c r="F37" s="554"/>
      <c r="G37" s="166"/>
      <c r="H37" s="166"/>
      <c r="I37" s="166"/>
      <c r="J37" s="166"/>
      <c r="K37" s="166"/>
    </row>
    <row r="38" spans="1:11">
      <c r="A38" s="712">
        <v>7</v>
      </c>
      <c r="B38" s="665"/>
      <c r="C38" s="713" t="s">
        <v>673</v>
      </c>
      <c r="D38" s="715">
        <f>D37</f>
        <v>2021</v>
      </c>
      <c r="E38" s="716">
        <v>3.2500000000000001E-2</v>
      </c>
      <c r="F38" s="554"/>
      <c r="G38" s="166"/>
      <c r="H38" s="166"/>
      <c r="I38" s="166"/>
      <c r="J38" s="166"/>
      <c r="K38" s="166"/>
    </row>
    <row r="39" spans="1:11">
      <c r="A39" s="712">
        <v>8</v>
      </c>
      <c r="B39" s="665"/>
      <c r="C39" s="713" t="s">
        <v>674</v>
      </c>
      <c r="D39" s="715">
        <f>D38</f>
        <v>2021</v>
      </c>
      <c r="E39" s="716">
        <v>3.2500000000000001E-2</v>
      </c>
      <c r="F39" s="554"/>
      <c r="G39" s="166"/>
      <c r="H39" s="166"/>
      <c r="I39" s="166"/>
      <c r="J39" s="166"/>
      <c r="K39" s="166"/>
    </row>
    <row r="40" spans="1:11">
      <c r="A40" s="712">
        <v>9</v>
      </c>
      <c r="B40" s="665"/>
      <c r="C40" s="713" t="s">
        <v>675</v>
      </c>
      <c r="D40" s="715">
        <f>D39+1</f>
        <v>2022</v>
      </c>
      <c r="E40" s="716">
        <v>3.2500000000000001E-2</v>
      </c>
      <c r="F40" s="554"/>
      <c r="G40" s="166"/>
      <c r="H40" s="166"/>
      <c r="I40" s="166"/>
      <c r="J40" s="166"/>
      <c r="K40" s="166"/>
    </row>
    <row r="41" spans="1:11">
      <c r="A41" s="712">
        <v>10</v>
      </c>
      <c r="B41" s="665"/>
      <c r="C41" s="713" t="s">
        <v>672</v>
      </c>
      <c r="D41" s="715">
        <f>D40</f>
        <v>2022</v>
      </c>
      <c r="E41" s="716">
        <v>3.2500000000000001E-2</v>
      </c>
      <c r="F41" s="554"/>
      <c r="G41" s="166"/>
      <c r="H41" s="166"/>
      <c r="I41" s="166"/>
      <c r="J41" s="166"/>
      <c r="K41" s="166"/>
    </row>
    <row r="42" spans="1:11">
      <c r="A42" s="712">
        <v>11</v>
      </c>
      <c r="B42" s="665"/>
      <c r="C42" s="713" t="s">
        <v>673</v>
      </c>
      <c r="D42" s="715">
        <f>+D41</f>
        <v>2022</v>
      </c>
      <c r="E42" s="716">
        <v>3.5999999999999997E-2</v>
      </c>
      <c r="F42" s="554"/>
      <c r="G42" s="166"/>
      <c r="H42" s="166"/>
      <c r="I42" s="166"/>
      <c r="J42" s="166"/>
      <c r="K42" s="166"/>
    </row>
    <row r="43" spans="1:11">
      <c r="A43" s="712">
        <v>12</v>
      </c>
      <c r="B43" s="665"/>
      <c r="C43" s="665" t="s">
        <v>676</v>
      </c>
      <c r="D43" s="554"/>
      <c r="E43" s="717">
        <f>SUM(E36:E42)</f>
        <v>0.23100000000000001</v>
      </c>
      <c r="F43" s="554"/>
      <c r="G43" s="166"/>
      <c r="H43" s="166"/>
      <c r="I43" s="166"/>
      <c r="J43" s="166"/>
      <c r="K43" s="166"/>
    </row>
    <row r="44" spans="1:11">
      <c r="A44" s="712"/>
      <c r="B44" s="665"/>
      <c r="C44" s="713"/>
      <c r="D44" s="571"/>
      <c r="E44" s="718"/>
      <c r="F44" s="554"/>
      <c r="G44" s="166"/>
      <c r="H44" s="166"/>
      <c r="I44" s="166"/>
      <c r="J44" s="166"/>
      <c r="K44" s="166"/>
    </row>
    <row r="45" spans="1:11">
      <c r="A45" s="712">
        <v>13</v>
      </c>
      <c r="B45" s="719" t="s">
        <v>677</v>
      </c>
      <c r="C45" s="665" t="s">
        <v>678</v>
      </c>
      <c r="D45" s="571"/>
      <c r="E45" s="599">
        <f>E43/7</f>
        <v>3.3000000000000002E-2</v>
      </c>
      <c r="F45" s="554"/>
      <c r="G45" s="166"/>
      <c r="H45" s="166"/>
      <c r="I45" s="166"/>
      <c r="J45" s="166"/>
      <c r="K45" s="166"/>
    </row>
    <row r="46" spans="1:11">
      <c r="A46" s="720"/>
      <c r="B46" s="166"/>
      <c r="C46" s="166"/>
      <c r="D46" s="166"/>
      <c r="E46" s="166"/>
      <c r="F46" s="166"/>
      <c r="G46" s="166"/>
      <c r="H46" s="166"/>
      <c r="I46" s="166"/>
      <c r="J46" s="166"/>
      <c r="K46" s="166"/>
    </row>
    <row r="47" spans="1:11">
      <c r="A47" s="720"/>
      <c r="B47" s="166"/>
      <c r="C47" s="166"/>
      <c r="D47" s="166"/>
      <c r="E47" s="166"/>
      <c r="F47" s="166"/>
      <c r="G47" s="166"/>
      <c r="H47" s="166"/>
      <c r="I47" s="166"/>
      <c r="J47" s="166"/>
      <c r="K47" s="166"/>
    </row>
    <row r="48" spans="1:11">
      <c r="A48" s="720"/>
      <c r="B48" s="166"/>
      <c r="C48" s="166"/>
      <c r="D48" s="166"/>
      <c r="E48" s="166"/>
      <c r="F48" s="166"/>
      <c r="G48" s="166"/>
      <c r="H48" s="166"/>
      <c r="I48" s="166"/>
      <c r="J48" s="166"/>
      <c r="K48" s="166"/>
    </row>
    <row r="49" spans="1:11">
      <c r="A49" s="720"/>
      <c r="B49" s="166"/>
      <c r="C49" s="166"/>
      <c r="D49" s="166"/>
      <c r="E49" s="166"/>
      <c r="F49" s="166"/>
      <c r="G49" s="166"/>
      <c r="H49" s="166"/>
      <c r="I49" s="166"/>
      <c r="J49" s="166"/>
      <c r="K49" s="166"/>
    </row>
    <row r="50" spans="1:11">
      <c r="A50" s="720"/>
      <c r="B50" s="166"/>
      <c r="C50" s="166"/>
      <c r="D50" s="166"/>
      <c r="E50" s="166"/>
      <c r="F50" s="166"/>
      <c r="G50" s="166"/>
      <c r="H50" s="166"/>
      <c r="I50" s="166"/>
      <c r="J50" s="166"/>
      <c r="K50" s="166"/>
    </row>
    <row r="51" spans="1:11">
      <c r="A51" s="720"/>
      <c r="B51" s="166"/>
      <c r="C51" s="166"/>
      <c r="D51" s="166"/>
      <c r="E51" s="166"/>
      <c r="F51" s="166"/>
      <c r="G51" s="166"/>
      <c r="H51" s="166"/>
      <c r="I51" s="166"/>
      <c r="J51" s="166"/>
      <c r="K51" s="166"/>
    </row>
    <row r="52" spans="1:11">
      <c r="A52" s="720"/>
      <c r="B52" s="166"/>
      <c r="C52" s="166"/>
      <c r="D52" s="166"/>
      <c r="E52" s="166"/>
      <c r="F52" s="166"/>
      <c r="G52" s="166"/>
      <c r="H52" s="166"/>
      <c r="I52" s="166"/>
      <c r="J52" s="166"/>
      <c r="K52" s="166"/>
    </row>
  </sheetData>
  <mergeCells count="4">
    <mergeCell ref="B1:L1"/>
    <mergeCell ref="A2:J2"/>
    <mergeCell ref="A3:J3"/>
    <mergeCell ref="F7:H7"/>
  </mergeCells>
  <pageMargins left="0.75" right="0.75" top="1" bottom="1" header="0.5" footer="0.5"/>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F7BD6-BE23-4248-B1BA-6EB5FF4D3117}">
  <sheetPr>
    <pageSetUpPr fitToPage="1"/>
  </sheetPr>
  <dimension ref="A1:T160"/>
  <sheetViews>
    <sheetView view="pageBreakPreview" topLeftCell="A13" zoomScale="70" zoomScaleNormal="85" zoomScaleSheetLayoutView="70" workbookViewId="0">
      <selection activeCell="F28" sqref="F28"/>
    </sheetView>
  </sheetViews>
  <sheetFormatPr defaultColWidth="8.81640625" defaultRowHeight="20.100000000000001" customHeight="1"/>
  <cols>
    <col min="1" max="1" width="5.81640625" style="723" customWidth="1"/>
    <col min="2" max="2" width="54.1796875" style="721" bestFit="1" customWidth="1"/>
    <col min="3" max="3" width="10.81640625" style="723" bestFit="1" customWidth="1"/>
    <col min="4" max="4" width="9.81640625" style="723" bestFit="1" customWidth="1"/>
    <col min="5" max="5" width="16.1796875" style="723" customWidth="1"/>
    <col min="6" max="6" width="12.08984375" style="723" customWidth="1"/>
    <col min="7" max="7" width="11.81640625" style="723" customWidth="1"/>
    <col min="8" max="8" width="12" style="724" customWidth="1"/>
    <col min="9" max="9" width="32.08984375" style="724" customWidth="1"/>
    <col min="10" max="10" width="8.81640625" style="724"/>
    <col min="11" max="11" width="12.1796875" style="724" customWidth="1"/>
    <col min="12" max="12" width="12.81640625" style="724" customWidth="1"/>
    <col min="13" max="16384" width="8.81640625" style="724"/>
  </cols>
  <sheetData>
    <row r="1" spans="1:20" ht="20.100000000000001" customHeight="1">
      <c r="A1" s="721" t="s">
        <v>679</v>
      </c>
      <c r="B1" s="722"/>
      <c r="C1" s="722"/>
      <c r="D1" s="722"/>
      <c r="E1" s="722"/>
      <c r="F1" s="722"/>
      <c r="G1" s="722"/>
      <c r="H1" s="722"/>
      <c r="I1" s="722"/>
      <c r="J1" s="723"/>
      <c r="K1" s="723"/>
      <c r="L1" s="723"/>
    </row>
    <row r="2" spans="1:20" ht="20.100000000000001" customHeight="1">
      <c r="A2" s="1155" t="str">
        <f>+'Appendix A'!E9</f>
        <v>NextEra Energy Transmission New York, Inc.</v>
      </c>
      <c r="B2" s="1155"/>
      <c r="C2" s="1155"/>
      <c r="D2" s="1155"/>
      <c r="E2" s="1155"/>
      <c r="F2" s="1155"/>
      <c r="G2" s="1155"/>
      <c r="H2" s="1155"/>
      <c r="I2" s="1155"/>
      <c r="J2" s="725"/>
      <c r="K2" s="725"/>
      <c r="L2" s="725"/>
    </row>
    <row r="3" spans="1:20" ht="20.100000000000001" customHeight="1">
      <c r="A3" s="1156" t="str">
        <f>"Projection "&amp;'Appendix A'!M8</f>
        <v>Projection For the 12 months ended 12/31/2023</v>
      </c>
      <c r="B3" s="1156"/>
      <c r="C3" s="1156"/>
      <c r="D3" s="1156"/>
      <c r="E3" s="1156"/>
      <c r="F3" s="1156"/>
      <c r="G3" s="1156"/>
      <c r="H3" s="1156"/>
      <c r="I3" s="1156"/>
      <c r="J3" s="723"/>
      <c r="K3" s="723"/>
      <c r="L3" s="723"/>
    </row>
    <row r="4" spans="1:20" ht="20.100000000000001" customHeight="1">
      <c r="A4" s="722"/>
      <c r="B4" s="722"/>
      <c r="C4" s="722"/>
      <c r="D4" s="722"/>
      <c r="E4" s="722"/>
      <c r="F4" s="722"/>
      <c r="G4" s="722"/>
      <c r="H4" s="722"/>
      <c r="I4" s="722"/>
      <c r="J4" s="723"/>
      <c r="K4" s="723"/>
      <c r="L4" s="723"/>
    </row>
    <row r="5" spans="1:20" ht="20.100000000000001" customHeight="1">
      <c r="B5" s="722" t="s">
        <v>195</v>
      </c>
      <c r="C5" s="722"/>
      <c r="D5" s="726"/>
      <c r="E5" s="726" t="s">
        <v>198</v>
      </c>
      <c r="F5" s="726" t="s">
        <v>200</v>
      </c>
      <c r="G5" s="726" t="s">
        <v>203</v>
      </c>
      <c r="H5" s="726" t="s">
        <v>210</v>
      </c>
      <c r="I5" s="727"/>
    </row>
    <row r="6" spans="1:20" ht="20.100000000000001" customHeight="1">
      <c r="B6" s="724"/>
      <c r="C6" s="724"/>
      <c r="D6" s="724"/>
      <c r="E6" s="724"/>
      <c r="F6" s="724"/>
      <c r="G6" s="724"/>
      <c r="H6" s="726" t="s">
        <v>680</v>
      </c>
      <c r="I6" s="723"/>
      <c r="T6" s="726"/>
    </row>
    <row r="7" spans="1:20" ht="20.100000000000001" customHeight="1">
      <c r="A7" s="728" t="s">
        <v>681</v>
      </c>
      <c r="B7" s="728" t="s">
        <v>682</v>
      </c>
      <c r="C7" s="729"/>
      <c r="D7" s="730"/>
      <c r="E7" s="731" t="s">
        <v>402</v>
      </c>
      <c r="F7" s="731" t="s">
        <v>683</v>
      </c>
      <c r="G7" s="731" t="s">
        <v>684</v>
      </c>
      <c r="H7" s="731" t="s">
        <v>36</v>
      </c>
      <c r="I7" s="729"/>
      <c r="T7" s="726"/>
    </row>
    <row r="8" spans="1:20" ht="20.100000000000001" customHeight="1">
      <c r="B8" s="732"/>
      <c r="D8" s="724"/>
      <c r="H8" s="723"/>
      <c r="I8" s="723"/>
    </row>
    <row r="9" spans="1:20" ht="20.100000000000001" customHeight="1">
      <c r="A9" s="723">
        <v>1</v>
      </c>
      <c r="B9" s="723" t="s">
        <v>685</v>
      </c>
      <c r="D9" s="724"/>
      <c r="E9" s="733">
        <f>F29</f>
        <v>-5949180.3267285302</v>
      </c>
      <c r="F9" s="733">
        <f>G29</f>
        <v>0</v>
      </c>
      <c r="G9" s="733">
        <f>H29</f>
        <v>0</v>
      </c>
      <c r="H9" s="733"/>
      <c r="I9" s="723" t="str">
        <f>"Line "&amp;A29&amp;""</f>
        <v>Line 16</v>
      </c>
    </row>
    <row r="10" spans="1:20" ht="20.100000000000001" customHeight="1">
      <c r="A10" s="723">
        <f t="shared" ref="A10:A16" si="0">+A9+1</f>
        <v>2</v>
      </c>
      <c r="B10" s="723" t="s">
        <v>686</v>
      </c>
      <c r="D10" s="724"/>
      <c r="E10" s="733">
        <f>F39</f>
        <v>0</v>
      </c>
      <c r="F10" s="733">
        <f>G39</f>
        <v>0</v>
      </c>
      <c r="G10" s="733">
        <f>H39</f>
        <v>0</v>
      </c>
      <c r="H10" s="733"/>
      <c r="I10" s="723" t="str">
        <f>"Line "&amp;A39&amp;""</f>
        <v>Line 24</v>
      </c>
    </row>
    <row r="11" spans="1:20" ht="20.100000000000001" customHeight="1">
      <c r="A11" s="723">
        <f t="shared" si="0"/>
        <v>3</v>
      </c>
      <c r="B11" s="723" t="s">
        <v>687</v>
      </c>
      <c r="D11" s="724"/>
      <c r="E11" s="733">
        <f>F49</f>
        <v>0</v>
      </c>
      <c r="F11" s="733">
        <f>G49</f>
        <v>0</v>
      </c>
      <c r="G11" s="733">
        <f>H49</f>
        <v>0</v>
      </c>
      <c r="H11" s="733"/>
      <c r="I11" s="723" t="str">
        <f>"Line "&amp;A49&amp;""</f>
        <v>Line 32</v>
      </c>
    </row>
    <row r="12" spans="1:20" ht="20.100000000000001" customHeight="1">
      <c r="A12" s="723">
        <f t="shared" si="0"/>
        <v>4</v>
      </c>
      <c r="B12" s="723" t="s">
        <v>688</v>
      </c>
      <c r="D12" s="724"/>
      <c r="E12" s="733">
        <f>SUM(E9:E11)</f>
        <v>-5949180.3267285302</v>
      </c>
      <c r="F12" s="733">
        <f>SUM(F9:F11)</f>
        <v>0</v>
      </c>
      <c r="G12" s="733">
        <f>SUM(G9:G11)</f>
        <v>0</v>
      </c>
      <c r="H12" s="733"/>
      <c r="I12" s="734" t="s">
        <v>689</v>
      </c>
    </row>
    <row r="13" spans="1:20" ht="20.100000000000001" customHeight="1">
      <c r="A13" s="723">
        <f t="shared" si="0"/>
        <v>5</v>
      </c>
      <c r="B13" s="723" t="s">
        <v>690</v>
      </c>
      <c r="D13" s="724"/>
      <c r="G13" s="735">
        <f>+'Appendix A'!J224</f>
        <v>1</v>
      </c>
      <c r="H13" s="723"/>
      <c r="I13" s="723" t="s">
        <v>691</v>
      </c>
    </row>
    <row r="14" spans="1:20" ht="20.100000000000001" customHeight="1">
      <c r="A14" s="723">
        <f t="shared" si="0"/>
        <v>6</v>
      </c>
      <c r="B14" s="723" t="s">
        <v>692</v>
      </c>
      <c r="D14" s="724"/>
      <c r="F14" s="736">
        <f>+'Appendix A'!H97</f>
        <v>1</v>
      </c>
      <c r="H14" s="723"/>
      <c r="I14" s="723" t="s">
        <v>693</v>
      </c>
    </row>
    <row r="15" spans="1:20" ht="20.100000000000001" customHeight="1">
      <c r="A15" s="723">
        <f t="shared" si="0"/>
        <v>7</v>
      </c>
      <c r="B15" s="723" t="s">
        <v>694</v>
      </c>
      <c r="D15" s="724"/>
      <c r="E15" s="736">
        <v>1</v>
      </c>
      <c r="F15" s="736"/>
      <c r="H15" s="723"/>
      <c r="I15" s="737">
        <v>1</v>
      </c>
    </row>
    <row r="16" spans="1:20" ht="20.100000000000001" customHeight="1">
      <c r="A16" s="723">
        <f t="shared" si="0"/>
        <v>8</v>
      </c>
      <c r="B16" s="723" t="s">
        <v>695</v>
      </c>
      <c r="D16" s="724"/>
      <c r="E16" s="733">
        <f>+E15*E12</f>
        <v>-5949180.3267285302</v>
      </c>
      <c r="F16" s="733">
        <f>+F14*F12</f>
        <v>0</v>
      </c>
      <c r="G16" s="733">
        <f>+G13*G12</f>
        <v>0</v>
      </c>
      <c r="H16" s="733">
        <f>+E16+F16+G16</f>
        <v>-5949180.3267285302</v>
      </c>
      <c r="I16" s="738" t="s">
        <v>696</v>
      </c>
    </row>
    <row r="17" spans="1:17" ht="20.100000000000001" customHeight="1">
      <c r="B17" s="723"/>
      <c r="D17" s="724"/>
      <c r="E17" s="733"/>
      <c r="F17" s="733"/>
      <c r="G17" s="733"/>
      <c r="H17" s="733"/>
      <c r="I17" s="738"/>
    </row>
    <row r="18" spans="1:17" ht="20.100000000000001" customHeight="1">
      <c r="B18" s="723"/>
      <c r="D18" s="734"/>
      <c r="G18" s="733"/>
      <c r="I18" s="726"/>
    </row>
    <row r="19" spans="1:17" ht="20.100000000000001" customHeight="1">
      <c r="B19" s="722" t="s">
        <v>174</v>
      </c>
      <c r="C19" s="722" t="s">
        <v>175</v>
      </c>
      <c r="D19" s="722" t="s">
        <v>176</v>
      </c>
      <c r="E19" s="722" t="s">
        <v>378</v>
      </c>
      <c r="F19" s="722" t="s">
        <v>379</v>
      </c>
      <c r="G19" s="726" t="s">
        <v>380</v>
      </c>
      <c r="H19" s="726" t="s">
        <v>381</v>
      </c>
      <c r="I19" s="726"/>
    </row>
    <row r="20" spans="1:17" ht="20.100000000000001" customHeight="1">
      <c r="A20" s="739"/>
      <c r="B20" s="740" t="s">
        <v>697</v>
      </c>
      <c r="C20" s="740" t="s">
        <v>698</v>
      </c>
      <c r="D20" s="740" t="s">
        <v>298</v>
      </c>
      <c r="E20" s="740" t="s">
        <v>699</v>
      </c>
      <c r="F20" s="740" t="s">
        <v>402</v>
      </c>
      <c r="G20" s="740" t="s">
        <v>683</v>
      </c>
      <c r="H20" s="740" t="s">
        <v>684</v>
      </c>
      <c r="I20" s="740"/>
      <c r="Q20" s="726"/>
    </row>
    <row r="21" spans="1:17" ht="20.100000000000001" customHeight="1">
      <c r="A21" s="724" t="s">
        <v>700</v>
      </c>
      <c r="B21" s="741"/>
      <c r="C21" s="724"/>
      <c r="D21" s="726"/>
      <c r="E21" s="726"/>
      <c r="F21" s="726"/>
      <c r="G21" s="724"/>
      <c r="Q21" s="726"/>
    </row>
    <row r="22" spans="1:17" ht="20.100000000000001" customHeight="1">
      <c r="A22" s="742">
        <f>A16+1</f>
        <v>9</v>
      </c>
      <c r="B22" s="741" t="s">
        <v>701</v>
      </c>
      <c r="C22" s="724" t="s">
        <v>300</v>
      </c>
      <c r="D22" s="743" t="s">
        <v>702</v>
      </c>
      <c r="E22" s="28">
        <f t="shared" ref="E22:E29" si="1">SUM(F22:H22)</f>
        <v>-2502695.0366009716</v>
      </c>
      <c r="F22" s="28">
        <f>'6c- ADIT BOY'!E54</f>
        <v>-2502695.0366009716</v>
      </c>
      <c r="G22" s="28">
        <f>'6c- ADIT BOY'!F54</f>
        <v>0</v>
      </c>
      <c r="H22" s="28">
        <f>'6c- ADIT BOY'!G54</f>
        <v>0</v>
      </c>
      <c r="I22" s="744"/>
    </row>
    <row r="23" spans="1:17" ht="20.100000000000001" customHeight="1">
      <c r="A23" s="742">
        <f>A22+1</f>
        <v>10</v>
      </c>
      <c r="B23" s="741" t="str">
        <f>"Actual Balance, BOY, Non Prorated items (Line "&amp;A22&amp;" less Line "&amp;A24&amp;")"</f>
        <v>Actual Balance, BOY, Non Prorated items (Line 9 less Line 11)</v>
      </c>
      <c r="C23" s="724" t="s">
        <v>300</v>
      </c>
      <c r="D23" s="743" t="s">
        <v>702</v>
      </c>
      <c r="E23" s="28">
        <f t="shared" si="1"/>
        <v>-2502695.0366009716</v>
      </c>
      <c r="F23" s="28">
        <f>F22-F24</f>
        <v>-2502695.0366009716</v>
      </c>
      <c r="G23" s="28">
        <f>G22-G24</f>
        <v>0</v>
      </c>
      <c r="H23" s="28">
        <f>H22-H24</f>
        <v>0</v>
      </c>
      <c r="I23" s="744"/>
    </row>
    <row r="24" spans="1:17" ht="20.100000000000001" customHeight="1">
      <c r="A24" s="742">
        <f t="shared" ref="A24:A29" si="2">A23+1</f>
        <v>11</v>
      </c>
      <c r="B24" s="741" t="s">
        <v>703</v>
      </c>
      <c r="C24" s="724" t="s">
        <v>300</v>
      </c>
      <c r="D24" s="743" t="s">
        <v>702</v>
      </c>
      <c r="E24" s="28">
        <f t="shared" si="1"/>
        <v>0</v>
      </c>
      <c r="F24" s="28">
        <f>'6c- ADIT BOY'!E50</f>
        <v>0</v>
      </c>
      <c r="G24" s="28">
        <f>'6c- ADIT BOY'!F50</f>
        <v>0</v>
      </c>
      <c r="H24" s="28">
        <f>'6c- ADIT BOY'!G50</f>
        <v>0</v>
      </c>
      <c r="I24" s="744"/>
    </row>
    <row r="25" spans="1:17" ht="20.100000000000001" customHeight="1">
      <c r="A25" s="742">
        <f t="shared" si="2"/>
        <v>12</v>
      </c>
      <c r="B25" s="741" t="s">
        <v>704</v>
      </c>
      <c r="C25" s="724" t="s">
        <v>300</v>
      </c>
      <c r="D25" s="743" t="s">
        <v>702</v>
      </c>
      <c r="E25" s="28">
        <f t="shared" si="1"/>
        <v>-4697832.8084280444</v>
      </c>
      <c r="F25" s="28">
        <f>'6d- ADIT EOY'!E54</f>
        <v>-4697832.8084280444</v>
      </c>
      <c r="G25" s="28">
        <f>'6d- ADIT EOY'!F54</f>
        <v>0</v>
      </c>
      <c r="H25" s="28">
        <f>'6d- ADIT EOY'!G54</f>
        <v>0</v>
      </c>
      <c r="I25" s="736"/>
    </row>
    <row r="26" spans="1:17" ht="20.100000000000001" customHeight="1">
      <c r="A26" s="742">
        <f t="shared" si="2"/>
        <v>13</v>
      </c>
      <c r="B26" s="741" t="str">
        <f>"Actual Balance, EOY, Non Prorated items (Line "&amp;A25&amp;" less Line "&amp;A27&amp;")"</f>
        <v>Actual Balance, EOY, Non Prorated items (Line 12 less Line 14)</v>
      </c>
      <c r="C26" s="724" t="s">
        <v>300</v>
      </c>
      <c r="D26" s="743" t="s">
        <v>702</v>
      </c>
      <c r="E26" s="28">
        <f t="shared" si="1"/>
        <v>0</v>
      </c>
      <c r="F26" s="28">
        <f>F25-F27</f>
        <v>0</v>
      </c>
      <c r="G26" s="28">
        <f t="shared" ref="G26:H26" si="3">G25-G27</f>
        <v>0</v>
      </c>
      <c r="H26" s="28">
        <f t="shared" si="3"/>
        <v>0</v>
      </c>
    </row>
    <row r="27" spans="1:17" ht="20.100000000000001" customHeight="1">
      <c r="A27" s="742">
        <f t="shared" si="2"/>
        <v>14</v>
      </c>
      <c r="B27" s="741" t="s">
        <v>705</v>
      </c>
      <c r="C27" s="724" t="s">
        <v>300</v>
      </c>
      <c r="D27" s="743" t="s">
        <v>702</v>
      </c>
      <c r="E27" s="28">
        <f t="shared" si="1"/>
        <v>-4697832.8084280444</v>
      </c>
      <c r="F27" s="28">
        <f>'6d- ADIT EOY'!E50</f>
        <v>-4697832.8084280444</v>
      </c>
      <c r="G27" s="28">
        <f>'6d- ADIT EOY'!F50</f>
        <v>0</v>
      </c>
      <c r="H27" s="28">
        <f>'6d- ADIT EOY'!G50</f>
        <v>0</v>
      </c>
    </row>
    <row r="28" spans="1:17" ht="20.100000000000001" customHeight="1">
      <c r="A28" s="742">
        <f t="shared" si="2"/>
        <v>15</v>
      </c>
      <c r="B28" s="741" t="s">
        <v>706</v>
      </c>
      <c r="C28" s="724" t="s">
        <v>300</v>
      </c>
      <c r="D28" s="743" t="s">
        <v>702</v>
      </c>
      <c r="E28" s="28">
        <f t="shared" si="1"/>
        <v>-4697832.8084280444</v>
      </c>
      <c r="F28" s="28">
        <f>'6b-ADIT Projection Proration'!H22</f>
        <v>-4697832.8084280444</v>
      </c>
      <c r="G28" s="28">
        <f>'6b-ADIT Projection Proration'!J22</f>
        <v>0</v>
      </c>
      <c r="H28" s="28">
        <f>'6b-ADIT Projection Proration'!L22</f>
        <v>0</v>
      </c>
      <c r="I28" s="744"/>
    </row>
    <row r="29" spans="1:17" ht="20.100000000000001" customHeight="1">
      <c r="A29" s="742">
        <f t="shared" si="2"/>
        <v>16</v>
      </c>
      <c r="B29" s="741" t="str">
        <f>"ADIT 282 ((Line "&amp;A23&amp;" plus Line "&amp;A26&amp;") / 2) plus Line "&amp;A28&amp;""</f>
        <v>ADIT 282 ((Line 10 plus Line 13) / 2) plus Line 15</v>
      </c>
      <c r="C29" s="724" t="s">
        <v>300</v>
      </c>
      <c r="D29" s="743" t="s">
        <v>702</v>
      </c>
      <c r="E29" s="28">
        <f t="shared" si="1"/>
        <v>-5949180.3267285302</v>
      </c>
      <c r="F29" s="28">
        <f>((F23+F26)/2+F28)</f>
        <v>-5949180.3267285302</v>
      </c>
      <c r="G29" s="28">
        <f>((G23+G26)/2+G28)</f>
        <v>0</v>
      </c>
      <c r="H29" s="28">
        <f t="shared" ref="H29" si="4">((H23+H26)/2+H28)</f>
        <v>0</v>
      </c>
      <c r="I29" s="744"/>
    </row>
    <row r="30" spans="1:17" ht="20.100000000000001" customHeight="1">
      <c r="A30" s="742"/>
      <c r="B30" s="741"/>
      <c r="C30" s="724"/>
      <c r="D30" s="724"/>
      <c r="E30" s="28"/>
      <c r="F30" s="28"/>
      <c r="G30" s="28"/>
      <c r="H30" s="28"/>
      <c r="I30" s="745"/>
    </row>
    <row r="31" spans="1:17" ht="20.100000000000001" customHeight="1">
      <c r="A31" s="724" t="s">
        <v>707</v>
      </c>
      <c r="B31" s="741"/>
      <c r="C31" s="724"/>
      <c r="D31" s="724"/>
      <c r="E31" s="28"/>
      <c r="F31" s="28"/>
      <c r="G31" s="28"/>
      <c r="H31" s="28"/>
    </row>
    <row r="32" spans="1:17" ht="20.100000000000001" customHeight="1">
      <c r="A32" s="742">
        <f>A29+1</f>
        <v>17</v>
      </c>
      <c r="B32" s="741" t="s">
        <v>708</v>
      </c>
      <c r="C32" s="724" t="s">
        <v>300</v>
      </c>
      <c r="D32" s="743" t="s">
        <v>702</v>
      </c>
      <c r="E32" s="28">
        <f t="shared" ref="E32:E39" si="5">SUM(F32:H32)</f>
        <v>0</v>
      </c>
      <c r="F32" s="28">
        <f>'6c- ADIT BOY'!E78</f>
        <v>0</v>
      </c>
      <c r="G32" s="28">
        <f>'6c- ADIT BOY'!F78</f>
        <v>0</v>
      </c>
      <c r="H32" s="28">
        <f>'6c- ADIT BOY'!G78</f>
        <v>0</v>
      </c>
    </row>
    <row r="33" spans="1:9" ht="20.100000000000001" customHeight="1">
      <c r="A33" s="742">
        <f>A32+1</f>
        <v>18</v>
      </c>
      <c r="B33" s="741" t="str">
        <f>"Actual Balance, BOY, Non Prorated items (Line "&amp;A32&amp;" less Line "&amp;A34&amp;")"</f>
        <v>Actual Balance, BOY, Non Prorated items (Line 17 less Line 19)</v>
      </c>
      <c r="C33" s="724" t="s">
        <v>300</v>
      </c>
      <c r="D33" s="743" t="s">
        <v>702</v>
      </c>
      <c r="E33" s="28">
        <f t="shared" si="5"/>
        <v>0</v>
      </c>
      <c r="F33" s="28">
        <f>F32-F34</f>
        <v>0</v>
      </c>
      <c r="G33" s="28">
        <f t="shared" ref="G33:H33" si="6">G32-G34</f>
        <v>0</v>
      </c>
      <c r="H33" s="28">
        <f t="shared" si="6"/>
        <v>0</v>
      </c>
      <c r="I33" s="744"/>
    </row>
    <row r="34" spans="1:9" ht="20.100000000000001" customHeight="1">
      <c r="A34" s="742">
        <f t="shared" ref="A34:A39" si="7">A33+1</f>
        <v>19</v>
      </c>
      <c r="B34" s="741" t="s">
        <v>709</v>
      </c>
      <c r="C34" s="724" t="s">
        <v>300</v>
      </c>
      <c r="D34" s="743" t="s">
        <v>702</v>
      </c>
      <c r="E34" s="28">
        <f t="shared" si="5"/>
        <v>0</v>
      </c>
      <c r="F34" s="28">
        <f>'6c- ADIT BOY'!E74</f>
        <v>0</v>
      </c>
      <c r="G34" s="28">
        <f>'6c- ADIT BOY'!F74</f>
        <v>0</v>
      </c>
      <c r="H34" s="28">
        <f>'6c- ADIT BOY'!G74</f>
        <v>0</v>
      </c>
      <c r="I34" s="744"/>
    </row>
    <row r="35" spans="1:9" ht="20.100000000000001" customHeight="1">
      <c r="A35" s="742">
        <f t="shared" si="7"/>
        <v>20</v>
      </c>
      <c r="B35" s="741" t="s">
        <v>710</v>
      </c>
      <c r="C35" s="724" t="s">
        <v>300</v>
      </c>
      <c r="D35" s="743" t="s">
        <v>702</v>
      </c>
      <c r="E35" s="28">
        <f t="shared" si="5"/>
        <v>0</v>
      </c>
      <c r="F35" s="28">
        <f>'6d- ADIT EOY'!E78</f>
        <v>0</v>
      </c>
      <c r="G35" s="28">
        <f>'6d- ADIT EOY'!F78</f>
        <v>0</v>
      </c>
      <c r="H35" s="28">
        <f>'6d- ADIT EOY'!G78</f>
        <v>0</v>
      </c>
      <c r="I35" s="744"/>
    </row>
    <row r="36" spans="1:9" ht="20.100000000000001" customHeight="1">
      <c r="A36" s="742">
        <f t="shared" si="7"/>
        <v>21</v>
      </c>
      <c r="B36" s="741" t="str">
        <f>"Actual Balance, EOY, Non Prorated items (Line "&amp;A35&amp;" less Line "&amp;A37&amp;")"</f>
        <v>Actual Balance, EOY, Non Prorated items (Line 20 less Line 22)</v>
      </c>
      <c r="C36" s="724" t="s">
        <v>300</v>
      </c>
      <c r="D36" s="743" t="s">
        <v>702</v>
      </c>
      <c r="E36" s="28">
        <f t="shared" si="5"/>
        <v>0</v>
      </c>
      <c r="F36" s="28">
        <f>F35-F37</f>
        <v>0</v>
      </c>
      <c r="G36" s="28">
        <f t="shared" ref="G36:H36" si="8">G35-G37</f>
        <v>0</v>
      </c>
      <c r="H36" s="28">
        <f t="shared" si="8"/>
        <v>0</v>
      </c>
      <c r="I36" s="744"/>
    </row>
    <row r="37" spans="1:9" ht="20.100000000000001" customHeight="1">
      <c r="A37" s="742">
        <f t="shared" si="7"/>
        <v>22</v>
      </c>
      <c r="B37" s="741" t="s">
        <v>711</v>
      </c>
      <c r="C37" s="724" t="s">
        <v>300</v>
      </c>
      <c r="D37" s="743" t="s">
        <v>702</v>
      </c>
      <c r="E37" s="28">
        <f t="shared" si="5"/>
        <v>0</v>
      </c>
      <c r="F37" s="28">
        <f>'6d- ADIT EOY'!E74</f>
        <v>0</v>
      </c>
      <c r="G37" s="28">
        <f>'6d- ADIT EOY'!F74</f>
        <v>0</v>
      </c>
      <c r="H37" s="28">
        <f>'6d- ADIT EOY'!G74</f>
        <v>0</v>
      </c>
      <c r="I37" s="744"/>
    </row>
    <row r="38" spans="1:9" ht="20.100000000000001" customHeight="1">
      <c r="A38" s="742">
        <f t="shared" si="7"/>
        <v>23</v>
      </c>
      <c r="B38" s="741" t="s">
        <v>712</v>
      </c>
      <c r="C38" s="724" t="s">
        <v>300</v>
      </c>
      <c r="D38" s="743" t="s">
        <v>702</v>
      </c>
      <c r="E38" s="28">
        <f t="shared" si="5"/>
        <v>0</v>
      </c>
      <c r="F38" s="28">
        <f>'6b-ADIT Projection Proration'!H38</f>
        <v>0</v>
      </c>
      <c r="G38" s="28">
        <f>'6b-ADIT Projection Proration'!J38</f>
        <v>0</v>
      </c>
      <c r="H38" s="28">
        <f>'6b-ADIT Projection Proration'!L38</f>
        <v>0</v>
      </c>
      <c r="I38" s="744"/>
    </row>
    <row r="39" spans="1:9" ht="20.100000000000001" customHeight="1">
      <c r="A39" s="742">
        <f t="shared" si="7"/>
        <v>24</v>
      </c>
      <c r="B39" s="741" t="str">
        <f>"ADIT 283 ((Line "&amp;A33&amp;" plus Line "&amp;A36&amp;") / 2) plus Line "&amp;A38&amp;""</f>
        <v>ADIT 283 ((Line 18 plus Line 21) / 2) plus Line 23</v>
      </c>
      <c r="C39" s="724" t="s">
        <v>300</v>
      </c>
      <c r="D39" s="743" t="s">
        <v>702</v>
      </c>
      <c r="E39" s="28">
        <f t="shared" si="5"/>
        <v>0</v>
      </c>
      <c r="F39" s="28">
        <f>((F33+F36)/2+F38)</f>
        <v>0</v>
      </c>
      <c r="G39" s="28">
        <f>((G33+G36)/2+G38)</f>
        <v>0</v>
      </c>
      <c r="H39" s="28">
        <f>((H33+H36)/2+H38)</f>
        <v>0</v>
      </c>
      <c r="I39" s="744"/>
    </row>
    <row r="40" spans="1:9" ht="20.100000000000001" customHeight="1">
      <c r="A40" s="742"/>
      <c r="B40" s="741"/>
      <c r="C40" s="724"/>
      <c r="D40" s="724"/>
      <c r="E40" s="28"/>
      <c r="F40" s="28"/>
      <c r="G40" s="28"/>
      <c r="H40" s="28"/>
      <c r="I40" s="745"/>
    </row>
    <row r="41" spans="1:9" ht="20.100000000000001" customHeight="1">
      <c r="A41" s="724" t="s">
        <v>687</v>
      </c>
      <c r="B41" s="741"/>
      <c r="C41" s="724"/>
      <c r="D41" s="724"/>
      <c r="E41" s="28"/>
      <c r="F41" s="28"/>
      <c r="G41" s="28"/>
      <c r="H41" s="28"/>
    </row>
    <row r="42" spans="1:9" ht="20.100000000000001" customHeight="1">
      <c r="A42" s="742">
        <f>A39+1</f>
        <v>25</v>
      </c>
      <c r="B42" s="741" t="s">
        <v>713</v>
      </c>
      <c r="C42" s="724" t="s">
        <v>300</v>
      </c>
      <c r="D42" s="743" t="s">
        <v>702</v>
      </c>
      <c r="E42" s="28">
        <f t="shared" ref="E42:E49" si="9">SUM(F42:H42)</f>
        <v>0</v>
      </c>
      <c r="F42" s="28">
        <f>'6c- ADIT BOY'!E32</f>
        <v>0</v>
      </c>
      <c r="G42" s="28">
        <f>'6c- ADIT BOY'!F32</f>
        <v>0</v>
      </c>
      <c r="H42" s="28">
        <f>'6c- ADIT BOY'!G32</f>
        <v>0</v>
      </c>
    </row>
    <row r="43" spans="1:9" ht="20.100000000000001" customHeight="1">
      <c r="A43" s="742">
        <f>A42+1</f>
        <v>26</v>
      </c>
      <c r="B43" s="741" t="str">
        <f>"Actual Balance, BOY, Non Prorated items (Line "&amp;A42&amp;" less Line "&amp;A44&amp;")"</f>
        <v>Actual Balance, BOY, Non Prorated items (Line 25 less Line 27)</v>
      </c>
      <c r="C43" s="724" t="s">
        <v>300</v>
      </c>
      <c r="D43" s="743" t="s">
        <v>702</v>
      </c>
      <c r="E43" s="28">
        <f t="shared" si="9"/>
        <v>0</v>
      </c>
      <c r="F43" s="28">
        <f>F42-F44</f>
        <v>0</v>
      </c>
      <c r="G43" s="28">
        <f>G42-G44</f>
        <v>0</v>
      </c>
      <c r="H43" s="28">
        <f>H42-H44</f>
        <v>0</v>
      </c>
    </row>
    <row r="44" spans="1:9" ht="20.100000000000001" customHeight="1">
      <c r="A44" s="742">
        <f t="shared" ref="A44:A49" si="10">A43+1</f>
        <v>27</v>
      </c>
      <c r="B44" s="741" t="s">
        <v>714</v>
      </c>
      <c r="C44" s="724" t="s">
        <v>300</v>
      </c>
      <c r="D44" s="743" t="s">
        <v>702</v>
      </c>
      <c r="E44" s="28">
        <f t="shared" si="9"/>
        <v>0</v>
      </c>
      <c r="F44" s="28">
        <f>'6c- ADIT BOY'!E28</f>
        <v>0</v>
      </c>
      <c r="G44" s="28">
        <f>'6c- ADIT BOY'!F28</f>
        <v>0</v>
      </c>
      <c r="H44" s="28">
        <f>'6c- ADIT BOY'!G28</f>
        <v>0</v>
      </c>
    </row>
    <row r="45" spans="1:9" ht="20.100000000000001" customHeight="1">
      <c r="A45" s="742">
        <f t="shared" si="10"/>
        <v>28</v>
      </c>
      <c r="B45" s="741" t="s">
        <v>715</v>
      </c>
      <c r="C45" s="724" t="s">
        <v>300</v>
      </c>
      <c r="D45" s="743" t="s">
        <v>702</v>
      </c>
      <c r="E45" s="28">
        <f t="shared" si="9"/>
        <v>0</v>
      </c>
      <c r="F45" s="28">
        <f>'6d- ADIT EOY'!E32</f>
        <v>0</v>
      </c>
      <c r="G45" s="28">
        <f>'6d- ADIT EOY'!F32</f>
        <v>0</v>
      </c>
      <c r="H45" s="28">
        <f>'6d- ADIT EOY'!G32</f>
        <v>0</v>
      </c>
    </row>
    <row r="46" spans="1:9" ht="20.100000000000001" customHeight="1">
      <c r="A46" s="742">
        <f t="shared" si="10"/>
        <v>29</v>
      </c>
      <c r="B46" s="741" t="str">
        <f>"Actual Balance, EOY, Non Prorated items (Line "&amp;A45&amp;" less Line "&amp;A47&amp;")"</f>
        <v>Actual Balance, EOY, Non Prorated items (Line 28 less Line 30)</v>
      </c>
      <c r="C46" s="724" t="s">
        <v>300</v>
      </c>
      <c r="D46" s="743" t="s">
        <v>702</v>
      </c>
      <c r="E46" s="28">
        <f t="shared" si="9"/>
        <v>0</v>
      </c>
      <c r="F46" s="28">
        <f>F45-F47</f>
        <v>0</v>
      </c>
      <c r="G46" s="28">
        <f>G45-G47</f>
        <v>0</v>
      </c>
      <c r="H46" s="28">
        <f>H45-H47</f>
        <v>0</v>
      </c>
    </row>
    <row r="47" spans="1:9" ht="20.100000000000001" customHeight="1">
      <c r="A47" s="742">
        <f t="shared" si="10"/>
        <v>30</v>
      </c>
      <c r="B47" s="741" t="s">
        <v>716</v>
      </c>
      <c r="C47" s="724" t="s">
        <v>300</v>
      </c>
      <c r="D47" s="743" t="s">
        <v>702</v>
      </c>
      <c r="E47" s="28">
        <f t="shared" si="9"/>
        <v>0</v>
      </c>
      <c r="F47" s="28">
        <f>'6d- ADIT EOY'!E28</f>
        <v>0</v>
      </c>
      <c r="G47" s="28">
        <f>'6d- ADIT EOY'!F28</f>
        <v>0</v>
      </c>
      <c r="H47" s="28">
        <f>'6d- ADIT EOY'!G28</f>
        <v>0</v>
      </c>
    </row>
    <row r="48" spans="1:9" ht="20.100000000000001" customHeight="1">
      <c r="A48" s="742">
        <f t="shared" si="10"/>
        <v>31</v>
      </c>
      <c r="B48" s="741" t="s">
        <v>717</v>
      </c>
      <c r="C48" s="724" t="s">
        <v>300</v>
      </c>
      <c r="D48" s="743" t="s">
        <v>702</v>
      </c>
      <c r="E48" s="28">
        <f t="shared" si="9"/>
        <v>0</v>
      </c>
      <c r="F48" s="28">
        <f>'6b-ADIT Projection Proration'!H54</f>
        <v>0</v>
      </c>
      <c r="G48" s="28">
        <f>'6b-ADIT Projection Proration'!J54</f>
        <v>0</v>
      </c>
      <c r="H48" s="28">
        <f>'6b-ADIT Projection Proration'!L54</f>
        <v>0</v>
      </c>
    </row>
    <row r="49" spans="1:8" ht="20.100000000000001" customHeight="1">
      <c r="A49" s="742">
        <f t="shared" si="10"/>
        <v>32</v>
      </c>
      <c r="B49" s="741" t="str">
        <f>"ADIT 190 ((Line "&amp;A43&amp;" plus Line "&amp;A46&amp;") / 2) plus Line "&amp;A48&amp;""</f>
        <v>ADIT 190 ((Line 26 plus Line 29) / 2) plus Line 31</v>
      </c>
      <c r="C49" s="724" t="s">
        <v>300</v>
      </c>
      <c r="D49" s="743" t="s">
        <v>702</v>
      </c>
      <c r="E49" s="28">
        <f t="shared" si="9"/>
        <v>0</v>
      </c>
      <c r="F49" s="28">
        <f>((F43+F46)/2+F48)</f>
        <v>0</v>
      </c>
      <c r="G49" s="28">
        <f t="shared" ref="G49:H49" si="11">((G43+G46)/2+G48)</f>
        <v>0</v>
      </c>
      <c r="H49" s="28">
        <f t="shared" si="11"/>
        <v>0</v>
      </c>
    </row>
    <row r="50" spans="1:8" ht="20.100000000000001" customHeight="1">
      <c r="D50" s="746"/>
    </row>
    <row r="51" spans="1:8" ht="20.100000000000001" customHeight="1">
      <c r="D51" s="746"/>
    </row>
    <row r="52" spans="1:8" ht="20.100000000000001" customHeight="1">
      <c r="D52" s="746"/>
    </row>
    <row r="53" spans="1:8" ht="20.100000000000001" customHeight="1">
      <c r="D53" s="746"/>
    </row>
    <row r="54" spans="1:8" ht="20.100000000000001" customHeight="1">
      <c r="B54" s="723"/>
      <c r="D54" s="746"/>
    </row>
    <row r="55" spans="1:8" ht="20.100000000000001" customHeight="1">
      <c r="D55" s="746"/>
    </row>
    <row r="56" spans="1:8" ht="20.100000000000001" customHeight="1">
      <c r="B56" s="723"/>
      <c r="D56" s="746"/>
    </row>
    <row r="160" spans="8:8" ht="20.100000000000001" customHeight="1">
      <c r="H160" s="747"/>
    </row>
  </sheetData>
  <mergeCells count="2">
    <mergeCell ref="A2:I2"/>
    <mergeCell ref="A3:I3"/>
  </mergeCells>
  <printOptions horizontalCentered="1"/>
  <pageMargins left="0.25" right="0.25" top="0.75" bottom="0.75" header="0.3" footer="0.3"/>
  <pageSetup scale="52"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Index</vt:lpstr>
      <vt:lpstr>Appendix A</vt:lpstr>
      <vt:lpstr>1 - Revenue Credits</vt:lpstr>
      <vt:lpstr>2 - Cost Support </vt:lpstr>
      <vt:lpstr>3 - Cost Support</vt:lpstr>
      <vt:lpstr>3 - Cost Support (cont.)</vt:lpstr>
      <vt:lpstr>4 - Incentives</vt:lpstr>
      <vt:lpstr>5 - True-Up</vt:lpstr>
      <vt:lpstr>6a-ADIT Projection</vt:lpstr>
      <vt:lpstr>6b-ADIT Projection Proration</vt:lpstr>
      <vt:lpstr>6c- ADIT BOY</vt:lpstr>
      <vt:lpstr>6d- ADIT EOY</vt:lpstr>
      <vt:lpstr>6e-ADIT True-up</vt:lpstr>
      <vt:lpstr>7- Depreciation Rates</vt:lpstr>
      <vt:lpstr>8a - Workpaper</vt:lpstr>
      <vt:lpstr>8b - WP Incentives</vt:lpstr>
      <vt:lpstr>8c - WP Inc Tax Adj</vt:lpstr>
      <vt:lpstr>'1 - Revenue Credits'!Print_Area</vt:lpstr>
      <vt:lpstr>'3 - Cost Support'!Print_Area</vt:lpstr>
      <vt:lpstr>'5 - True-Up'!Print_Area</vt:lpstr>
      <vt:lpstr>'6c- ADIT BOY'!Print_Area</vt:lpstr>
      <vt:lpstr>'7- Depreciation Rates'!Print_Area</vt:lpstr>
      <vt:lpstr>'Appendix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Poling, Alex</dc:creator>
  <cp:lastModifiedBy>Bissell, Garrett E</cp:lastModifiedBy>
  <dcterms:created xsi:type="dcterms:W3CDTF">2022-09-26T17:00:51Z</dcterms:created>
  <dcterms:modified xsi:type="dcterms:W3CDTF">2022-09-29T19:05:47Z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1065450151</vt:i4>
  </property>
  <property fmtid="{D5CDD505-2E9C-101B-9397-08002B2CF9AE}" pid="3" name="_NewReviewCycle">
    <vt:lpwstr/>
  </property>
  <property fmtid="{D5CDD505-2E9C-101B-9397-08002B2CF9AE}" pid="4" name="_EmailSubject">
    <vt:lpwstr>NEET New York - 2023 Revenue Requirement Projection</vt:lpwstr>
  </property>
  <property fmtid="{D5CDD505-2E9C-101B-9397-08002B2CF9AE}" pid="5" name="_AuthorEmail">
    <vt:lpwstr>GBissell@nyiso.com</vt:lpwstr>
  </property>
  <property fmtid="{D5CDD505-2E9C-101B-9397-08002B2CF9AE}" pid="6" name="_AuthorEmailDisplayName">
    <vt:lpwstr>Bissell, Garrett E</vt:lpwstr>
  </property>
</Properties>
</file>