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codeName="ThisWorkbook" defaultThemeVersion="124226"/>
  <xr:revisionPtr revIDLastSave="0" documentId="8_{92BB694E-F9A8-40A7-8098-E722716CFEBF}" xr6:coauthVersionLast="47" xr6:coauthVersionMax="47" xr10:uidLastSave="{00000000-0000-0000-0000-000000000000}"/>
  <bookViews>
    <workbookView xWindow="-108" yWindow="-108" windowWidth="23256" windowHeight="14016" tabRatio="895" xr2:uid="{00000000-000D-0000-FFFF-FFFF00000000}"/>
  </bookViews>
  <sheets>
    <sheet name="Index" sheetId="39" r:id="rId1"/>
    <sheet name="Appendix A" sheetId="3" r:id="rId2"/>
    <sheet name="1 - Revenue Credits" sheetId="5" r:id="rId3"/>
    <sheet name="2 - Cost Support " sheetId="9" r:id="rId4"/>
    <sheet name="3 - Cost Support" sheetId="29" r:id="rId5"/>
    <sheet name="3 - Cost Support (cont.)" sheetId="38" r:id="rId6"/>
    <sheet name="4 - Incentives" sheetId="25" r:id="rId7"/>
    <sheet name="5  LTD" sheetId="28" r:id="rId8"/>
    <sheet name="6a- ADIT" sheetId="23" r:id="rId9"/>
    <sheet name="6b- ADIT" sheetId="22" r:id="rId10"/>
    <sheet name="7 - True-Up" sheetId="17" r:id="rId11"/>
    <sheet name="7a-Interest Rate" sheetId="30" r:id="rId12"/>
    <sheet name="8 - Const Loan True-up" sheetId="19" r:id="rId13"/>
    <sheet name="9- Depreciation Rates" sheetId="20" r:id="rId14"/>
    <sheet name="10 - Workpaper" sheetId="36" r:id="rId15"/>
    <sheet name="Attachment 11" sheetId="40" r:id="rId16"/>
    <sheet name="Sheet1" sheetId="41" r:id="rId17"/>
  </sheets>
  <externalReferences>
    <externalReference r:id="rId18"/>
  </externalReferences>
  <definedNames>
    <definedName name="_____dat1111">[1]Sheet1!$G$2:$G$29</definedName>
    <definedName name="____dat1111">[1]Sheet1!$G$2:$G$29</definedName>
    <definedName name="___dat1111">[1]Sheet1!$G$2:$G$29</definedName>
    <definedName name="__dat1111">[1]Sheet1!$G$2:$G$29</definedName>
    <definedName name="_dat1111">[1]Sheet1!$G$2:$G$29</definedName>
    <definedName name="_Fill" hidden="1">#REF!</definedName>
    <definedName name="_ftn1" localSheetId="1">'Appendix A'!$D$9</definedName>
    <definedName name="_ftnref1" localSheetId="1">'Appendix A'!$D$6</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sis_Points">[1]Assumptions!$H$15</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hidden="1">{#N/A,#N/A,FALSE,"O&amp;M by processes";#N/A,#N/A,FALSE,"Elec Act vs Bud";#N/A,#N/A,FALSE,"G&amp;A";#N/A,#N/A,FALSE,"BGS";#N/A,#N/A,FALSE,"Res Cost"}</definedName>
    <definedName name="cap_interest">'[1]Input Page'!$E$12</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OGEN">'[1]October Tariff kwh'!$A$1:$H$83</definedName>
    <definedName name="compInc">[1]Inputs!$B$4</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T">[1]AFUDC_CCRF!$A$1:$N$303</definedName>
    <definedName name="CUTINS">[1]AFUDC_CCRF!$A$73:$N$160</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eferral_Interest_Rate">[1]Assumptions!$H$14</definedName>
    <definedName name="Deferral_Recovery">'[1]JFJ-1 Deferral Recovery Rate'!$A$14:$F$64</definedName>
    <definedName name="DefTax">[1]Lists!$A$2:$A$4</definedName>
    <definedName name="delete" hidden="1">{#N/A,#N/A,FALSE,"CURRENT"}</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KeyCon_Close_Date">[1]Assumptions!$E$29</definedName>
    <definedName name="l">[1]Lists!$A$2:$A$4</definedName>
    <definedName name="Labor">'[1]Labor ratio'!$A$2:$K$14</definedName>
    <definedName name="limcount" hidden="1">1</definedName>
    <definedName name="million">1000000</definedName>
    <definedName name="month">[1]RPT80MAR!$A$1:$D$77</definedName>
    <definedName name="months">[1]Permanent!$A$24:$A$35</definedName>
    <definedName name="MTC_Amortization">'[1]JFJ-3 MTC Rate'!$A$32:$F$82</definedName>
    <definedName name="non_cap_int">'[1]Input Page'!$E$11</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2">'1 - Revenue Credits'!$A$1:$F$47</definedName>
    <definedName name="_xlnm.Print_Area" localSheetId="3">'2 - Cost Support '!$A$1:$F$174</definedName>
    <definedName name="_xlnm.Print_Area" localSheetId="4">'3 - Cost Support'!$A$1:$M$183</definedName>
    <definedName name="_xlnm.Print_Area" localSheetId="5">'3 - Cost Support (cont.)'!$A$1:$Q$44</definedName>
    <definedName name="_xlnm.Print_Area" localSheetId="6">'4 - Incentives'!$A$1:$S$152</definedName>
    <definedName name="_xlnm.Print_Area" localSheetId="7">'5  LTD'!$A$1:$J$100</definedName>
    <definedName name="_xlnm.Print_Area" localSheetId="8">'6a- ADIT'!$A$1:$H$102</definedName>
    <definedName name="_xlnm.Print_Area" localSheetId="9">'6b- ADIT'!$A$1:$H$102</definedName>
    <definedName name="_xlnm.Print_Area" localSheetId="10">'7 - True-Up'!$A$1:$K$66</definedName>
    <definedName name="_xlnm.Print_Area" localSheetId="12">'8 - Const Loan True-up'!$A$1:$O$259</definedName>
    <definedName name="_xlnm.Print_Area" localSheetId="13">'9- Depreciation Rates'!$A$1:$D$69</definedName>
    <definedName name="_xlnm.Print_Area" localSheetId="1">'Appendix A'!$A$1:$M$318</definedName>
    <definedName name="_xlnm.Print_Area" localSheetId="15">'Attachment 11'!$A$1:$I$62</definedName>
    <definedName name="_xlnm.Print_Area" localSheetId="0">Index!$A$1:$K$24</definedName>
    <definedName name="Print_Titles_MI">'[1]DACTIVE$'!$A$1:$IV$4,'[1]DACTIVE$'!$A$1:$A$65536</definedName>
    <definedName name="PrintareaDec">'[1]kWh-Mcf'!$E$97,'[1]kWh-Mcf'!$A$81:$E$118,'[1]kWh-Mcf'!$AM$86:$AO$118</definedName>
    <definedName name="query">'[1]Boston Edison'!$A$1:$M$3434</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tate">'[1]State List'!$A$2:$A$53</definedName>
    <definedName name="statsrevised" hidden="1">{#N/A,#N/A,FALSE,"O&amp;M by processes";#N/A,#N/A,FALSE,"Elec Act vs Bud";#N/A,#N/A,FALSE,"G&amp;A";#N/A,#N/A,FALSE,"BGS";#N/A,#N/A,FALSE,"Res Cost"}</definedName>
    <definedName name="STILL1040">'[1]Addt''l 1040 Exclusions'!$A$5:$U$44</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housand">1000</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valDate">[1]Inputs!$B$1</definedName>
    <definedName name="WCCGCR2">[1]Rates!$B$96:$C$190</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hidden="1">{#N/A,#N/A,FALSE,"O&amp;M by processes";#N/A,#N/A,FALSE,"Elec Act vs Bud";#N/A,#N/A,FALSE,"G&amp;A";#N/A,#N/A,FALSE,"BGS";#N/A,#N/A,FALSE,"Res Cost"}</definedName>
    <definedName name="wrn.722." hidden="1">{#N/A,#N/A,FALSE,"CURRENT"}</definedName>
    <definedName name="wrn.AGT." hidden="1">{"AGT",#N/A,FALSE,"Revenue"}</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HLP._.Detail." hidden="1">{"2002 - 2006 Detail Income Statement",#N/A,FALSE,"TUB Income Statement wo DW";"BGS Deferral",#N/A,FALSE,"BGS Deferral";"NNC Deferral",#N/A,FALSE,"NNC Deferral";"MTC Deferral",#N/A,FALSE,"MTC Deferral";#N/A,#N/A,FALSE,"Schedule D"}</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hidden="1">{#N/A,#N/A,FALSE,"Work performed";#N/A,#N/A,FALSE,"Resources"}</definedName>
    <definedName name="wrn.Tax._.Accrual." hidden="1">{#N/A,#N/A,TRUE,"TAXPROV";#N/A,#N/A,TRUE,"FLOWTHRU";#N/A,#N/A,TRUE,"SCHEDULE M'S";#N/A,#N/A,TRUE,"PLANT M'S";#N/A,#N/A,TRUE,"TAXJE"}</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28948E05_8F34_4F1E_96FB_A80A6A844600_.wvu.Cols" localSheetId="8" hidden="1">'6a- ADIT'!#REF!</definedName>
    <definedName name="Z_28948E05_8F34_4F1E_96FB_A80A6A844600_.wvu.Cols" localSheetId="9" hidden="1">'6b- ADIT'!#REF!</definedName>
    <definedName name="Z_28948E05_8F34_4F1E_96FB_A80A6A844600_.wvu.PrintArea" localSheetId="8" hidden="1">'6a- ADIT'!$B$1:$H$124</definedName>
    <definedName name="Z_28948E05_8F34_4F1E_96FB_A80A6A844600_.wvu.PrintArea" localSheetId="9" hidden="1">'6b- ADIT'!$B$1:$H$124</definedName>
    <definedName name="Z_3768C7C8_9953_11DA_B318_000FB55D51DC_.wvu.PrintArea" localSheetId="2" hidden="1">'1 - Revenue Credits'!$A$5:$D$19</definedName>
    <definedName name="Z_3768C7C8_9953_11DA_B318_000FB55D51DC_.wvu.PrintArea" localSheetId="3" hidden="1">'2 - Cost Support '!#REF!</definedName>
    <definedName name="Z_3768C7C8_9953_11DA_B318_000FB55D51DC_.wvu.PrintArea" localSheetId="4" hidden="1">'3 - Cost Support'!$A$30:$M$115</definedName>
    <definedName name="Z_3768C7C8_9953_11DA_B318_000FB55D51DC_.wvu.PrintTitles" localSheetId="3" hidden="1">'2 - Cost Support '!#REF!</definedName>
    <definedName name="Z_3768C7C8_9953_11DA_B318_000FB55D51DC_.wvu.PrintTitles" localSheetId="4" hidden="1">'3 - Cost Support'!#REF!</definedName>
    <definedName name="Z_3768C7C8_9953_11DA_B318_000FB55D51DC_.wvu.Rows" localSheetId="3" hidden="1">'2 - Cost Support '!#REF!</definedName>
    <definedName name="Z_3768C7C8_9953_11DA_B318_000FB55D51DC_.wvu.Rows" localSheetId="4" hidden="1">'3 - Cost Support'!#REF!</definedName>
    <definedName name="Z_3BDD6235_B127_4929_8311_BDAF7BB89818_.wvu.PrintArea" localSheetId="2" hidden="1">'1 - Revenue Credits'!$A$5:$D$19</definedName>
    <definedName name="Z_3BDD6235_B127_4929_8311_BDAF7BB89818_.wvu.PrintArea" localSheetId="3" hidden="1">'2 - Cost Support '!#REF!</definedName>
    <definedName name="Z_3BDD6235_B127_4929_8311_BDAF7BB89818_.wvu.PrintArea" localSheetId="4" hidden="1">'3 - Cost Support'!$A$30:$M$115</definedName>
    <definedName name="Z_3BDD6235_B127_4929_8311_BDAF7BB89818_.wvu.PrintTitles" localSheetId="3" hidden="1">'2 - Cost Support '!#REF!</definedName>
    <definedName name="Z_3BDD6235_B127_4929_8311_BDAF7BB89818_.wvu.PrintTitles" localSheetId="4" hidden="1">'3 - Cost Support'!#REF!</definedName>
    <definedName name="Z_3BDD6235_B127_4929_8311_BDAF7BB89818_.wvu.Rows" localSheetId="3" hidden="1">'2 - Cost Support '!#REF!</definedName>
    <definedName name="Z_3BDD6235_B127_4929_8311_BDAF7BB89818_.wvu.Rows" localSheetId="4" hidden="1">'3 - Cost Support'!#REF!</definedName>
    <definedName name="Z_63011E91_4609_4523_98FE_FD252E915668_.wvu.Cols" localSheetId="8" hidden="1">'6a- ADIT'!#REF!</definedName>
    <definedName name="Z_63011E91_4609_4523_98FE_FD252E915668_.wvu.Cols" localSheetId="9" hidden="1">'6b- ADIT'!#REF!</definedName>
    <definedName name="Z_63011E91_4609_4523_98FE_FD252E915668_.wvu.PrintArea" localSheetId="8" hidden="1">'6a- ADIT'!$B$1:$H$124</definedName>
    <definedName name="Z_63011E91_4609_4523_98FE_FD252E915668_.wvu.PrintArea" localSheetId="9" hidden="1">'6b- ADIT'!$B$1:$H$124</definedName>
    <definedName name="Z_6928E596_79BD_4CEC_9F0D_07E62D69B2A5_.wvu.Cols" localSheetId="8" hidden="1">'6a- ADIT'!#REF!</definedName>
    <definedName name="Z_6928E596_79BD_4CEC_9F0D_07E62D69B2A5_.wvu.Cols" localSheetId="9" hidden="1">'6b- ADIT'!#REF!</definedName>
    <definedName name="Z_6928E596_79BD_4CEC_9F0D_07E62D69B2A5_.wvu.PrintArea" localSheetId="8" hidden="1">'6a- ADIT'!$B$1:$H$124</definedName>
    <definedName name="Z_6928E596_79BD_4CEC_9F0D_07E62D69B2A5_.wvu.PrintArea" localSheetId="9" hidden="1">'6b- ADIT'!$B$1:$H$124</definedName>
    <definedName name="Z_71B42B22_A376_44B5_B0C1_23FC1AA3DBA2_.wvu.Cols" localSheetId="8" hidden="1">'6a- ADIT'!#REF!</definedName>
    <definedName name="Z_71B42B22_A376_44B5_B0C1_23FC1AA3DBA2_.wvu.Cols" localSheetId="9" hidden="1">'6b- ADIT'!#REF!</definedName>
    <definedName name="Z_71B42B22_A376_44B5_B0C1_23FC1AA3DBA2_.wvu.PrintArea" localSheetId="8" hidden="1">'6a- ADIT'!$B$1:$H$124</definedName>
    <definedName name="Z_71B42B22_A376_44B5_B0C1_23FC1AA3DBA2_.wvu.PrintArea" localSheetId="9" hidden="1">'6b- ADIT'!$B$1:$H$124</definedName>
    <definedName name="Z_8FBB4DC9_2D51_4AB9_80D8_F8474B404C29_.wvu.Cols" localSheetId="8" hidden="1">'6a- ADIT'!#REF!</definedName>
    <definedName name="Z_8FBB4DC9_2D51_4AB9_80D8_F8474B404C29_.wvu.Cols" localSheetId="9" hidden="1">'6b- ADIT'!#REF!</definedName>
    <definedName name="Z_8FBB4DC9_2D51_4AB9_80D8_F8474B404C29_.wvu.PrintArea" localSheetId="8" hidden="1">'6a- ADIT'!$B$1:$H$124</definedName>
    <definedName name="Z_8FBB4DC9_2D51_4AB9_80D8_F8474B404C29_.wvu.PrintArea" localSheetId="9" hidden="1">'6b- ADIT'!$B$1:$H$124</definedName>
    <definedName name="Z_B0241363_5C8A_48FC_89A6_56D55586BABE_.wvu.PrintArea" localSheetId="2" hidden="1">'1 - Revenue Credits'!$A$5:$D$19</definedName>
    <definedName name="Z_B0241363_5C8A_48FC_89A6_56D55586BABE_.wvu.PrintArea" localSheetId="3" hidden="1">'2 - Cost Support '!#REF!</definedName>
    <definedName name="Z_B0241363_5C8A_48FC_89A6_56D55586BABE_.wvu.PrintArea" localSheetId="4" hidden="1">'3 - Cost Support'!$A$30:$M$115</definedName>
    <definedName name="Z_B0241363_5C8A_48FC_89A6_56D55586BABE_.wvu.PrintTitles" localSheetId="3" hidden="1">'2 - Cost Support '!#REF!</definedName>
    <definedName name="Z_B0241363_5C8A_48FC_89A6_56D55586BABE_.wvu.PrintTitles" localSheetId="4" hidden="1">'3 - Cost Support'!#REF!</definedName>
    <definedName name="Z_B0241363_5C8A_48FC_89A6_56D55586BABE_.wvu.Rows" localSheetId="3" hidden="1">'2 - Cost Support '!#REF!</definedName>
    <definedName name="Z_B0241363_5C8A_48FC_89A6_56D55586BABE_.wvu.Rows" localSheetId="4" hidden="1">'3 - Cost Support'!#REF!</definedName>
    <definedName name="Z_B647CB7F_C846_4278_B6B1_1EF7F3C004F5_.wvu.Cols" localSheetId="8" hidden="1">'6a- ADIT'!#REF!</definedName>
    <definedName name="Z_B647CB7F_C846_4278_B6B1_1EF7F3C004F5_.wvu.Cols" localSheetId="9" hidden="1">'6b- ADIT'!#REF!</definedName>
    <definedName name="Z_B647CB7F_C846_4278_B6B1_1EF7F3C004F5_.wvu.PrintArea" localSheetId="8" hidden="1">'6a- ADIT'!$B$1:$H$124</definedName>
    <definedName name="Z_B647CB7F_C846_4278_B6B1_1EF7F3C004F5_.wvu.PrintArea" localSheetId="9" hidden="1">'6b- ADIT'!$B$1:$H$124</definedName>
    <definedName name="Z_C0EA0F9F_7310_4201_82C9_7B8FC8DB9137_.wvu.PrintArea" localSheetId="2" hidden="1">'1 - Revenue Credits'!$A$5:$D$19</definedName>
    <definedName name="Z_C0EA0F9F_7310_4201_82C9_7B8FC8DB9137_.wvu.PrintArea" localSheetId="3" hidden="1">'2 - Cost Support '!#REF!</definedName>
    <definedName name="Z_C0EA0F9F_7310_4201_82C9_7B8FC8DB9137_.wvu.PrintArea" localSheetId="4" hidden="1">'3 - Cost Support'!$A$30:$M$115</definedName>
    <definedName name="Z_C0EA0F9F_7310_4201_82C9_7B8FC8DB9137_.wvu.PrintTitles" localSheetId="3" hidden="1">'2 - Cost Support '!#REF!</definedName>
    <definedName name="Z_C0EA0F9F_7310_4201_82C9_7B8FC8DB9137_.wvu.PrintTitles" localSheetId="4" hidden="1">'3 - Cost Support'!#REF!</definedName>
    <definedName name="Z_C0EA0F9F_7310_4201_82C9_7B8FC8DB9137_.wvu.Rows" localSheetId="3" hidden="1">'2 - Cost Support '!#REF!</definedName>
    <definedName name="Z_C0EA0F9F_7310_4201_82C9_7B8FC8DB9137_.wvu.Rows" localSheetId="4" hidden="1">'3 - Cost Support'!#REF!</definedName>
    <definedName name="Z_DC91DEF3_837B_4BB9_A81E_3B78C5914E6C_.wvu.Cols" localSheetId="8" hidden="1">'6a- ADIT'!#REF!</definedName>
    <definedName name="Z_DC91DEF3_837B_4BB9_A81E_3B78C5914E6C_.wvu.Cols" localSheetId="9" hidden="1">'6b- ADIT'!#REF!</definedName>
    <definedName name="Z_DC91DEF3_837B_4BB9_A81E_3B78C5914E6C_.wvu.PrintArea" localSheetId="8" hidden="1">'6a- ADIT'!$B$1:$H$124</definedName>
    <definedName name="Z_DC91DEF3_837B_4BB9_A81E_3B78C5914E6C_.wvu.PrintArea" localSheetId="9" hidden="1">'6b- ADIT'!$B$1:$H$124</definedName>
    <definedName name="Z_FAAD9AAC_1337_43AB_BF1F_CCF9DFCF5B78_.wvu.Cols" localSheetId="8" hidden="1">'6a- ADIT'!#REF!</definedName>
    <definedName name="Z_FAAD9AAC_1337_43AB_BF1F_CCF9DFCF5B78_.wvu.Cols" localSheetId="9" hidden="1">'6b- ADIT'!#REF!</definedName>
    <definedName name="Z_FAAD9AAC_1337_43AB_BF1F_CCF9DFCF5B78_.wvu.PrintArea" localSheetId="8" hidden="1">'6a- ADIT'!$B$1:$H$124</definedName>
    <definedName name="Z_FAAD9AAC_1337_43AB_BF1F_CCF9DFCF5B78_.wvu.PrintArea" localSheetId="9" hidden="1">'6b- ADIT'!$B$1:$H$124</definedName>
    <definedName name="zero">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4" i="3" l="1"/>
  <c r="E13" i="9" l="1"/>
  <c r="E55" i="22"/>
  <c r="E83" i="22" l="1"/>
  <c r="C120" i="25" l="1"/>
  <c r="F20" i="9"/>
  <c r="F106" i="9"/>
  <c r="P28" i="38"/>
  <c r="P27" i="38"/>
  <c r="F12" i="38" l="1"/>
  <c r="E18" i="38"/>
  <c r="F18" i="38" s="1"/>
  <c r="G18" i="38" s="1"/>
  <c r="G12" i="38"/>
  <c r="H12" i="38" s="1"/>
  <c r="I12" i="38" s="1"/>
  <c r="E12" i="38"/>
  <c r="H18" i="38" l="1"/>
  <c r="I18" i="38" s="1"/>
  <c r="J18" i="38" s="1"/>
  <c r="J12" i="38"/>
  <c r="K12" i="38" s="1"/>
  <c r="A247" i="3"/>
  <c r="H144" i="9"/>
  <c r="H145" i="9" s="1"/>
  <c r="H146" i="9" s="1"/>
  <c r="H147" i="9" s="1"/>
  <c r="H148" i="9" s="1"/>
  <c r="H149" i="9" s="1"/>
  <c r="H150" i="9" s="1"/>
  <c r="H151" i="9" s="1"/>
  <c r="H152" i="9" s="1"/>
  <c r="H153" i="9" s="1"/>
  <c r="H201" i="9" s="1"/>
  <c r="P119" i="25" s="1"/>
  <c r="H143" i="9"/>
  <c r="H142" i="9"/>
  <c r="H56" i="9"/>
  <c r="E156" i="3"/>
  <c r="I100" i="9"/>
  <c r="I101" i="9" s="1"/>
  <c r="I102" i="9" s="1"/>
  <c r="I103" i="9" s="1"/>
  <c r="I104" i="9" s="1"/>
  <c r="I105" i="9" s="1"/>
  <c r="I99" i="9"/>
  <c r="P123" i="25"/>
  <c r="P122" i="25"/>
  <c r="P121" i="25"/>
  <c r="P116" i="25"/>
  <c r="J201" i="9"/>
  <c r="K201" i="9"/>
  <c r="L201" i="9"/>
  <c r="M201" i="9"/>
  <c r="M154" i="9"/>
  <c r="P137" i="9"/>
  <c r="M127" i="9"/>
  <c r="M128" i="9" s="1"/>
  <c r="M129" i="9" s="1"/>
  <c r="M130" i="9" s="1"/>
  <c r="M131" i="9" s="1"/>
  <c r="M132" i="9" s="1"/>
  <c r="M133" i="9" s="1"/>
  <c r="M134" i="9" s="1"/>
  <c r="M135" i="9" s="1"/>
  <c r="M136" i="9" s="1"/>
  <c r="M137" i="9" s="1"/>
  <c r="M126" i="9"/>
  <c r="M95" i="9"/>
  <c r="M96" i="9" s="1"/>
  <c r="M97" i="9" s="1"/>
  <c r="M98" i="9" s="1"/>
  <c r="M99" i="9" s="1"/>
  <c r="M100" i="9" s="1"/>
  <c r="M101" i="9" s="1"/>
  <c r="M102" i="9" s="1"/>
  <c r="M103" i="9" s="1"/>
  <c r="M104" i="9" s="1"/>
  <c r="M105" i="9" s="1"/>
  <c r="M94" i="9"/>
  <c r="M143" i="9"/>
  <c r="M144" i="9" s="1"/>
  <c r="M145" i="9" s="1"/>
  <c r="M146" i="9" s="1"/>
  <c r="M147" i="9" s="1"/>
  <c r="M148" i="9" s="1"/>
  <c r="M149" i="9" s="1"/>
  <c r="M150" i="9" s="1"/>
  <c r="M151" i="9" s="1"/>
  <c r="M152" i="9" s="1"/>
  <c r="M153" i="9" s="1"/>
  <c r="M142" i="9"/>
  <c r="J127" i="9"/>
  <c r="J128" i="9" s="1"/>
  <c r="J129" i="9" s="1"/>
  <c r="J130" i="9" s="1"/>
  <c r="J131" i="9" s="1"/>
  <c r="J132" i="9" s="1"/>
  <c r="J133" i="9" s="1"/>
  <c r="J134" i="9" s="1"/>
  <c r="J135" i="9" s="1"/>
  <c r="J136" i="9" s="1"/>
  <c r="J137" i="9" s="1"/>
  <c r="J126" i="9"/>
  <c r="J100" i="9"/>
  <c r="J101" i="9" s="1"/>
  <c r="J102" i="9" s="1"/>
  <c r="J103" i="9" s="1"/>
  <c r="J104" i="9" s="1"/>
  <c r="J105" i="9" s="1"/>
  <c r="J99" i="9"/>
  <c r="K100" i="9"/>
  <c r="K101" i="9" s="1"/>
  <c r="K102" i="9" s="1"/>
  <c r="K103" i="9" s="1"/>
  <c r="K104" i="9" s="1"/>
  <c r="K105" i="9" s="1"/>
  <c r="K99" i="9"/>
  <c r="K95" i="9"/>
  <c r="K96" i="9" s="1"/>
  <c r="K97" i="9" s="1"/>
  <c r="K98" i="9" s="1"/>
  <c r="K94" i="9"/>
  <c r="H127" i="9"/>
  <c r="H128" i="9" s="1"/>
  <c r="H129" i="9" s="1"/>
  <c r="H130" i="9" s="1"/>
  <c r="H131" i="9" s="1"/>
  <c r="H132" i="9" s="1"/>
  <c r="H133" i="9" s="1"/>
  <c r="H134" i="9" s="1"/>
  <c r="H135" i="9" s="1"/>
  <c r="H136" i="9" s="1"/>
  <c r="H137" i="9" s="1"/>
  <c r="H126" i="9"/>
  <c r="H100" i="9"/>
  <c r="H101" i="9" s="1"/>
  <c r="H102" i="9" s="1"/>
  <c r="H103" i="9" s="1"/>
  <c r="H104" i="9" s="1"/>
  <c r="H105" i="9" s="1"/>
  <c r="H99" i="9"/>
  <c r="H95" i="9"/>
  <c r="H96" i="9"/>
  <c r="H97" i="9" s="1"/>
  <c r="H98" i="9" s="1"/>
  <c r="H94" i="9"/>
  <c r="L128" i="9"/>
  <c r="L129" i="9" s="1"/>
  <c r="L130" i="9" s="1"/>
  <c r="L131" i="9" s="1"/>
  <c r="L132" i="9" s="1"/>
  <c r="L133" i="9" s="1"/>
  <c r="L134" i="9" s="1"/>
  <c r="L135" i="9" s="1"/>
  <c r="L136" i="9" s="1"/>
  <c r="L137" i="9" s="1"/>
  <c r="L127" i="9"/>
  <c r="K127" i="9"/>
  <c r="K128" i="9" s="1"/>
  <c r="K129" i="9" s="1"/>
  <c r="K130" i="9" s="1"/>
  <c r="K131" i="9" s="1"/>
  <c r="K132" i="9" s="1"/>
  <c r="K133" i="9" s="1"/>
  <c r="K134" i="9" s="1"/>
  <c r="K135" i="9" s="1"/>
  <c r="K136" i="9" s="1"/>
  <c r="K137" i="9" s="1"/>
  <c r="I127" i="9"/>
  <c r="I128" i="9" s="1"/>
  <c r="I129" i="9" s="1"/>
  <c r="I130" i="9" s="1"/>
  <c r="I131" i="9" s="1"/>
  <c r="I132" i="9" s="1"/>
  <c r="I133" i="9" s="1"/>
  <c r="I134" i="9" s="1"/>
  <c r="I135" i="9" s="1"/>
  <c r="I136" i="9" s="1"/>
  <c r="I137" i="9" s="1"/>
  <c r="I126" i="9"/>
  <c r="K126" i="9"/>
  <c r="L126" i="9"/>
  <c r="L96" i="9"/>
  <c r="L97" i="9" s="1"/>
  <c r="L98" i="9" s="1"/>
  <c r="L99" i="9" s="1"/>
  <c r="L100" i="9" s="1"/>
  <c r="L101" i="9" s="1"/>
  <c r="L102" i="9" s="1"/>
  <c r="L103" i="9" s="1"/>
  <c r="L104" i="9" s="1"/>
  <c r="L105" i="9" s="1"/>
  <c r="L95" i="9"/>
  <c r="J95" i="9"/>
  <c r="J96" i="9" s="1"/>
  <c r="J97" i="9" s="1"/>
  <c r="J98" i="9" s="1"/>
  <c r="I95" i="9"/>
  <c r="I96" i="9" s="1"/>
  <c r="I97" i="9" s="1"/>
  <c r="I98" i="9" s="1"/>
  <c r="I94" i="9"/>
  <c r="J94" i="9"/>
  <c r="L94" i="9"/>
  <c r="G41" i="40"/>
  <c r="H41" i="40" s="1"/>
  <c r="G39" i="40"/>
  <c r="C34" i="40"/>
  <c r="G27" i="40"/>
  <c r="G26" i="40"/>
  <c r="H10" i="40"/>
  <c r="G13" i="40"/>
  <c r="G12" i="40"/>
  <c r="G11" i="40"/>
  <c r="G10" i="40"/>
  <c r="E146" i="3"/>
  <c r="K18" i="38" l="1"/>
  <c r="L18" i="38" s="1"/>
  <c r="L12" i="38"/>
  <c r="M12" i="38" s="1"/>
  <c r="N12" i="38" s="1"/>
  <c r="O12" i="38" s="1"/>
  <c r="P12" i="38" s="1"/>
  <c r="I201" i="9"/>
  <c r="M123" i="25"/>
  <c r="M122" i="25"/>
  <c r="M121" i="25"/>
  <c r="M120" i="25"/>
  <c r="M119" i="25"/>
  <c r="N18" i="38" l="1"/>
  <c r="O18" i="38" s="1"/>
  <c r="P18" i="38" s="1"/>
  <c r="M18" i="38"/>
  <c r="O201" i="9"/>
  <c r="P120" i="25"/>
  <c r="H19" i="9"/>
  <c r="H18" i="9"/>
  <c r="H17" i="9"/>
  <c r="H16" i="9"/>
  <c r="H15" i="9"/>
  <c r="H14" i="9"/>
  <c r="H13" i="9"/>
  <c r="H12" i="9"/>
  <c r="H11" i="9"/>
  <c r="H9" i="9"/>
  <c r="H10" i="9"/>
  <c r="H8" i="9"/>
  <c r="H7" i="9"/>
  <c r="J19" i="9"/>
  <c r="J18" i="9"/>
  <c r="J17" i="9"/>
  <c r="J16" i="9"/>
  <c r="J15" i="9"/>
  <c r="J14" i="9"/>
  <c r="J13" i="9"/>
  <c r="J12" i="9"/>
  <c r="J51" i="9"/>
  <c r="J50" i="9"/>
  <c r="J49" i="9"/>
  <c r="J48" i="9"/>
  <c r="J47" i="9"/>
  <c r="J46" i="9"/>
  <c r="J45" i="9"/>
  <c r="J44" i="9"/>
  <c r="J43" i="9"/>
  <c r="J42" i="9"/>
  <c r="J41" i="9"/>
  <c r="J40" i="9"/>
  <c r="J39" i="9"/>
  <c r="E120" i="25" l="1"/>
  <c r="E121" i="25"/>
  <c r="O36" i="9"/>
  <c r="O35" i="9"/>
  <c r="O34" i="9"/>
  <c r="O33" i="9"/>
  <c r="O32" i="9"/>
  <c r="O31" i="9"/>
  <c r="O30" i="9"/>
  <c r="O29" i="9"/>
  <c r="O28" i="9"/>
  <c r="O27" i="9"/>
  <c r="O26" i="9"/>
  <c r="O25" i="9"/>
  <c r="O24" i="9"/>
  <c r="O23" i="9"/>
  <c r="M36" i="9"/>
  <c r="O175" i="9" l="1"/>
  <c r="O153" i="9" l="1"/>
  <c r="O152" i="9"/>
  <c r="O151" i="9"/>
  <c r="O150" i="9"/>
  <c r="O149" i="9"/>
  <c r="O148" i="9"/>
  <c r="O147" i="9"/>
  <c r="O146" i="9"/>
  <c r="O145" i="9"/>
  <c r="O144" i="9"/>
  <c r="O143" i="9"/>
  <c r="O142" i="9"/>
  <c r="O141" i="9"/>
  <c r="P153" i="9" s="1"/>
  <c r="E157" i="3" s="1"/>
  <c r="O134" i="9"/>
  <c r="O133" i="9"/>
  <c r="O132" i="9"/>
  <c r="O131" i="9"/>
  <c r="O130" i="9"/>
  <c r="O129" i="9"/>
  <c r="O128" i="9"/>
  <c r="O127" i="9"/>
  <c r="O125" i="9"/>
  <c r="O105" i="9"/>
  <c r="P105" i="9" s="1"/>
  <c r="O104" i="9"/>
  <c r="O103" i="9"/>
  <c r="O102" i="9"/>
  <c r="O101" i="9"/>
  <c r="O100" i="9"/>
  <c r="O99" i="9"/>
  <c r="O98" i="9"/>
  <c r="O97" i="9"/>
  <c r="O96" i="9"/>
  <c r="O95" i="9"/>
  <c r="O67" i="9"/>
  <c r="O66" i="9"/>
  <c r="O65" i="9"/>
  <c r="O64" i="9"/>
  <c r="O63" i="9"/>
  <c r="O62" i="9"/>
  <c r="O61" i="9"/>
  <c r="O60" i="9"/>
  <c r="O59" i="9"/>
  <c r="O58" i="9"/>
  <c r="O57" i="9"/>
  <c r="O56" i="9"/>
  <c r="O55" i="9"/>
  <c r="P171" i="9" l="1"/>
  <c r="R116" i="25"/>
  <c r="R119" i="25" l="1"/>
  <c r="R118" i="25"/>
  <c r="R117" i="25"/>
  <c r="I14" i="17"/>
  <c r="I13" i="17"/>
  <c r="H92" i="9" l="1"/>
  <c r="L92" i="9"/>
  <c r="J92" i="9"/>
  <c r="I92" i="9"/>
  <c r="K92" i="9"/>
  <c r="M92" i="9"/>
  <c r="I179" i="9"/>
  <c r="I154" i="9"/>
  <c r="I184" i="9" s="1"/>
  <c r="I68" i="9"/>
  <c r="I183" i="9" s="1"/>
  <c r="I52" i="9"/>
  <c r="I36" i="9"/>
  <c r="I20" i="9"/>
  <c r="I86" i="9" s="1"/>
  <c r="K179" i="9"/>
  <c r="K154" i="9"/>
  <c r="K184" i="9" s="1"/>
  <c r="K68" i="9"/>
  <c r="K183" i="9" s="1"/>
  <c r="K52" i="9"/>
  <c r="K36" i="9"/>
  <c r="K20" i="9"/>
  <c r="K176" i="9" l="1"/>
  <c r="K86" i="9"/>
  <c r="I176" i="9"/>
  <c r="I187" i="9" s="1"/>
  <c r="I185" i="9"/>
  <c r="K185" i="9"/>
  <c r="I138" i="9"/>
  <c r="K187" i="9"/>
  <c r="K138" i="9"/>
  <c r="I106" i="9" l="1"/>
  <c r="K106" i="9"/>
  <c r="I177" i="9" l="1"/>
  <c r="I188" i="9" s="1"/>
  <c r="I189" i="9" s="1"/>
  <c r="I173" i="9"/>
  <c r="I198" i="9" s="1"/>
  <c r="K177" i="9"/>
  <c r="C122" i="25"/>
  <c r="K173" i="9"/>
  <c r="I178" i="9" l="1"/>
  <c r="I180" i="9" s="1"/>
  <c r="I181" i="9" s="1"/>
  <c r="I196" i="9" s="1"/>
  <c r="K178" i="9"/>
  <c r="K198" i="9"/>
  <c r="K188" i="9"/>
  <c r="K180" i="9" l="1"/>
  <c r="K189" i="9"/>
  <c r="K181" i="9" l="1"/>
  <c r="K196" i="9" s="1"/>
  <c r="J179" i="9"/>
  <c r="J154" i="9"/>
  <c r="J68" i="9"/>
  <c r="J52" i="9"/>
  <c r="J36" i="9"/>
  <c r="J20" i="9"/>
  <c r="L179" i="9"/>
  <c r="L154" i="9"/>
  <c r="L184" i="9" s="1"/>
  <c r="L68" i="9"/>
  <c r="L183" i="9" s="1"/>
  <c r="L52" i="9"/>
  <c r="L36" i="9"/>
  <c r="L20" i="9"/>
  <c r="J86" i="9" l="1"/>
  <c r="L86" i="9"/>
  <c r="J183" i="9"/>
  <c r="J184" i="9"/>
  <c r="L176" i="9"/>
  <c r="J176" i="9"/>
  <c r="J187" i="9" s="1"/>
  <c r="L185" i="9"/>
  <c r="J106" i="9"/>
  <c r="J138" i="9"/>
  <c r="L138" i="9"/>
  <c r="E118" i="25"/>
  <c r="L187" i="9" l="1"/>
  <c r="C121" i="25"/>
  <c r="J185" i="9"/>
  <c r="J173" i="9"/>
  <c r="J177" i="9"/>
  <c r="L106" i="9"/>
  <c r="L173" i="9" l="1"/>
  <c r="L198" i="9" s="1"/>
  <c r="L177" i="9"/>
  <c r="C123" i="25"/>
  <c r="J198" i="9"/>
  <c r="J188" i="9"/>
  <c r="J178" i="9"/>
  <c r="L178" i="9"/>
  <c r="L188" i="9" l="1"/>
  <c r="L189" i="9" s="1"/>
  <c r="J189" i="9"/>
  <c r="J180" i="9"/>
  <c r="L180" i="9"/>
  <c r="K166" i="36"/>
  <c r="J166" i="36"/>
  <c r="I166" i="36"/>
  <c r="H166" i="36"/>
  <c r="G166" i="36"/>
  <c r="F166" i="36"/>
  <c r="E166" i="36"/>
  <c r="D166" i="36"/>
  <c r="C166" i="36"/>
  <c r="L165" i="36"/>
  <c r="L163" i="36"/>
  <c r="L162" i="36"/>
  <c r="L161" i="36"/>
  <c r="L160" i="36"/>
  <c r="L159" i="36"/>
  <c r="L158" i="36"/>
  <c r="L157" i="36"/>
  <c r="L156" i="36"/>
  <c r="L155" i="36"/>
  <c r="L154" i="36"/>
  <c r="L153" i="36"/>
  <c r="L152" i="36"/>
  <c r="L151" i="36"/>
  <c r="L150" i="36"/>
  <c r="L149" i="36"/>
  <c r="L148" i="36"/>
  <c r="L147" i="36"/>
  <c r="L146" i="36"/>
  <c r="L145" i="36"/>
  <c r="L144" i="36"/>
  <c r="L143" i="36"/>
  <c r="L142" i="36"/>
  <c r="L181" i="9" l="1"/>
  <c r="L196" i="9" s="1"/>
  <c r="J181" i="9"/>
  <c r="J196" i="9" s="1"/>
  <c r="L166" i="36"/>
  <c r="L175" i="36" l="1"/>
  <c r="H154" i="9" l="1"/>
  <c r="H138" i="9"/>
  <c r="O93" i="9"/>
  <c r="H106" i="9" l="1"/>
  <c r="H36" i="9"/>
  <c r="H68" i="9"/>
  <c r="H183" i="9" s="1"/>
  <c r="O51" i="9"/>
  <c r="O40" i="9"/>
  <c r="O41" i="9"/>
  <c r="O42" i="9"/>
  <c r="O43" i="9"/>
  <c r="O44" i="9"/>
  <c r="O45" i="9"/>
  <c r="O46" i="9"/>
  <c r="O47" i="9"/>
  <c r="O48" i="9"/>
  <c r="O49" i="9"/>
  <c r="O50" i="9"/>
  <c r="O39" i="9"/>
  <c r="H52" i="9"/>
  <c r="H179" i="9"/>
  <c r="M179" i="9"/>
  <c r="H184" i="9"/>
  <c r="O7" i="9"/>
  <c r="H10" i="30"/>
  <c r="H20" i="9" l="1"/>
  <c r="H86" i="9" s="1"/>
  <c r="M52" i="9"/>
  <c r="O52" i="9" s="1"/>
  <c r="H185" i="9"/>
  <c r="H177" i="9"/>
  <c r="H173" i="9"/>
  <c r="H188" i="9" l="1"/>
  <c r="C119" i="25"/>
  <c r="H176" i="9"/>
  <c r="H178" i="9" s="1"/>
  <c r="H180" i="9" s="1"/>
  <c r="H198" i="9"/>
  <c r="H187" i="9" l="1"/>
  <c r="H189" i="9" s="1"/>
  <c r="H181" i="9"/>
  <c r="H196" i="9" s="1"/>
  <c r="C37" i="22" l="1"/>
  <c r="H27" i="40"/>
  <c r="H12" i="40"/>
  <c r="H11" i="40"/>
  <c r="I12" i="17"/>
  <c r="I11" i="17"/>
  <c r="I10" i="17"/>
  <c r="J150" i="3"/>
  <c r="P33" i="38"/>
  <c r="D46" i="40"/>
  <c r="D42" i="40"/>
  <c r="H40" i="40"/>
  <c r="F39" i="40"/>
  <c r="E39" i="40"/>
  <c r="C42" i="40"/>
  <c r="A37" i="40"/>
  <c r="D34" i="40"/>
  <c r="E27" i="40"/>
  <c r="H26" i="40"/>
  <c r="E26" i="40"/>
  <c r="H13" i="40"/>
  <c r="F13" i="40"/>
  <c r="E13" i="40"/>
  <c r="F12" i="40"/>
  <c r="E12" i="40"/>
  <c r="I9" i="17"/>
  <c r="G16" i="17"/>
  <c r="D16" i="17"/>
  <c r="H177" i="36"/>
  <c r="K177" i="36"/>
  <c r="J177" i="36"/>
  <c r="I177" i="36"/>
  <c r="C177" i="36"/>
  <c r="E177" i="36"/>
  <c r="D177" i="36"/>
  <c r="M73" i="29"/>
  <c r="E295" i="3" s="1"/>
  <c r="C86" i="22"/>
  <c r="C94" i="23"/>
  <c r="H12" i="30"/>
  <c r="H13" i="30" s="1"/>
  <c r="F21" i="17" s="1"/>
  <c r="F28" i="17" s="1"/>
  <c r="F29" i="17" s="1"/>
  <c r="F30" i="17" s="1"/>
  <c r="O126" i="9"/>
  <c r="E94" i="22"/>
  <c r="C94" i="22" s="1"/>
  <c r="O8" i="9"/>
  <c r="C95" i="22"/>
  <c r="C66" i="22"/>
  <c r="C38" i="22"/>
  <c r="C66" i="23"/>
  <c r="C65" i="23"/>
  <c r="C38" i="23"/>
  <c r="C37" i="23"/>
  <c r="H134" i="36"/>
  <c r="F177" i="36"/>
  <c r="C65" i="22"/>
  <c r="F179" i="9"/>
  <c r="C85" i="22"/>
  <c r="C84" i="22"/>
  <c r="C83" i="22"/>
  <c r="C55" i="23"/>
  <c r="F28" i="28"/>
  <c r="F29" i="28"/>
  <c r="F35" i="28"/>
  <c r="E100" i="9"/>
  <c r="E27" i="9"/>
  <c r="D93" i="25"/>
  <c r="D60" i="25"/>
  <c r="B91" i="25"/>
  <c r="B58" i="25"/>
  <c r="B26" i="25"/>
  <c r="T80" i="36"/>
  <c r="V80" i="36" s="1"/>
  <c r="T79" i="36"/>
  <c r="V79" i="36" s="1"/>
  <c r="T78" i="36"/>
  <c r="V78" i="36" s="1"/>
  <c r="T77" i="36"/>
  <c r="V77" i="36" s="1"/>
  <c r="T76" i="36"/>
  <c r="V76" i="36" s="1"/>
  <c r="T75" i="36"/>
  <c r="V75" i="36" s="1"/>
  <c r="T74" i="36"/>
  <c r="V74" i="36" s="1"/>
  <c r="T73" i="36"/>
  <c r="V73" i="36" s="1"/>
  <c r="T72" i="36"/>
  <c r="V72" i="36" s="1"/>
  <c r="T71" i="36"/>
  <c r="F154" i="29"/>
  <c r="F155" i="29" s="1"/>
  <c r="F157" i="29" s="1"/>
  <c r="F159" i="29" s="1"/>
  <c r="F144" i="29"/>
  <c r="F145" i="29" s="1"/>
  <c r="F147" i="29" s="1"/>
  <c r="F149" i="29" s="1"/>
  <c r="F165" i="29"/>
  <c r="F133" i="29"/>
  <c r="F135" i="29" s="1"/>
  <c r="F137" i="29" s="1"/>
  <c r="F139" i="29" s="1"/>
  <c r="C7" i="39"/>
  <c r="C4" i="39"/>
  <c r="C5" i="39"/>
  <c r="K5" i="39"/>
  <c r="K6" i="39"/>
  <c r="F66" i="28"/>
  <c r="F65" i="28"/>
  <c r="F26" i="29"/>
  <c r="E114" i="3" s="1"/>
  <c r="M101" i="36"/>
  <c r="R58" i="36"/>
  <c r="I41" i="29"/>
  <c r="I40" i="29"/>
  <c r="I39" i="29"/>
  <c r="I38" i="29"/>
  <c r="I37" i="29"/>
  <c r="I36" i="29"/>
  <c r="F52" i="9"/>
  <c r="E29" i="5"/>
  <c r="F29" i="5"/>
  <c r="C28" i="5"/>
  <c r="C27" i="5"/>
  <c r="C26" i="5"/>
  <c r="Y40" i="36"/>
  <c r="Y39" i="36"/>
  <c r="Y38" i="36"/>
  <c r="Y37" i="36"/>
  <c r="Y36" i="36"/>
  <c r="Y35" i="36"/>
  <c r="Y34" i="36"/>
  <c r="Y33" i="36"/>
  <c r="Y32" i="36"/>
  <c r="Y31" i="36"/>
  <c r="Y30" i="36"/>
  <c r="W40" i="36"/>
  <c r="W39" i="36"/>
  <c r="W38" i="36"/>
  <c r="W37" i="36"/>
  <c r="W36" i="36"/>
  <c r="W35" i="36"/>
  <c r="W34" i="36"/>
  <c r="W33" i="36"/>
  <c r="W32" i="36"/>
  <c r="W31" i="36"/>
  <c r="W30" i="36"/>
  <c r="Z30" i="36" s="1"/>
  <c r="Y11" i="36"/>
  <c r="Y12" i="36"/>
  <c r="Y13" i="36"/>
  <c r="Y14" i="36"/>
  <c r="Y15" i="36"/>
  <c r="Y16" i="36"/>
  <c r="Y17" i="36"/>
  <c r="Y18" i="36"/>
  <c r="Y19" i="36"/>
  <c r="Y20" i="36"/>
  <c r="Y10" i="36"/>
  <c r="W11" i="36"/>
  <c r="W12" i="36"/>
  <c r="W13" i="36"/>
  <c r="W14" i="36"/>
  <c r="W15" i="36"/>
  <c r="W16" i="36"/>
  <c r="W17" i="36"/>
  <c r="W18" i="36"/>
  <c r="W19" i="36"/>
  <c r="W20" i="36"/>
  <c r="E40" i="36"/>
  <c r="G40" i="36" s="1"/>
  <c r="I40" i="36" s="1"/>
  <c r="E39" i="36"/>
  <c r="G39" i="36" s="1"/>
  <c r="I39" i="36" s="1"/>
  <c r="E38" i="36"/>
  <c r="G38" i="36" s="1"/>
  <c r="I38" i="36" s="1"/>
  <c r="E37" i="36"/>
  <c r="G37" i="36" s="1"/>
  <c r="I37" i="36" s="1"/>
  <c r="E36" i="36"/>
  <c r="G36" i="36" s="1"/>
  <c r="I36" i="36" s="1"/>
  <c r="E35" i="36"/>
  <c r="G35" i="36" s="1"/>
  <c r="I35" i="36" s="1"/>
  <c r="E34" i="36"/>
  <c r="G34" i="36" s="1"/>
  <c r="I34" i="36" s="1"/>
  <c r="E33" i="36"/>
  <c r="G33" i="36" s="1"/>
  <c r="I33" i="36" s="1"/>
  <c r="E32" i="36"/>
  <c r="G32" i="36" s="1"/>
  <c r="I32" i="36" s="1"/>
  <c r="E31" i="36"/>
  <c r="G31" i="36" s="1"/>
  <c r="I31" i="36" s="1"/>
  <c r="E30" i="36"/>
  <c r="G30" i="36" s="1"/>
  <c r="I30" i="36" s="1"/>
  <c r="E20" i="36"/>
  <c r="G20" i="36" s="1"/>
  <c r="I20" i="36" s="1"/>
  <c r="E19" i="36"/>
  <c r="G19" i="36" s="1"/>
  <c r="I19" i="36" s="1"/>
  <c r="E18" i="36"/>
  <c r="G18" i="36" s="1"/>
  <c r="I18" i="36" s="1"/>
  <c r="E17" i="36"/>
  <c r="G17" i="36" s="1"/>
  <c r="I17" i="36" s="1"/>
  <c r="E16" i="36"/>
  <c r="G16" i="36" s="1"/>
  <c r="I16" i="36" s="1"/>
  <c r="E15" i="36"/>
  <c r="G15" i="36" s="1"/>
  <c r="I15" i="36" s="1"/>
  <c r="E14" i="36"/>
  <c r="G14" i="36" s="1"/>
  <c r="I14" i="36" s="1"/>
  <c r="E13" i="36"/>
  <c r="G13" i="36" s="1"/>
  <c r="I13" i="36" s="1"/>
  <c r="E12" i="36"/>
  <c r="G12" i="36" s="1"/>
  <c r="I12" i="36" s="1"/>
  <c r="E11" i="36"/>
  <c r="G11" i="36" s="1"/>
  <c r="I11" i="36" s="1"/>
  <c r="E10" i="36"/>
  <c r="G10" i="36" s="1"/>
  <c r="I10" i="36" s="1"/>
  <c r="J219" i="3"/>
  <c r="H9" i="29"/>
  <c r="E158" i="3" s="1"/>
  <c r="H229" i="3"/>
  <c r="H228" i="3"/>
  <c r="H226" i="3"/>
  <c r="D147" i="3"/>
  <c r="D148" i="3"/>
  <c r="E148" i="3"/>
  <c r="E104" i="3"/>
  <c r="D84" i="25"/>
  <c r="L171" i="36"/>
  <c r="L172" i="36"/>
  <c r="L176" i="36"/>
  <c r="G177" i="36"/>
  <c r="E2" i="38"/>
  <c r="D2" i="29"/>
  <c r="P40" i="38"/>
  <c r="I236" i="3" s="1"/>
  <c r="G17" i="25" s="1"/>
  <c r="D22" i="38"/>
  <c r="B22" i="38"/>
  <c r="Q21" i="38"/>
  <c r="Q20" i="38"/>
  <c r="Q19" i="38"/>
  <c r="Q16" i="38"/>
  <c r="F236" i="3" s="1"/>
  <c r="D14" i="38"/>
  <c r="Q13" i="38"/>
  <c r="Q11" i="38"/>
  <c r="Q10" i="38"/>
  <c r="A10" i="38"/>
  <c r="A11" i="38"/>
  <c r="A12" i="38" s="1"/>
  <c r="A13" i="38" s="1"/>
  <c r="D40" i="28"/>
  <c r="E40" i="28" s="1"/>
  <c r="F40" i="28"/>
  <c r="M108" i="36"/>
  <c r="M107" i="36"/>
  <c r="M106" i="36"/>
  <c r="M105" i="36"/>
  <c r="M104" i="36"/>
  <c r="M103" i="36"/>
  <c r="M102" i="36"/>
  <c r="M100" i="36"/>
  <c r="M99" i="36"/>
  <c r="M98" i="36"/>
  <c r="M97" i="36"/>
  <c r="M96" i="36"/>
  <c r="M95" i="36"/>
  <c r="M94" i="36"/>
  <c r="M93" i="36"/>
  <c r="M92" i="36"/>
  <c r="R60" i="36"/>
  <c r="R59" i="36"/>
  <c r="R57" i="36"/>
  <c r="R56" i="36"/>
  <c r="R55" i="36"/>
  <c r="R54" i="36"/>
  <c r="R53" i="36"/>
  <c r="R52" i="36"/>
  <c r="R51" i="36"/>
  <c r="C275" i="3"/>
  <c r="F67" i="28"/>
  <c r="A51" i="28"/>
  <c r="A52" i="28" s="1"/>
  <c r="A53" i="28" s="1"/>
  <c r="A54" i="28" s="1"/>
  <c r="A55" i="28" s="1"/>
  <c r="A56" i="28" s="1"/>
  <c r="A57" i="28" s="1"/>
  <c r="A58" i="28" s="1"/>
  <c r="A59" i="28" s="1"/>
  <c r="A60" i="28" s="1"/>
  <c r="A61" i="28" s="1"/>
  <c r="A62" i="28" s="1"/>
  <c r="A63" i="28" s="1"/>
  <c r="A64" i="28" s="1"/>
  <c r="A65" i="28" s="1"/>
  <c r="A66" i="28" s="1"/>
  <c r="A67" i="28" s="1"/>
  <c r="A68" i="28" s="1"/>
  <c r="A69" i="28" s="1"/>
  <c r="A70" i="28" s="1"/>
  <c r="A71" i="28" s="1"/>
  <c r="A72" i="28" s="1"/>
  <c r="A73" i="28" s="1"/>
  <c r="A74" i="28" s="1"/>
  <c r="B110" i="25"/>
  <c r="C172" i="29"/>
  <c r="F175" i="29"/>
  <c r="F177" i="29" s="1"/>
  <c r="F179" i="29" s="1"/>
  <c r="J40" i="25"/>
  <c r="J105" i="25" s="1"/>
  <c r="G18" i="25"/>
  <c r="G50" i="25" s="1"/>
  <c r="D51" i="25"/>
  <c r="F167" i="29"/>
  <c r="F169" i="29" s="1"/>
  <c r="C175" i="3"/>
  <c r="D25" i="3"/>
  <c r="H101" i="29"/>
  <c r="H102" i="29"/>
  <c r="H103" i="29"/>
  <c r="H104" i="29"/>
  <c r="H105" i="29"/>
  <c r="H106" i="29"/>
  <c r="H107" i="29"/>
  <c r="H108" i="29"/>
  <c r="H109" i="29"/>
  <c r="H110" i="29"/>
  <c r="H111" i="29"/>
  <c r="H112" i="29"/>
  <c r="H100" i="29"/>
  <c r="A7" i="30"/>
  <c r="A8" i="30" s="1"/>
  <c r="A9" i="30" s="1"/>
  <c r="A10" i="30" s="1"/>
  <c r="A12" i="30" s="1"/>
  <c r="A13" i="30" s="1"/>
  <c r="J218" i="3"/>
  <c r="E169" i="9"/>
  <c r="E168" i="9"/>
  <c r="E167" i="9"/>
  <c r="E166" i="9"/>
  <c r="E165" i="9"/>
  <c r="E164" i="9"/>
  <c r="E163" i="9"/>
  <c r="E162" i="9"/>
  <c r="E161" i="9"/>
  <c r="E160" i="9"/>
  <c r="E159" i="9"/>
  <c r="E158" i="9"/>
  <c r="E157" i="9"/>
  <c r="E153" i="9"/>
  <c r="E152" i="9"/>
  <c r="E151" i="9"/>
  <c r="E150" i="9"/>
  <c r="E149" i="9"/>
  <c r="E148" i="9"/>
  <c r="E147" i="9"/>
  <c r="E146" i="9"/>
  <c r="E145" i="9"/>
  <c r="E144" i="9"/>
  <c r="E143" i="9"/>
  <c r="E142" i="9"/>
  <c r="E141" i="9"/>
  <c r="E137" i="9"/>
  <c r="E136" i="9"/>
  <c r="E135" i="9"/>
  <c r="E134" i="9"/>
  <c r="E133" i="9"/>
  <c r="E132" i="9"/>
  <c r="E131" i="9"/>
  <c r="E130" i="9"/>
  <c r="E129" i="9"/>
  <c r="E128" i="9"/>
  <c r="E127" i="9"/>
  <c r="E126" i="9"/>
  <c r="E125" i="9"/>
  <c r="E121" i="9"/>
  <c r="E120" i="9"/>
  <c r="E119" i="9"/>
  <c r="E118" i="9"/>
  <c r="E117" i="9"/>
  <c r="E116" i="9"/>
  <c r="E115" i="9"/>
  <c r="E114" i="9"/>
  <c r="E113" i="9"/>
  <c r="E112" i="9"/>
  <c r="E111" i="9"/>
  <c r="E110" i="9"/>
  <c r="E109" i="9"/>
  <c r="E105" i="9"/>
  <c r="E104" i="9"/>
  <c r="E103" i="9"/>
  <c r="E102" i="9"/>
  <c r="E101" i="9"/>
  <c r="E99" i="9"/>
  <c r="E98" i="9"/>
  <c r="E97" i="9"/>
  <c r="E96" i="9"/>
  <c r="E95" i="9"/>
  <c r="E94" i="9"/>
  <c r="E93" i="9"/>
  <c r="E83" i="9"/>
  <c r="E82" i="9"/>
  <c r="E81" i="9"/>
  <c r="E80" i="9"/>
  <c r="E79" i="9"/>
  <c r="E78" i="9"/>
  <c r="E77" i="9"/>
  <c r="E76" i="9"/>
  <c r="E75" i="9"/>
  <c r="E74" i="9"/>
  <c r="E73" i="9"/>
  <c r="E72" i="9"/>
  <c r="E71" i="9"/>
  <c r="E67" i="9"/>
  <c r="E66" i="9"/>
  <c r="E65" i="9"/>
  <c r="E64" i="9"/>
  <c r="E63" i="9"/>
  <c r="E62" i="9"/>
  <c r="E61" i="9"/>
  <c r="E60" i="9"/>
  <c r="E59" i="9"/>
  <c r="E58" i="9"/>
  <c r="E57" i="9"/>
  <c r="E56" i="9"/>
  <c r="E55" i="9"/>
  <c r="E51" i="9"/>
  <c r="E50" i="9"/>
  <c r="E49" i="9"/>
  <c r="E48" i="9"/>
  <c r="E47" i="9"/>
  <c r="E46" i="9"/>
  <c r="E45" i="9"/>
  <c r="E44" i="9"/>
  <c r="E43" i="9"/>
  <c r="E42" i="9"/>
  <c r="E41" i="9"/>
  <c r="E40" i="9"/>
  <c r="E39" i="9"/>
  <c r="E35" i="9"/>
  <c r="E34" i="9"/>
  <c r="E33" i="9"/>
  <c r="E32" i="9"/>
  <c r="E31" i="9"/>
  <c r="E30" i="9"/>
  <c r="E29" i="9"/>
  <c r="E28" i="9"/>
  <c r="E26" i="9"/>
  <c r="E25" i="9"/>
  <c r="E24" i="9"/>
  <c r="E19" i="9"/>
  <c r="E18" i="9"/>
  <c r="E17" i="9"/>
  <c r="E16" i="9"/>
  <c r="E15" i="9"/>
  <c r="E14" i="9"/>
  <c r="E12" i="9"/>
  <c r="E11" i="9"/>
  <c r="E10" i="9"/>
  <c r="E9" i="9"/>
  <c r="E23" i="9"/>
  <c r="C183" i="29"/>
  <c r="F125" i="29"/>
  <c r="F127" i="29" s="1"/>
  <c r="F129" i="29" s="1"/>
  <c r="G88" i="29"/>
  <c r="I79" i="29"/>
  <c r="E147" i="3" s="1"/>
  <c r="J147" i="3" s="1"/>
  <c r="I64" i="29"/>
  <c r="G5" i="29"/>
  <c r="E102" i="3" s="1"/>
  <c r="C247" i="3"/>
  <c r="F52" i="28"/>
  <c r="C43" i="28"/>
  <c r="D43" i="28"/>
  <c r="J51" i="28"/>
  <c r="A15" i="20"/>
  <c r="A17" i="20" s="1"/>
  <c r="A19" i="20" s="1"/>
  <c r="A21" i="20" s="1"/>
  <c r="A23" i="20" s="1"/>
  <c r="A25" i="20" s="1"/>
  <c r="A27" i="20" s="1"/>
  <c r="A29" i="20" s="1"/>
  <c r="A31" i="20" s="1"/>
  <c r="A33" i="20" s="1"/>
  <c r="C19" i="3"/>
  <c r="C249" i="3" s="1"/>
  <c r="B29" i="17"/>
  <c r="B30" i="17" s="1"/>
  <c r="B31" i="17" s="1"/>
  <c r="B32" i="17" s="1"/>
  <c r="B33" i="17" s="1"/>
  <c r="B34" i="17" s="1"/>
  <c r="B35" i="17" s="1"/>
  <c r="B36" i="17" s="1"/>
  <c r="B37" i="17" s="1"/>
  <c r="B38" i="17" s="1"/>
  <c r="B39" i="17" s="1"/>
  <c r="C239" i="19"/>
  <c r="C240" i="19" s="1"/>
  <c r="C241" i="19" s="1"/>
  <c r="C242" i="19" s="1"/>
  <c r="C243" i="19" s="1"/>
  <c r="C244" i="19" s="1"/>
  <c r="C245" i="19" s="1"/>
  <c r="C246" i="19" s="1"/>
  <c r="C247" i="19" s="1"/>
  <c r="C248" i="19" s="1"/>
  <c r="C249" i="19" s="1"/>
  <c r="I219" i="19"/>
  <c r="I220" i="19" s="1"/>
  <c r="I221" i="19" s="1"/>
  <c r="I222" i="19" s="1"/>
  <c r="I223" i="19" s="1"/>
  <c r="I224" i="19" s="1"/>
  <c r="I225" i="19" s="1"/>
  <c r="I226" i="19" s="1"/>
  <c r="I227" i="19" s="1"/>
  <c r="I228" i="19" s="1"/>
  <c r="I229" i="19" s="1"/>
  <c r="C219" i="19"/>
  <c r="C220" i="19" s="1"/>
  <c r="C221" i="19" s="1"/>
  <c r="C222" i="19" s="1"/>
  <c r="C223" i="19" s="1"/>
  <c r="C224" i="19" s="1"/>
  <c r="C225" i="19" s="1"/>
  <c r="C226" i="19" s="1"/>
  <c r="C227" i="19" s="1"/>
  <c r="C228" i="19" s="1"/>
  <c r="C229" i="19" s="1"/>
  <c r="G218" i="19"/>
  <c r="G219" i="19"/>
  <c r="G220" i="19" s="1"/>
  <c r="G221" i="19" s="1"/>
  <c r="C197" i="19"/>
  <c r="C198" i="19" s="1"/>
  <c r="C199" i="19" s="1"/>
  <c r="C200" i="19" s="1"/>
  <c r="C201" i="19" s="1"/>
  <c r="C202" i="19" s="1"/>
  <c r="C203" i="19" s="1"/>
  <c r="C204" i="19" s="1"/>
  <c r="C205" i="19" s="1"/>
  <c r="C206" i="19" s="1"/>
  <c r="C207" i="19" s="1"/>
  <c r="G191" i="19"/>
  <c r="G192" i="19" s="1"/>
  <c r="G196" i="19" s="1"/>
  <c r="I176" i="19"/>
  <c r="I177" i="19" s="1"/>
  <c r="I178" i="19" s="1"/>
  <c r="I179" i="19" s="1"/>
  <c r="I180" i="19" s="1"/>
  <c r="I181" i="19" s="1"/>
  <c r="I182" i="19" s="1"/>
  <c r="I183" i="19" s="1"/>
  <c r="I184" i="19" s="1"/>
  <c r="I185" i="19" s="1"/>
  <c r="I186" i="19" s="1"/>
  <c r="C176" i="19"/>
  <c r="C177" i="19" s="1"/>
  <c r="C178" i="19" s="1"/>
  <c r="C179" i="19" s="1"/>
  <c r="C180" i="19" s="1"/>
  <c r="C181" i="19" s="1"/>
  <c r="C182" i="19" s="1"/>
  <c r="C183" i="19" s="1"/>
  <c r="C184" i="19" s="1"/>
  <c r="C185" i="19" s="1"/>
  <c r="C186" i="19" s="1"/>
  <c r="G175" i="19"/>
  <c r="G176" i="19"/>
  <c r="C150" i="19"/>
  <c r="C151" i="19" s="1"/>
  <c r="C152" i="19" s="1"/>
  <c r="C153" i="19" s="1"/>
  <c r="C154" i="19" s="1"/>
  <c r="C155" i="19" s="1"/>
  <c r="C156" i="19" s="1"/>
  <c r="C157" i="19" s="1"/>
  <c r="C158" i="19" s="1"/>
  <c r="C159" i="19" s="1"/>
  <c r="C160" i="19" s="1"/>
  <c r="G144" i="19"/>
  <c r="G145" i="19" s="1"/>
  <c r="G149" i="19" s="1"/>
  <c r="G150" i="19" s="1"/>
  <c r="G151" i="19" s="1"/>
  <c r="G143" i="19"/>
  <c r="I128" i="19"/>
  <c r="I129" i="19" s="1"/>
  <c r="I130" i="19" s="1"/>
  <c r="I131" i="19" s="1"/>
  <c r="I132" i="19" s="1"/>
  <c r="I133" i="19" s="1"/>
  <c r="I134" i="19" s="1"/>
  <c r="I135" i="19" s="1"/>
  <c r="I136" i="19" s="1"/>
  <c r="I137" i="19" s="1"/>
  <c r="I138" i="19" s="1"/>
  <c r="C128" i="19"/>
  <c r="C129" i="19" s="1"/>
  <c r="C130" i="19" s="1"/>
  <c r="C131" i="19" s="1"/>
  <c r="C132" i="19" s="1"/>
  <c r="C133" i="19" s="1"/>
  <c r="C134" i="19" s="1"/>
  <c r="C135" i="19" s="1"/>
  <c r="C136" i="19" s="1"/>
  <c r="C137" i="19" s="1"/>
  <c r="C138" i="19" s="1"/>
  <c r="G127" i="19"/>
  <c r="C106" i="19"/>
  <c r="C107" i="19" s="1"/>
  <c r="C108" i="19" s="1"/>
  <c r="C109" i="19" s="1"/>
  <c r="C110" i="19" s="1"/>
  <c r="C111" i="19" s="1"/>
  <c r="C112" i="19" s="1"/>
  <c r="C113" i="19" s="1"/>
  <c r="C114" i="19" s="1"/>
  <c r="C115" i="19" s="1"/>
  <c r="C116" i="19" s="1"/>
  <c r="G100" i="19"/>
  <c r="G99" i="19"/>
  <c r="G98" i="19"/>
  <c r="I83" i="19"/>
  <c r="I84" i="19" s="1"/>
  <c r="I85" i="19" s="1"/>
  <c r="I86" i="19" s="1"/>
  <c r="I87" i="19" s="1"/>
  <c r="I88" i="19" s="1"/>
  <c r="I89" i="19" s="1"/>
  <c r="I90" i="19" s="1"/>
  <c r="I91" i="19" s="1"/>
  <c r="I92" i="19" s="1"/>
  <c r="I93" i="19" s="1"/>
  <c r="C83" i="19"/>
  <c r="C84" i="19"/>
  <c r="C85" i="19" s="1"/>
  <c r="C86" i="19" s="1"/>
  <c r="C87" i="19" s="1"/>
  <c r="C88" i="19" s="1"/>
  <c r="C89" i="19" s="1"/>
  <c r="C90" i="19" s="1"/>
  <c r="C91" i="19" s="1"/>
  <c r="C92" i="19" s="1"/>
  <c r="C93" i="19" s="1"/>
  <c r="G82" i="19"/>
  <c r="G83" i="19" s="1"/>
  <c r="G84" i="19" s="1"/>
  <c r="G85" i="19" s="1"/>
  <c r="C57" i="19"/>
  <c r="C58" i="19" s="1"/>
  <c r="C59" i="19" s="1"/>
  <c r="C60" i="19" s="1"/>
  <c r="C61" i="19" s="1"/>
  <c r="C62" i="19" s="1"/>
  <c r="C63" i="19" s="1"/>
  <c r="C64" i="19" s="1"/>
  <c r="C65" i="19" s="1"/>
  <c r="C66" i="19" s="1"/>
  <c r="C67" i="19" s="1"/>
  <c r="G52" i="19"/>
  <c r="G56" i="19"/>
  <c r="G57" i="19" s="1"/>
  <c r="G58" i="19" s="1"/>
  <c r="G59" i="19" s="1"/>
  <c r="G60" i="19" s="1"/>
  <c r="G61" i="19" s="1"/>
  <c r="G62" i="19" s="1"/>
  <c r="G63" i="19" s="1"/>
  <c r="G64" i="19" s="1"/>
  <c r="G65" i="19" s="1"/>
  <c r="G66" i="19" s="1"/>
  <c r="G51" i="19"/>
  <c r="G50" i="19"/>
  <c r="G49" i="19"/>
  <c r="G48" i="19"/>
  <c r="I33" i="19"/>
  <c r="I34" i="19" s="1"/>
  <c r="I35" i="19" s="1"/>
  <c r="I36" i="19" s="1"/>
  <c r="I37" i="19" s="1"/>
  <c r="I38" i="19" s="1"/>
  <c r="I39" i="19" s="1"/>
  <c r="I40" i="19" s="1"/>
  <c r="I41" i="19" s="1"/>
  <c r="I42" i="19" s="1"/>
  <c r="I43" i="19" s="1"/>
  <c r="C33" i="19"/>
  <c r="C34" i="19" s="1"/>
  <c r="C35" i="19" s="1"/>
  <c r="C36" i="19"/>
  <c r="C37" i="19" s="1"/>
  <c r="C38" i="19" s="1"/>
  <c r="C39" i="19" s="1"/>
  <c r="C40" i="19" s="1"/>
  <c r="C41" i="19" s="1"/>
  <c r="C42" i="19" s="1"/>
  <c r="C43" i="19" s="1"/>
  <c r="G32" i="19"/>
  <c r="I15" i="19"/>
  <c r="K15" i="19" s="1"/>
  <c r="K14" i="19"/>
  <c r="M253" i="19" s="1"/>
  <c r="K13" i="19"/>
  <c r="E175" i="19" s="1"/>
  <c r="E176" i="19" s="1"/>
  <c r="E177" i="19" s="1"/>
  <c r="E178" i="19" s="1"/>
  <c r="E179" i="19" s="1"/>
  <c r="E180" i="19" s="1"/>
  <c r="E181" i="19" s="1"/>
  <c r="E182" i="19" s="1"/>
  <c r="E183" i="19" s="1"/>
  <c r="E184" i="19" s="1"/>
  <c r="E185" i="19" s="1"/>
  <c r="E186" i="19" s="1"/>
  <c r="K12" i="19"/>
  <c r="K11" i="19"/>
  <c r="E82" i="19" s="1"/>
  <c r="A11" i="19"/>
  <c r="A12" i="19"/>
  <c r="A13" i="19" s="1"/>
  <c r="A14" i="19" s="1"/>
  <c r="A15" i="19" s="1"/>
  <c r="K10" i="19"/>
  <c r="M71" i="19" s="1"/>
  <c r="D19" i="25"/>
  <c r="A13" i="25"/>
  <c r="A16" i="25" s="1"/>
  <c r="C16" i="23"/>
  <c r="G93" i="23"/>
  <c r="G96" i="23" s="1"/>
  <c r="F10" i="23" s="1"/>
  <c r="F93" i="23"/>
  <c r="E93" i="23"/>
  <c r="E96" i="23" s="1"/>
  <c r="D10" i="23" s="1"/>
  <c r="D93" i="23"/>
  <c r="D96" i="23" s="1"/>
  <c r="G64" i="23"/>
  <c r="G67" i="23" s="1"/>
  <c r="F9" i="23" s="1"/>
  <c r="F64" i="23"/>
  <c r="F67" i="23" s="1"/>
  <c r="E9" i="23" s="1"/>
  <c r="E64" i="23"/>
  <c r="E67" i="23" s="1"/>
  <c r="D9" i="23" s="1"/>
  <c r="D64" i="23"/>
  <c r="D67" i="23"/>
  <c r="C64" i="23"/>
  <c r="G36" i="23"/>
  <c r="G39" i="23" s="1"/>
  <c r="F11" i="23" s="1"/>
  <c r="F36" i="23"/>
  <c r="F39" i="23" s="1"/>
  <c r="E11" i="23" s="1"/>
  <c r="E36" i="23"/>
  <c r="E39" i="23" s="1"/>
  <c r="D11" i="23" s="1"/>
  <c r="D36" i="23"/>
  <c r="D39" i="23" s="1"/>
  <c r="B1" i="23"/>
  <c r="B47" i="23" s="1"/>
  <c r="B75" i="23" s="1"/>
  <c r="A3" i="28"/>
  <c r="B1" i="22"/>
  <c r="B47" i="22" s="1"/>
  <c r="B75" i="22" s="1"/>
  <c r="G93" i="22"/>
  <c r="G96" i="22" s="1"/>
  <c r="F10" i="22" s="1"/>
  <c r="F93" i="22"/>
  <c r="F96" i="22" s="1"/>
  <c r="E10" i="22" s="1"/>
  <c r="E93" i="22"/>
  <c r="E96" i="22" s="1"/>
  <c r="D10" i="22" s="1"/>
  <c r="D93" i="22"/>
  <c r="D96" i="22" s="1"/>
  <c r="G64" i="22"/>
  <c r="G67" i="22" s="1"/>
  <c r="F9" i="22" s="1"/>
  <c r="F64" i="22"/>
  <c r="F67" i="22" s="1"/>
  <c r="E9" i="22" s="1"/>
  <c r="D64" i="22"/>
  <c r="D67" i="22" s="1"/>
  <c r="G36" i="22"/>
  <c r="G39" i="22" s="1"/>
  <c r="F11" i="22" s="1"/>
  <c r="F36" i="22"/>
  <c r="F39" i="22" s="1"/>
  <c r="E11" i="22" s="1"/>
  <c r="D36" i="22"/>
  <c r="D39" i="22" s="1"/>
  <c r="B34" i="5"/>
  <c r="C46" i="5"/>
  <c r="F32" i="5"/>
  <c r="F34" i="5" s="1"/>
  <c r="C237" i="3"/>
  <c r="C232" i="3"/>
  <c r="A7" i="9"/>
  <c r="A8" i="9" s="1"/>
  <c r="A9" i="9" s="1"/>
  <c r="A10" i="9" s="1"/>
  <c r="A11" i="9" s="1"/>
  <c r="A12" i="9" s="1"/>
  <c r="A13" i="9" s="1"/>
  <c r="A14" i="9" s="1"/>
  <c r="A15" i="9" s="1"/>
  <c r="A16" i="9" s="1"/>
  <c r="A17" i="9" s="1"/>
  <c r="A18" i="9" s="1"/>
  <c r="A19" i="9" s="1"/>
  <c r="A19" i="3"/>
  <c r="D21" i="3" s="1"/>
  <c r="A3" i="17"/>
  <c r="A3" i="19" s="1"/>
  <c r="A2" i="9"/>
  <c r="A2" i="5"/>
  <c r="F8" i="25" s="1"/>
  <c r="C218" i="3"/>
  <c r="F122" i="9"/>
  <c r="E88" i="3" s="1"/>
  <c r="J88" i="3" s="1"/>
  <c r="F170" i="9"/>
  <c r="E86" i="3" s="1"/>
  <c r="J86" i="3" s="1"/>
  <c r="F36" i="9"/>
  <c r="E81" i="3" s="1"/>
  <c r="J81" i="3" s="1"/>
  <c r="F84" i="9"/>
  <c r="E79" i="3" s="1"/>
  <c r="J79" i="3" s="1"/>
  <c r="M71" i="3"/>
  <c r="M136" i="3" s="1"/>
  <c r="M211" i="3" s="1"/>
  <c r="M263" i="3" s="1"/>
  <c r="G144" i="3"/>
  <c r="G145" i="3" s="1"/>
  <c r="G149" i="3" s="1"/>
  <c r="E72" i="3"/>
  <c r="E137" i="3" s="1"/>
  <c r="G29" i="17"/>
  <c r="G30" i="17" s="1"/>
  <c r="G31" i="17" s="1"/>
  <c r="G32" i="17" s="1"/>
  <c r="G33" i="17" s="1"/>
  <c r="G34" i="17" s="1"/>
  <c r="G35" i="17" s="1"/>
  <c r="G36" i="17" s="1"/>
  <c r="G37" i="17" s="1"/>
  <c r="G38" i="17" s="1"/>
  <c r="G39" i="17" s="1"/>
  <c r="B47" i="17"/>
  <c r="B48" i="17" s="1"/>
  <c r="B49" i="17" s="1"/>
  <c r="B50" i="17" s="1"/>
  <c r="B51" i="17" s="1"/>
  <c r="B52" i="17" s="1"/>
  <c r="B53" i="17" s="1"/>
  <c r="B54" i="17" s="1"/>
  <c r="B55" i="17" s="1"/>
  <c r="B56" i="17" s="1"/>
  <c r="B57" i="17" s="1"/>
  <c r="A9" i="5"/>
  <c r="D14" i="5"/>
  <c r="E19" i="3" s="1"/>
  <c r="G19" i="3"/>
  <c r="C86" i="3"/>
  <c r="C93" i="3"/>
  <c r="G86" i="3"/>
  <c r="G87" i="3"/>
  <c r="G109" i="3" s="1"/>
  <c r="C88" i="3"/>
  <c r="C95" i="3" s="1"/>
  <c r="G88" i="3"/>
  <c r="G89" i="3"/>
  <c r="C99" i="3"/>
  <c r="G105" i="3"/>
  <c r="G104" i="3" s="1"/>
  <c r="H105" i="3"/>
  <c r="C111" i="3"/>
  <c r="C113" i="3"/>
  <c r="C114" i="3"/>
  <c r="C156" i="3"/>
  <c r="C161" i="3"/>
  <c r="G164" i="3"/>
  <c r="J167" i="3"/>
  <c r="G168" i="3"/>
  <c r="E169" i="3"/>
  <c r="D171" i="3"/>
  <c r="E212" i="3"/>
  <c r="C219" i="3"/>
  <c r="E230" i="3"/>
  <c r="E264" i="3"/>
  <c r="E43" i="28"/>
  <c r="F43" i="28"/>
  <c r="G43" i="28"/>
  <c r="H43" i="28"/>
  <c r="I43" i="28"/>
  <c r="F54" i="28"/>
  <c r="I55" i="28" s="1"/>
  <c r="A39" i="20"/>
  <c r="A41" i="20"/>
  <c r="A43" i="20" s="1"/>
  <c r="A45" i="20" s="1"/>
  <c r="A47" i="20" s="1"/>
  <c r="A49" i="20" s="1"/>
  <c r="A51" i="20" s="1"/>
  <c r="A53" i="20" s="1"/>
  <c r="A57" i="20" s="1"/>
  <c r="F96" i="23"/>
  <c r="E10" i="23" s="1"/>
  <c r="F51" i="28"/>
  <c r="F58" i="28"/>
  <c r="I59" i="28" s="1"/>
  <c r="M211" i="19"/>
  <c r="F57" i="28"/>
  <c r="I58" i="28" s="1"/>
  <c r="K175" i="19"/>
  <c r="O175" i="19" s="1"/>
  <c r="A79" i="3"/>
  <c r="A80" i="3" s="1"/>
  <c r="F55" i="28"/>
  <c r="I56" i="28" s="1"/>
  <c r="F56" i="28"/>
  <c r="F59" i="28"/>
  <c r="I60" i="28" s="1"/>
  <c r="F62" i="28"/>
  <c r="I63" i="28" s="1"/>
  <c r="F53" i="28"/>
  <c r="F60" i="28"/>
  <c r="I61" i="28" s="1"/>
  <c r="F64" i="28"/>
  <c r="I65" i="28" s="1"/>
  <c r="F63" i="28"/>
  <c r="I64" i="28" s="1"/>
  <c r="F61" i="28"/>
  <c r="I62" i="28" s="1"/>
  <c r="M164" i="19"/>
  <c r="E127" i="19"/>
  <c r="E128" i="19" s="1"/>
  <c r="G128" i="19"/>
  <c r="G129" i="19" s="1"/>
  <c r="G101" i="19"/>
  <c r="G105" i="19" s="1"/>
  <c r="G106" i="19" s="1"/>
  <c r="G107" i="19" s="1"/>
  <c r="G108" i="19" s="1"/>
  <c r="G109" i="19" s="1"/>
  <c r="G110" i="19" s="1"/>
  <c r="G111" i="19" s="1"/>
  <c r="G112" i="19" s="1"/>
  <c r="G113" i="19" s="1"/>
  <c r="G114" i="19" s="1"/>
  <c r="C31" i="5"/>
  <c r="E32" i="5"/>
  <c r="E34" i="5" s="1"/>
  <c r="J157" i="3"/>
  <c r="J146" i="3"/>
  <c r="A64" i="29"/>
  <c r="A73" i="29" s="1"/>
  <c r="A79" i="29" s="1"/>
  <c r="A90" i="29" s="1"/>
  <c r="A100" i="29" s="1"/>
  <c r="A101" i="29" s="1"/>
  <c r="A102" i="29" s="1"/>
  <c r="A103" i="29" s="1"/>
  <c r="A104" i="29" s="1"/>
  <c r="A105" i="29" s="1"/>
  <c r="A106" i="29" s="1"/>
  <c r="A107" i="29" s="1"/>
  <c r="A108" i="29" s="1"/>
  <c r="A109" i="29" s="1"/>
  <c r="A110" i="29" s="1"/>
  <c r="A111" i="29" s="1"/>
  <c r="A112" i="29" s="1"/>
  <c r="A114" i="29" s="1"/>
  <c r="A119" i="29" s="1"/>
  <c r="A122" i="29" s="1"/>
  <c r="A123" i="29" s="1"/>
  <c r="A124" i="29" s="1"/>
  <c r="A125" i="29" s="1"/>
  <c r="A126" i="29" s="1"/>
  <c r="A127" i="29" s="1"/>
  <c r="A128" i="29" s="1"/>
  <c r="A129" i="29" s="1"/>
  <c r="E64" i="22"/>
  <c r="E67" i="22" s="1"/>
  <c r="D9" i="22" s="1"/>
  <c r="C55" i="22"/>
  <c r="C64" i="22" s="1"/>
  <c r="E116" i="25"/>
  <c r="E117" i="25" s="1"/>
  <c r="G83" i="25"/>
  <c r="H38" i="40"/>
  <c r="H104" i="3"/>
  <c r="J104" i="3"/>
  <c r="A10" i="5"/>
  <c r="A11" i="5" s="1"/>
  <c r="A12" i="5" s="1"/>
  <c r="M120" i="19"/>
  <c r="G40" i="28"/>
  <c r="E22" i="38"/>
  <c r="I57" i="28"/>
  <c r="I52" i="28"/>
  <c r="G148" i="3"/>
  <c r="A17" i="25"/>
  <c r="A18" i="25" s="1"/>
  <c r="A19" i="25" s="1"/>
  <c r="A20" i="25" s="1"/>
  <c r="A22" i="25" s="1"/>
  <c r="A23" i="25" s="1"/>
  <c r="I54" i="28"/>
  <c r="I53" i="28"/>
  <c r="I66" i="28"/>
  <c r="C46" i="40"/>
  <c r="C44" i="40"/>
  <c r="L170" i="36"/>
  <c r="G115" i="19"/>
  <c r="G116" i="19" s="1"/>
  <c r="D44" i="40"/>
  <c r="D48" i="40" s="1"/>
  <c r="C93" i="23"/>
  <c r="G49" i="25"/>
  <c r="G82" i="25"/>
  <c r="A3" i="36"/>
  <c r="I16" i="17"/>
  <c r="D24" i="38" l="1"/>
  <c r="N82" i="3"/>
  <c r="J93" i="3"/>
  <c r="O94" i="9"/>
  <c r="E119" i="25"/>
  <c r="E122" i="25" s="1"/>
  <c r="E123" i="25" s="1"/>
  <c r="E124" i="25" s="1"/>
  <c r="E125" i="25" s="1"/>
  <c r="E126" i="25" s="1"/>
  <c r="R135" i="25"/>
  <c r="Z33" i="36"/>
  <c r="Z39" i="36"/>
  <c r="Z13" i="36"/>
  <c r="Z38" i="36"/>
  <c r="Z14" i="36"/>
  <c r="Z31" i="36"/>
  <c r="Z32" i="36"/>
  <c r="Z40" i="36"/>
  <c r="M109" i="36"/>
  <c r="Z16" i="36"/>
  <c r="V71" i="36"/>
  <c r="C118" i="25" s="1"/>
  <c r="C67" i="23"/>
  <c r="G113" i="3"/>
  <c r="G100" i="3"/>
  <c r="E172" i="3"/>
  <c r="D88" i="25" s="1"/>
  <c r="D92" i="25" s="1"/>
  <c r="D96" i="25" s="1"/>
  <c r="F22" i="38"/>
  <c r="E34" i="19"/>
  <c r="E35" i="19" s="1"/>
  <c r="E36" i="19" s="1"/>
  <c r="E37" i="19" s="1"/>
  <c r="E38" i="19" s="1"/>
  <c r="E39" i="19" s="1"/>
  <c r="E40" i="19" s="1"/>
  <c r="E41" i="19" s="1"/>
  <c r="E42" i="19" s="1"/>
  <c r="E43" i="19" s="1"/>
  <c r="E218" i="19"/>
  <c r="Z36" i="36"/>
  <c r="L177" i="36"/>
  <c r="E36" i="22"/>
  <c r="E39" i="22" s="1"/>
  <c r="D11" i="22" s="1"/>
  <c r="D12" i="22" s="1"/>
  <c r="D15" i="22" s="1"/>
  <c r="D16" i="23" s="1"/>
  <c r="H114" i="29"/>
  <c r="E113" i="3" s="1"/>
  <c r="Z20" i="36"/>
  <c r="Z12" i="36"/>
  <c r="Z15" i="36"/>
  <c r="C36" i="22"/>
  <c r="C39" i="22" s="1"/>
  <c r="E12" i="22"/>
  <c r="E15" i="22" s="1"/>
  <c r="E16" i="23" s="1"/>
  <c r="D12" i="23"/>
  <c r="D15" i="23" s="1"/>
  <c r="C96" i="23"/>
  <c r="C67" i="22"/>
  <c r="E12" i="23"/>
  <c r="E15" i="23" s="1"/>
  <c r="Z18" i="36"/>
  <c r="C93" i="22"/>
  <c r="C96" i="22" s="1"/>
  <c r="I42" i="29"/>
  <c r="G22" i="38"/>
  <c r="A14" i="38"/>
  <c r="A15" i="38" s="1"/>
  <c r="A16" i="38" s="1"/>
  <c r="A17" i="38" s="1"/>
  <c r="A18" i="38" s="1"/>
  <c r="C14" i="38"/>
  <c r="C217" i="3"/>
  <c r="A81" i="3"/>
  <c r="A82" i="3" s="1"/>
  <c r="C83" i="3" s="1"/>
  <c r="F183" i="29"/>
  <c r="E149" i="3" s="1"/>
  <c r="G130" i="19"/>
  <c r="E83" i="19"/>
  <c r="K83" i="19" s="1"/>
  <c r="O83" i="19" s="1"/>
  <c r="K82" i="19"/>
  <c r="E129" i="19"/>
  <c r="E130" i="19" s="1"/>
  <c r="E131" i="19" s="1"/>
  <c r="E132" i="19" s="1"/>
  <c r="E133" i="19" s="1"/>
  <c r="E134" i="19" s="1"/>
  <c r="E135" i="19" s="1"/>
  <c r="E136" i="19" s="1"/>
  <c r="E137" i="19" s="1"/>
  <c r="E138" i="19" s="1"/>
  <c r="K128" i="19"/>
  <c r="O128" i="19" s="1"/>
  <c r="A76" i="19"/>
  <c r="A169" i="19"/>
  <c r="K127" i="19"/>
  <c r="O127" i="19" s="1"/>
  <c r="E14" i="38"/>
  <c r="E24" i="38" s="1"/>
  <c r="Z19" i="36"/>
  <c r="Z11" i="36"/>
  <c r="Z34" i="36"/>
  <c r="G32" i="40"/>
  <c r="H32" i="40" s="1"/>
  <c r="H34" i="40" s="1"/>
  <c r="B25" i="25"/>
  <c r="C48" i="40"/>
  <c r="Z35" i="36"/>
  <c r="C36" i="23"/>
  <c r="C39" i="23" s="1"/>
  <c r="Z17" i="36"/>
  <c r="Z37" i="36"/>
  <c r="A6" i="20"/>
  <c r="F32" i="28"/>
  <c r="G14" i="38"/>
  <c r="F14" i="38"/>
  <c r="G67" i="19"/>
  <c r="A20" i="9"/>
  <c r="D20" i="9"/>
  <c r="I61" i="17"/>
  <c r="D28" i="17"/>
  <c r="B27" i="25"/>
  <c r="A24" i="25"/>
  <c r="C14" i="5"/>
  <c r="A14" i="5"/>
  <c r="D19" i="3" s="1"/>
  <c r="G152" i="19"/>
  <c r="G222" i="19"/>
  <c r="F31" i="17"/>
  <c r="A132" i="29"/>
  <c r="A133" i="29" s="1"/>
  <c r="A130" i="29"/>
  <c r="O82" i="19"/>
  <c r="G86" i="19"/>
  <c r="H40" i="28"/>
  <c r="F12" i="23"/>
  <c r="G197" i="19"/>
  <c r="I21" i="36"/>
  <c r="E151" i="3" s="1"/>
  <c r="C130" i="29"/>
  <c r="F12" i="22"/>
  <c r="H39" i="40"/>
  <c r="G33" i="19"/>
  <c r="K32" i="19"/>
  <c r="S61" i="36"/>
  <c r="E109" i="3" s="1"/>
  <c r="E159" i="3"/>
  <c r="J158" i="3"/>
  <c r="E95" i="3"/>
  <c r="G177" i="19"/>
  <c r="K176" i="19"/>
  <c r="E93" i="3"/>
  <c r="J95" i="3"/>
  <c r="E17" i="23" l="1"/>
  <c r="O9" i="9"/>
  <c r="E127" i="25"/>
  <c r="E128" i="25" s="1"/>
  <c r="E129" i="25"/>
  <c r="W10" i="36"/>
  <c r="Z10" i="36" s="1"/>
  <c r="F24" i="38"/>
  <c r="G24" i="38"/>
  <c r="K218" i="19"/>
  <c r="O218" i="19" s="1"/>
  <c r="E219" i="19"/>
  <c r="D17" i="23"/>
  <c r="Z41" i="36"/>
  <c r="G7" i="29" s="1"/>
  <c r="E176" i="3"/>
  <c r="E180" i="3" s="1"/>
  <c r="D55" i="25"/>
  <c r="D59" i="25" s="1"/>
  <c r="D63" i="25" s="1"/>
  <c r="D23" i="25"/>
  <c r="D27" i="25" s="1"/>
  <c r="D31" i="25" s="1"/>
  <c r="E84" i="19"/>
  <c r="G46" i="40"/>
  <c r="H46" i="40" s="1"/>
  <c r="G34" i="40"/>
  <c r="A83" i="3"/>
  <c r="A85" i="3" s="1"/>
  <c r="A86" i="3" s="1"/>
  <c r="A87" i="3" s="1"/>
  <c r="H22" i="38"/>
  <c r="H42" i="40"/>
  <c r="H44" i="40" s="1"/>
  <c r="G42" i="40"/>
  <c r="K129" i="19"/>
  <c r="O129" i="19" s="1"/>
  <c r="I22" i="38"/>
  <c r="K130" i="19"/>
  <c r="O130" i="19" s="1"/>
  <c r="G131" i="19"/>
  <c r="H14" i="38"/>
  <c r="J22" i="38"/>
  <c r="F32" i="17"/>
  <c r="G153" i="19"/>
  <c r="G59" i="28"/>
  <c r="J59" i="28" s="1"/>
  <c r="G65" i="28"/>
  <c r="J65" i="28" s="1"/>
  <c r="G61" i="28"/>
  <c r="J61" i="28" s="1"/>
  <c r="I40" i="28"/>
  <c r="G66" i="28" s="1"/>
  <c r="J66" i="28" s="1"/>
  <c r="G55" i="28"/>
  <c r="J55" i="28" s="1"/>
  <c r="G54" i="28"/>
  <c r="J54" i="28" s="1"/>
  <c r="G223" i="19"/>
  <c r="J151" i="3"/>
  <c r="E152" i="3"/>
  <c r="A134" i="29"/>
  <c r="A135" i="29" s="1"/>
  <c r="A136" i="29" s="1"/>
  <c r="A137" i="29" s="1"/>
  <c r="A138" i="29" s="1"/>
  <c r="A139" i="29" s="1"/>
  <c r="A140" i="29" s="1"/>
  <c r="A142" i="29" s="1"/>
  <c r="A143" i="29" s="1"/>
  <c r="G87" i="19"/>
  <c r="K33" i="19"/>
  <c r="O33" i="19" s="1"/>
  <c r="G34" i="19"/>
  <c r="O32" i="19"/>
  <c r="E85" i="19"/>
  <c r="K84" i="19"/>
  <c r="O84" i="19" s="1"/>
  <c r="A25" i="25"/>
  <c r="A26" i="25" s="1"/>
  <c r="A27" i="25" s="1"/>
  <c r="B30" i="25"/>
  <c r="D29" i="17"/>
  <c r="H28" i="17"/>
  <c r="G198" i="19"/>
  <c r="G60" i="28"/>
  <c r="J60" i="28" s="1"/>
  <c r="O176" i="19"/>
  <c r="A19" i="38"/>
  <c r="A20" i="38" s="1"/>
  <c r="A21" i="38" s="1"/>
  <c r="A22" i="38" s="1"/>
  <c r="G178" i="19"/>
  <c r="K177" i="19"/>
  <c r="O177" i="19" s="1"/>
  <c r="A22" i="9"/>
  <c r="A23" i="9" s="1"/>
  <c r="I43" i="40" l="1"/>
  <c r="G44" i="40"/>
  <c r="E130" i="25"/>
  <c r="E131" i="25" s="1"/>
  <c r="E132" i="25" s="1"/>
  <c r="E133" i="25" s="1"/>
  <c r="E134" i="25" s="1"/>
  <c r="O10" i="9"/>
  <c r="Z21" i="36"/>
  <c r="E105" i="3" s="1"/>
  <c r="J105" i="3" s="1"/>
  <c r="H246" i="3" s="1"/>
  <c r="D93" i="3"/>
  <c r="E106" i="3"/>
  <c r="J106" i="3" s="1"/>
  <c r="M245" i="3" s="1"/>
  <c r="E220" i="19"/>
  <c r="K219" i="19"/>
  <c r="O219" i="19" s="1"/>
  <c r="H24" i="38"/>
  <c r="T70" i="36"/>
  <c r="G132" i="19"/>
  <c r="K131" i="19"/>
  <c r="O131" i="19" s="1"/>
  <c r="C22" i="38"/>
  <c r="H48" i="40"/>
  <c r="I14" i="38"/>
  <c r="I24" i="38" s="1"/>
  <c r="K22" i="38"/>
  <c r="E86" i="19"/>
  <c r="K85" i="19"/>
  <c r="G88" i="19"/>
  <c r="F33" i="17"/>
  <c r="A28" i="25"/>
  <c r="A30" i="25" s="1"/>
  <c r="G224" i="19"/>
  <c r="G56" i="28"/>
  <c r="J56" i="28" s="1"/>
  <c r="G199" i="19"/>
  <c r="G35" i="19"/>
  <c r="K34" i="19"/>
  <c r="O34" i="19" s="1"/>
  <c r="A144" i="29"/>
  <c r="A145" i="29" s="1"/>
  <c r="A146" i="29" s="1"/>
  <c r="A147" i="29" s="1"/>
  <c r="A148" i="29" s="1"/>
  <c r="A149" i="29" s="1"/>
  <c r="C140" i="29"/>
  <c r="E181" i="3"/>
  <c r="J181" i="3" s="1"/>
  <c r="D97" i="25"/>
  <c r="J97" i="25" s="1"/>
  <c r="G48" i="40"/>
  <c r="G62" i="28"/>
  <c r="J62" i="28" s="1"/>
  <c r="G53" i="28"/>
  <c r="J53" i="28" s="1"/>
  <c r="G52" i="28"/>
  <c r="J52" i="28" s="1"/>
  <c r="G67" i="28"/>
  <c r="J67" i="28" s="1"/>
  <c r="G58" i="28"/>
  <c r="J58" i="28" s="1"/>
  <c r="G63" i="28"/>
  <c r="J63" i="28" s="1"/>
  <c r="G57" i="28"/>
  <c r="J57" i="28" s="1"/>
  <c r="G154" i="19"/>
  <c r="A24" i="9"/>
  <c r="A25" i="9" s="1"/>
  <c r="A26" i="9" s="1"/>
  <c r="A27" i="9" s="1"/>
  <c r="A28" i="9" s="1"/>
  <c r="A29" i="9" s="1"/>
  <c r="A30" i="9" s="1"/>
  <c r="A31" i="9" s="1"/>
  <c r="A32" i="9" s="1"/>
  <c r="A33" i="9" s="1"/>
  <c r="A34" i="9" s="1"/>
  <c r="A35" i="9" s="1"/>
  <c r="A36" i="9" s="1"/>
  <c r="G179" i="19"/>
  <c r="K178" i="19"/>
  <c r="O178" i="19" s="1"/>
  <c r="K28" i="17"/>
  <c r="J152" i="3"/>
  <c r="E153" i="3"/>
  <c r="G64" i="28"/>
  <c r="J64" i="28" s="1"/>
  <c r="D30" i="17"/>
  <c r="H29" i="17"/>
  <c r="K29" i="17" s="1"/>
  <c r="D94" i="3"/>
  <c r="A88" i="3"/>
  <c r="A23" i="38"/>
  <c r="A24" i="38" s="1"/>
  <c r="A25" i="38" s="1"/>
  <c r="A26" i="38" s="1"/>
  <c r="A27" i="38" s="1"/>
  <c r="B24" i="38"/>
  <c r="H51" i="40" l="1"/>
  <c r="E101" i="3" s="1"/>
  <c r="J101" i="3" s="1"/>
  <c r="I48" i="40"/>
  <c r="O11" i="9"/>
  <c r="M246" i="3"/>
  <c r="F68" i="9"/>
  <c r="E82" i="3" s="1"/>
  <c r="B31" i="25"/>
  <c r="V70" i="36"/>
  <c r="K220" i="19"/>
  <c r="O220" i="19" s="1"/>
  <c r="E221" i="19"/>
  <c r="K132" i="19"/>
  <c r="O132" i="19" s="1"/>
  <c r="G133" i="19"/>
  <c r="J14" i="38"/>
  <c r="J24" i="38" s="1"/>
  <c r="L22" i="38"/>
  <c r="O85" i="19"/>
  <c r="D31" i="17"/>
  <c r="H30" i="17"/>
  <c r="K30" i="17" s="1"/>
  <c r="F34" i="17"/>
  <c r="A28" i="38"/>
  <c r="A29" i="38" s="1"/>
  <c r="A30" i="38" s="1"/>
  <c r="A31" i="38" s="1"/>
  <c r="A32" i="38" s="1"/>
  <c r="A33" i="38" s="1"/>
  <c r="A150" i="29"/>
  <c r="A152" i="29" s="1"/>
  <c r="A153" i="29" s="1"/>
  <c r="G225" i="19"/>
  <c r="K35" i="19"/>
  <c r="G36" i="19"/>
  <c r="E112" i="3"/>
  <c r="E115" i="3" s="1"/>
  <c r="G180" i="19"/>
  <c r="K179" i="19"/>
  <c r="A89" i="3"/>
  <c r="D95" i="3"/>
  <c r="D36" i="9"/>
  <c r="F16" i="28"/>
  <c r="C150" i="29"/>
  <c r="G200" i="19"/>
  <c r="A38" i="9"/>
  <c r="A39" i="9" s="1"/>
  <c r="G89" i="19"/>
  <c r="A31" i="25"/>
  <c r="A32" i="25" s="1"/>
  <c r="A35" i="25" s="1"/>
  <c r="A36" i="25" s="1"/>
  <c r="A37" i="25" s="1"/>
  <c r="A43" i="25" s="1"/>
  <c r="A45" i="25" s="1"/>
  <c r="A48" i="25" s="1"/>
  <c r="G155" i="19"/>
  <c r="E87" i="19"/>
  <c r="K86" i="19"/>
  <c r="O86" i="19" s="1"/>
  <c r="V81" i="36" l="1"/>
  <c r="E103" i="3" s="1"/>
  <c r="J103" i="3" s="1"/>
  <c r="M244" i="3" s="1"/>
  <c r="C117" i="25"/>
  <c r="M68" i="9"/>
  <c r="O68" i="9" s="1"/>
  <c r="O12" i="9"/>
  <c r="F183" i="9"/>
  <c r="E222" i="19"/>
  <c r="K221" i="19"/>
  <c r="O221" i="19" s="1"/>
  <c r="K133" i="19"/>
  <c r="O133" i="19" s="1"/>
  <c r="G134" i="19"/>
  <c r="C32" i="25"/>
  <c r="K14" i="38"/>
  <c r="K24" i="38" s="1"/>
  <c r="M22" i="38"/>
  <c r="G156" i="19"/>
  <c r="F35" i="17"/>
  <c r="G90" i="19"/>
  <c r="G37" i="19"/>
  <c r="K36" i="19"/>
  <c r="O36" i="19" s="1"/>
  <c r="A154" i="29"/>
  <c r="A155" i="29" s="1"/>
  <c r="A156" i="29" s="1"/>
  <c r="A157" i="29" s="1"/>
  <c r="A158" i="29" s="1"/>
  <c r="A159" i="29" s="1"/>
  <c r="A49" i="25"/>
  <c r="A50" i="25" s="1"/>
  <c r="A51" i="25" s="1"/>
  <c r="A52" i="25" s="1"/>
  <c r="A54" i="25" s="1"/>
  <c r="A55" i="25" s="1"/>
  <c r="O35" i="19"/>
  <c r="A40" i="9"/>
  <c r="A41" i="9" s="1"/>
  <c r="A42" i="9" s="1"/>
  <c r="A43" i="9" s="1"/>
  <c r="A44" i="9" s="1"/>
  <c r="A45" i="9" s="1"/>
  <c r="A46" i="9" s="1"/>
  <c r="A47" i="9" s="1"/>
  <c r="A48" i="9" s="1"/>
  <c r="A49" i="9" s="1"/>
  <c r="A50" i="9" s="1"/>
  <c r="A51" i="9" s="1"/>
  <c r="A52" i="9" s="1"/>
  <c r="A90" i="3"/>
  <c r="A92" i="3" s="1"/>
  <c r="A93" i="3" s="1"/>
  <c r="D96" i="3"/>
  <c r="C90" i="3"/>
  <c r="G226" i="19"/>
  <c r="K180" i="19"/>
  <c r="O180" i="19" s="1"/>
  <c r="G181" i="19"/>
  <c r="E88" i="19"/>
  <c r="K87" i="19"/>
  <c r="O87" i="19" s="1"/>
  <c r="O179" i="19"/>
  <c r="C33" i="38"/>
  <c r="B35" i="38"/>
  <c r="A34" i="38"/>
  <c r="A35" i="38" s="1"/>
  <c r="A36" i="38" s="1"/>
  <c r="A37" i="38" s="1"/>
  <c r="A38" i="38" s="1"/>
  <c r="G201" i="19"/>
  <c r="D32" i="17"/>
  <c r="H31" i="17"/>
  <c r="K31" i="17" s="1"/>
  <c r="M183" i="9" l="1"/>
  <c r="O183" i="9" s="1"/>
  <c r="O13" i="9"/>
  <c r="J82" i="3"/>
  <c r="E223" i="19"/>
  <c r="K222" i="19"/>
  <c r="O222" i="19" s="1"/>
  <c r="G135" i="19"/>
  <c r="K134" i="19"/>
  <c r="L14" i="38"/>
  <c r="L24" i="38" s="1"/>
  <c r="N22" i="38"/>
  <c r="G91" i="19"/>
  <c r="K37" i="19"/>
  <c r="G38" i="19"/>
  <c r="E89" i="19"/>
  <c r="K88" i="19"/>
  <c r="O88" i="19" s="1"/>
  <c r="D52" i="9"/>
  <c r="B57" i="25"/>
  <c r="A54" i="9"/>
  <c r="A55" i="9" s="1"/>
  <c r="A39" i="38"/>
  <c r="A40" i="38" s="1"/>
  <c r="B40" i="38"/>
  <c r="K181" i="19"/>
  <c r="G182" i="19"/>
  <c r="G227" i="19"/>
  <c r="C160" i="29"/>
  <c r="F36" i="17"/>
  <c r="G202" i="19"/>
  <c r="A56" i="25"/>
  <c r="B59" i="25"/>
  <c r="A160" i="29"/>
  <c r="A162" i="29" s="1"/>
  <c r="A163" i="29" s="1"/>
  <c r="G157" i="19"/>
  <c r="A94" i="3"/>
  <c r="D33" i="17"/>
  <c r="H32" i="17"/>
  <c r="O14" i="9" l="1"/>
  <c r="E224" i="19"/>
  <c r="K223" i="19"/>
  <c r="O223" i="19" s="1"/>
  <c r="O134" i="19"/>
  <c r="G136" i="19"/>
  <c r="K135" i="19"/>
  <c r="O135" i="19" s="1"/>
  <c r="M14" i="38"/>
  <c r="M24" i="38" s="1"/>
  <c r="P22" i="38"/>
  <c r="O22" i="38"/>
  <c r="Q18" i="38"/>
  <c r="Q22" i="38" s="1"/>
  <c r="E90" i="19"/>
  <c r="K89" i="19"/>
  <c r="O89" i="19" s="1"/>
  <c r="A164" i="29"/>
  <c r="A165" i="29" s="1"/>
  <c r="A166" i="29" s="1"/>
  <c r="A167" i="29" s="1"/>
  <c r="A168" i="29" s="1"/>
  <c r="A169" i="29" s="1"/>
  <c r="C170" i="29"/>
  <c r="O181" i="19"/>
  <c r="K38" i="19"/>
  <c r="O38" i="19" s="1"/>
  <c r="G39" i="19"/>
  <c r="A57" i="25"/>
  <c r="A58" i="25" s="1"/>
  <c r="A59" i="25" s="1"/>
  <c r="B62" i="25"/>
  <c r="O37" i="19"/>
  <c r="K182" i="19"/>
  <c r="O182" i="19" s="1"/>
  <c r="G183" i="19"/>
  <c r="F37" i="17"/>
  <c r="K32" i="17"/>
  <c r="G92" i="19"/>
  <c r="G228" i="19"/>
  <c r="D243" i="3"/>
  <c r="A95" i="3"/>
  <c r="A96" i="3" s="1"/>
  <c r="D34" i="17"/>
  <c r="H33" i="17"/>
  <c r="K33" i="17" s="1"/>
  <c r="G158" i="19"/>
  <c r="G203" i="19"/>
  <c r="A56" i="9"/>
  <c r="A57" i="9" s="1"/>
  <c r="A58" i="9" s="1"/>
  <c r="A59" i="9" s="1"/>
  <c r="A60" i="9" s="1"/>
  <c r="A61" i="9" s="1"/>
  <c r="A62" i="9" s="1"/>
  <c r="A63" i="9" s="1"/>
  <c r="A64" i="9" s="1"/>
  <c r="A65" i="9" s="1"/>
  <c r="A66" i="9" s="1"/>
  <c r="A67" i="9" s="1"/>
  <c r="A68" i="9" s="1"/>
  <c r="O15" i="9" l="1"/>
  <c r="O154" i="9"/>
  <c r="F154" i="9"/>
  <c r="F184" i="9" s="1"/>
  <c r="F185" i="9" s="1"/>
  <c r="E225" i="19"/>
  <c r="K224" i="19"/>
  <c r="O224" i="19" s="1"/>
  <c r="G137" i="19"/>
  <c r="K136" i="19"/>
  <c r="O136" i="19" s="1"/>
  <c r="D68" i="9"/>
  <c r="N14" i="38"/>
  <c r="N24" i="38" s="1"/>
  <c r="F237" i="3"/>
  <c r="A97" i="3"/>
  <c r="C97" i="3"/>
  <c r="G229" i="19"/>
  <c r="A170" i="29"/>
  <c r="A172" i="29" s="1"/>
  <c r="A173" i="29" s="1"/>
  <c r="F38" i="17"/>
  <c r="A60" i="25"/>
  <c r="A62" i="25" s="1"/>
  <c r="G40" i="19"/>
  <c r="K39" i="19"/>
  <c r="E91" i="19"/>
  <c r="K90" i="19"/>
  <c r="O90" i="19" s="1"/>
  <c r="G204" i="19"/>
  <c r="G159" i="19"/>
  <c r="K183" i="19"/>
  <c r="O183" i="19" s="1"/>
  <c r="G184" i="19"/>
  <c r="A70" i="9"/>
  <c r="A71" i="9" s="1"/>
  <c r="D35" i="17"/>
  <c r="H34" i="17"/>
  <c r="K34" i="17" s="1"/>
  <c r="G93" i="19"/>
  <c r="M184" i="9" l="1"/>
  <c r="O184" i="9" s="1"/>
  <c r="O135" i="9"/>
  <c r="O16" i="9"/>
  <c r="E226" i="19"/>
  <c r="K225" i="19"/>
  <c r="O225" i="19" s="1"/>
  <c r="G138" i="19"/>
  <c r="K138" i="19" s="1"/>
  <c r="O138" i="19" s="1"/>
  <c r="K137" i="19"/>
  <c r="P14" i="38"/>
  <c r="P24" i="38" s="1"/>
  <c r="O14" i="38"/>
  <c r="O24" i="38" s="1"/>
  <c r="D36" i="17"/>
  <c r="H35" i="17"/>
  <c r="K35" i="17" s="1"/>
  <c r="A63" i="25"/>
  <c r="A64" i="25" s="1"/>
  <c r="A67" i="25" s="1"/>
  <c r="A68" i="25" s="1"/>
  <c r="A69" i="25" s="1"/>
  <c r="A70" i="25" s="1"/>
  <c r="A76" i="25" s="1"/>
  <c r="A78" i="25" s="1"/>
  <c r="A81" i="25" s="1"/>
  <c r="A99" i="3"/>
  <c r="A100" i="3" s="1"/>
  <c r="G160" i="19"/>
  <c r="B63" i="25"/>
  <c r="O39" i="19"/>
  <c r="F39" i="17"/>
  <c r="K40" i="19"/>
  <c r="O40" i="19" s="1"/>
  <c r="G41" i="19"/>
  <c r="A72" i="9"/>
  <c r="A73" i="9" s="1"/>
  <c r="A74" i="9" s="1"/>
  <c r="A75" i="9" s="1"/>
  <c r="A76" i="9" s="1"/>
  <c r="A77" i="9" s="1"/>
  <c r="A78" i="9" s="1"/>
  <c r="A79" i="9" s="1"/>
  <c r="A80" i="9" s="1"/>
  <c r="A81" i="9" s="1"/>
  <c r="A82" i="9" s="1"/>
  <c r="A83" i="9" s="1"/>
  <c r="A84" i="9" s="1"/>
  <c r="G185" i="19"/>
  <c r="K184" i="19"/>
  <c r="O184" i="19" s="1"/>
  <c r="G234" i="19"/>
  <c r="G205" i="19"/>
  <c r="A174" i="29"/>
  <c r="A175" i="29" s="1"/>
  <c r="A176" i="29" s="1"/>
  <c r="A177" i="29" s="1"/>
  <c r="A178" i="29" s="1"/>
  <c r="A179" i="29" s="1"/>
  <c r="E92" i="19"/>
  <c r="K91" i="19"/>
  <c r="O91" i="19" s="1"/>
  <c r="D84" i="9" l="1"/>
  <c r="M185" i="9"/>
  <c r="O185" i="9" s="1"/>
  <c r="O17" i="9"/>
  <c r="O136" i="9"/>
  <c r="E227" i="19"/>
  <c r="K226" i="19"/>
  <c r="O226" i="19" s="1"/>
  <c r="O137" i="19"/>
  <c r="O139" i="19" s="1"/>
  <c r="E143" i="19" s="1"/>
  <c r="K143" i="19" s="1"/>
  <c r="O143" i="19" s="1"/>
  <c r="E144" i="19" s="1"/>
  <c r="K144" i="19" s="1"/>
  <c r="O144" i="19" s="1"/>
  <c r="E145" i="19" s="1"/>
  <c r="K145" i="19" s="1"/>
  <c r="O145" i="19" s="1"/>
  <c r="K139" i="19"/>
  <c r="Q12" i="38"/>
  <c r="Q14" i="38" s="1"/>
  <c r="F43" i="17"/>
  <c r="F46" i="17"/>
  <c r="A82" i="25"/>
  <c r="A83" i="25" s="1"/>
  <c r="A84" i="25" s="1"/>
  <c r="A85" i="25" s="1"/>
  <c r="A87" i="25" s="1"/>
  <c r="A88" i="25" s="1"/>
  <c r="A180" i="29"/>
  <c r="A183" i="29" s="1"/>
  <c r="D183" i="29"/>
  <c r="C180" i="29"/>
  <c r="C64" i="25"/>
  <c r="A86" i="9"/>
  <c r="A92" i="9" s="1"/>
  <c r="A93" i="9" s="1"/>
  <c r="D86" i="9"/>
  <c r="D37" i="17"/>
  <c r="H36" i="17"/>
  <c r="K36" i="17" s="1"/>
  <c r="H17" i="23"/>
  <c r="A102" i="3"/>
  <c r="A103" i="3" s="1"/>
  <c r="K185" i="19"/>
  <c r="O185" i="19" s="1"/>
  <c r="G186" i="19"/>
  <c r="K186" i="19" s="1"/>
  <c r="G206" i="19"/>
  <c r="E93" i="19"/>
  <c r="K93" i="19" s="1"/>
  <c r="K92" i="19"/>
  <c r="O92" i="19" s="1"/>
  <c r="G238" i="19"/>
  <c r="G42" i="19"/>
  <c r="K41" i="19"/>
  <c r="O41" i="19" s="1"/>
  <c r="P35" i="38" l="1"/>
  <c r="I235" i="3" s="1"/>
  <c r="G16" i="25" s="1"/>
  <c r="O137" i="9"/>
  <c r="F138" i="9"/>
  <c r="O18" i="9"/>
  <c r="K227" i="19"/>
  <c r="O227" i="19" s="1"/>
  <c r="E228" i="19"/>
  <c r="M149" i="19"/>
  <c r="M150" i="19" s="1"/>
  <c r="M151" i="19" s="1"/>
  <c r="M152" i="19" s="1"/>
  <c r="M153" i="19" s="1"/>
  <c r="M154" i="19" s="1"/>
  <c r="M155" i="19" s="1"/>
  <c r="M156" i="19" s="1"/>
  <c r="M157" i="19" s="1"/>
  <c r="M158" i="19" s="1"/>
  <c r="M159" i="19" s="1"/>
  <c r="M160" i="19" s="1"/>
  <c r="E149" i="19"/>
  <c r="F235" i="3"/>
  <c r="F238" i="3" s="1"/>
  <c r="Q24" i="38"/>
  <c r="G207" i="19"/>
  <c r="O93" i="19"/>
  <c r="O94" i="19" s="1"/>
  <c r="E98" i="19" s="1"/>
  <c r="K94" i="19"/>
  <c r="B92" i="25"/>
  <c r="A89" i="25"/>
  <c r="O186" i="19"/>
  <c r="O187" i="19" s="1"/>
  <c r="E191" i="19" s="1"/>
  <c r="K187" i="19"/>
  <c r="B90" i="25"/>
  <c r="G239" i="19"/>
  <c r="A104" i="3"/>
  <c r="A105" i="3" s="1"/>
  <c r="D244" i="3"/>
  <c r="A94" i="9"/>
  <c r="A95" i="9" s="1"/>
  <c r="A96" i="9" s="1"/>
  <c r="A97" i="9" s="1"/>
  <c r="A98" i="9" s="1"/>
  <c r="A99" i="9" s="1"/>
  <c r="A100" i="9" s="1"/>
  <c r="A101" i="9" s="1"/>
  <c r="A102" i="9" s="1"/>
  <c r="A103" i="9" s="1"/>
  <c r="A104" i="9" s="1"/>
  <c r="A105" i="9" s="1"/>
  <c r="A106" i="9" s="1"/>
  <c r="F47" i="17"/>
  <c r="D38" i="17"/>
  <c r="H37" i="17"/>
  <c r="K37" i="17" s="1"/>
  <c r="G43" i="19"/>
  <c r="K43" i="19" s="1"/>
  <c r="K42" i="19"/>
  <c r="O42" i="19" s="1"/>
  <c r="G48" i="25" l="1"/>
  <c r="G81" i="25"/>
  <c r="G236" i="3"/>
  <c r="E17" i="25" s="1"/>
  <c r="G235" i="3"/>
  <c r="G237" i="3" s="1"/>
  <c r="N89" i="3"/>
  <c r="E89" i="3"/>
  <c r="M138" i="9"/>
  <c r="O138" i="9" s="1"/>
  <c r="O19" i="9"/>
  <c r="E229" i="19"/>
  <c r="K229" i="19" s="1"/>
  <c r="O229" i="19" s="1"/>
  <c r="K228" i="19"/>
  <c r="M163" i="19"/>
  <c r="D106" i="9"/>
  <c r="K149" i="19"/>
  <c r="O149" i="19"/>
  <c r="E150" i="19" s="1"/>
  <c r="D39" i="17"/>
  <c r="H39" i="17" s="1"/>
  <c r="H38" i="17"/>
  <c r="K38" i="17" s="1"/>
  <c r="O12" i="19"/>
  <c r="M165" i="19"/>
  <c r="K191" i="19"/>
  <c r="O191" i="19" s="1"/>
  <c r="E192" i="19" s="1"/>
  <c r="F48" i="17"/>
  <c r="G240" i="19"/>
  <c r="K98" i="19"/>
  <c r="O98" i="19" s="1"/>
  <c r="E99" i="19" s="1"/>
  <c r="A108" i="9"/>
  <c r="A109" i="9" s="1"/>
  <c r="O43" i="19"/>
  <c r="O44" i="19" s="1"/>
  <c r="E48" i="19" s="1"/>
  <c r="K44" i="19"/>
  <c r="D246" i="3"/>
  <c r="A106" i="3"/>
  <c r="B95" i="25"/>
  <c r="A90" i="25"/>
  <c r="A91" i="25" s="1"/>
  <c r="A92" i="25" s="1"/>
  <c r="K236" i="3" l="1"/>
  <c r="M106" i="9"/>
  <c r="O106" i="9" s="1"/>
  <c r="E87" i="3"/>
  <c r="E90" i="3" s="1"/>
  <c r="N87" i="3"/>
  <c r="N90" i="3" s="1"/>
  <c r="E80" i="3"/>
  <c r="N80" i="3"/>
  <c r="N83" i="3" s="1"/>
  <c r="M20" i="9"/>
  <c r="E96" i="3"/>
  <c r="F176" i="9"/>
  <c r="F86" i="9"/>
  <c r="F173" i="9"/>
  <c r="F177" i="9"/>
  <c r="F188" i="9" s="1"/>
  <c r="O228" i="19"/>
  <c r="K230" i="19"/>
  <c r="O230" i="19"/>
  <c r="E234" i="19" s="1"/>
  <c r="K234" i="19" s="1"/>
  <c r="O234" i="19" s="1"/>
  <c r="O150" i="19"/>
  <c r="E151" i="19" s="1"/>
  <c r="K150" i="19"/>
  <c r="K235" i="3"/>
  <c r="E16" i="25"/>
  <c r="I16" i="25" s="1"/>
  <c r="E82" i="25"/>
  <c r="I82" i="25" s="1"/>
  <c r="E49" i="25"/>
  <c r="I49" i="25" s="1"/>
  <c r="I17" i="25"/>
  <c r="E18" i="25"/>
  <c r="K237" i="3"/>
  <c r="K192" i="19"/>
  <c r="O192" i="19" s="1"/>
  <c r="K99" i="19"/>
  <c r="O99" i="19" s="1"/>
  <c r="E100" i="19" s="1"/>
  <c r="A93" i="25"/>
  <c r="A95" i="25" s="1"/>
  <c r="G241" i="19"/>
  <c r="F49" i="17"/>
  <c r="A107" i="3"/>
  <c r="D245" i="3"/>
  <c r="C107" i="3"/>
  <c r="K39" i="17"/>
  <c r="K40" i="17" s="1"/>
  <c r="D43" i="17" s="1"/>
  <c r="H40" i="17"/>
  <c r="A110" i="9"/>
  <c r="A111" i="9" s="1"/>
  <c r="A112" i="9" s="1"/>
  <c r="A113" i="9" s="1"/>
  <c r="A114" i="9" s="1"/>
  <c r="A115" i="9" s="1"/>
  <c r="A116" i="9" s="1"/>
  <c r="A117" i="9" s="1"/>
  <c r="A118" i="9" s="1"/>
  <c r="A119" i="9" s="1"/>
  <c r="A120" i="9" s="1"/>
  <c r="A121" i="9" s="1"/>
  <c r="A122" i="9" s="1"/>
  <c r="K48" i="19"/>
  <c r="O48" i="19" s="1"/>
  <c r="E49" i="19" s="1"/>
  <c r="E238" i="19"/>
  <c r="M238" i="19"/>
  <c r="M116" i="25" l="1"/>
  <c r="O20" i="9"/>
  <c r="M177" i="9"/>
  <c r="O177" i="9" s="1"/>
  <c r="M173" i="9"/>
  <c r="O173" i="9" s="1"/>
  <c r="M86" i="9"/>
  <c r="O86" i="9" s="1"/>
  <c r="M176" i="9"/>
  <c r="O176" i="9" s="1"/>
  <c r="C116" i="25"/>
  <c r="J243" i="3" s="1"/>
  <c r="F198" i="9"/>
  <c r="N97" i="3"/>
  <c r="J217" i="3"/>
  <c r="J220" i="3" s="1"/>
  <c r="J222" i="3" s="1"/>
  <c r="E94" i="3"/>
  <c r="E97" i="3" s="1"/>
  <c r="E83" i="3"/>
  <c r="F178" i="9"/>
  <c r="F180" i="9" s="1"/>
  <c r="F181" i="9" s="1"/>
  <c r="F196" i="9" s="1"/>
  <c r="F187" i="9"/>
  <c r="F189" i="9" s="1"/>
  <c r="B96" i="25"/>
  <c r="K238" i="3"/>
  <c r="O151" i="19"/>
  <c r="E152" i="19" s="1"/>
  <c r="K151" i="19"/>
  <c r="E48" i="25"/>
  <c r="I48" i="25" s="1"/>
  <c r="E50" i="25"/>
  <c r="I18" i="25"/>
  <c r="I19" i="25" s="1"/>
  <c r="K100" i="19"/>
  <c r="O100" i="19" s="1"/>
  <c r="E101" i="19" s="1"/>
  <c r="A96" i="25"/>
  <c r="A98" i="25" s="1"/>
  <c r="A101" i="25" s="1"/>
  <c r="A102" i="25" s="1"/>
  <c r="A103" i="25" s="1"/>
  <c r="A104" i="25" s="1"/>
  <c r="H43" i="17"/>
  <c r="K43" i="17" s="1"/>
  <c r="A109" i="3"/>
  <c r="A111" i="3" s="1"/>
  <c r="A112" i="3" s="1"/>
  <c r="E196" i="19"/>
  <c r="M196" i="19"/>
  <c r="K49" i="19"/>
  <c r="O49" i="19" s="1"/>
  <c r="E50" i="19" s="1"/>
  <c r="G242" i="19"/>
  <c r="D122" i="9"/>
  <c r="M239" i="19"/>
  <c r="M240" i="19" s="1"/>
  <c r="M241" i="19" s="1"/>
  <c r="M242" i="19" s="1"/>
  <c r="M243" i="19" s="1"/>
  <c r="M244" i="19" s="1"/>
  <c r="M245" i="19" s="1"/>
  <c r="M246" i="19" s="1"/>
  <c r="M247" i="19" s="1"/>
  <c r="M248" i="19" s="1"/>
  <c r="M249" i="19" s="1"/>
  <c r="M252" i="19" s="1"/>
  <c r="A124" i="9"/>
  <c r="A125" i="9" s="1"/>
  <c r="O238" i="19"/>
  <c r="E239" i="19" s="1"/>
  <c r="K238" i="19"/>
  <c r="F50" i="17"/>
  <c r="C135" i="25" l="1"/>
  <c r="M187" i="9"/>
  <c r="O187" i="9" s="1"/>
  <c r="M178" i="9"/>
  <c r="M188" i="9"/>
  <c r="O188" i="9" s="1"/>
  <c r="M198" i="9"/>
  <c r="O198" i="9"/>
  <c r="M243" i="3"/>
  <c r="M247" i="3" s="1"/>
  <c r="M135" i="25"/>
  <c r="H144" i="3"/>
  <c r="H80" i="3"/>
  <c r="H87" i="3"/>
  <c r="J87" i="3" s="1"/>
  <c r="F227" i="3"/>
  <c r="H227" i="3" s="1"/>
  <c r="H230" i="3" s="1"/>
  <c r="J230" i="3" s="1"/>
  <c r="H109" i="3"/>
  <c r="H156" i="3"/>
  <c r="J156" i="3" s="1"/>
  <c r="J159" i="3" s="1"/>
  <c r="E173" i="3"/>
  <c r="E81" i="25"/>
  <c r="I81" i="25" s="1"/>
  <c r="O152" i="19"/>
  <c r="E153" i="19" s="1"/>
  <c r="K152" i="19"/>
  <c r="D24" i="25"/>
  <c r="E83" i="25"/>
  <c r="I83" i="25" s="1"/>
  <c r="I50" i="25"/>
  <c r="I51" i="25" s="1"/>
  <c r="K50" i="19"/>
  <c r="O50" i="19" s="1"/>
  <c r="E51" i="19" s="1"/>
  <c r="D46" i="17"/>
  <c r="I46" i="17"/>
  <c r="A113" i="3"/>
  <c r="A114" i="3" s="1"/>
  <c r="A115" i="3" s="1"/>
  <c r="A126" i="9"/>
  <c r="A127" i="9" s="1"/>
  <c r="A128" i="9" s="1"/>
  <c r="A129" i="9" s="1"/>
  <c r="A130" i="9" s="1"/>
  <c r="A131" i="9" s="1"/>
  <c r="A132" i="9" s="1"/>
  <c r="A133" i="9" s="1"/>
  <c r="A134" i="9" s="1"/>
  <c r="A135" i="9" s="1"/>
  <c r="A136" i="9" s="1"/>
  <c r="A137" i="9" s="1"/>
  <c r="A138" i="9" s="1"/>
  <c r="C98" i="25"/>
  <c r="G243" i="19"/>
  <c r="K101" i="19"/>
  <c r="O101" i="19"/>
  <c r="O239" i="19"/>
  <c r="E240" i="19" s="1"/>
  <c r="K239" i="19"/>
  <c r="M197" i="19"/>
  <c r="M198" i="19" s="1"/>
  <c r="M199" i="19" s="1"/>
  <c r="M200" i="19" s="1"/>
  <c r="M201" i="19" s="1"/>
  <c r="M202" i="19" s="1"/>
  <c r="M203" i="19" s="1"/>
  <c r="M204" i="19" s="1"/>
  <c r="M205" i="19" s="1"/>
  <c r="M206" i="19" s="1"/>
  <c r="M207" i="19" s="1"/>
  <c r="O14" i="19"/>
  <c r="M254" i="19"/>
  <c r="K196" i="19"/>
  <c r="O196" i="19"/>
  <c r="E197" i="19" s="1"/>
  <c r="F51" i="17"/>
  <c r="M180" i="9" l="1"/>
  <c r="O180" i="9" s="1"/>
  <c r="O178" i="9"/>
  <c r="M189" i="9"/>
  <c r="O189" i="9" s="1"/>
  <c r="H100" i="3"/>
  <c r="H113" i="3"/>
  <c r="J113" i="3" s="1"/>
  <c r="J109" i="3"/>
  <c r="H19" i="3"/>
  <c r="J19" i="3" s="1"/>
  <c r="M249" i="3" s="1"/>
  <c r="J80" i="3"/>
  <c r="H147" i="3"/>
  <c r="H89" i="3"/>
  <c r="J89" i="3" s="1"/>
  <c r="J96" i="3" s="1"/>
  <c r="H152" i="3"/>
  <c r="H164" i="3"/>
  <c r="J164" i="3" s="1"/>
  <c r="F13" i="23"/>
  <c r="F15" i="23" s="1"/>
  <c r="H163" i="3"/>
  <c r="J163" i="3" s="1"/>
  <c r="H151" i="3"/>
  <c r="H150" i="3"/>
  <c r="F13" i="22"/>
  <c r="F15" i="22" s="1"/>
  <c r="H145" i="3"/>
  <c r="J145" i="3" s="1"/>
  <c r="H148" i="3"/>
  <c r="J148" i="3" s="1"/>
  <c r="H149" i="3"/>
  <c r="J149" i="3" s="1"/>
  <c r="J144" i="3"/>
  <c r="N159" i="3"/>
  <c r="I84" i="25"/>
  <c r="D89" i="25" s="1"/>
  <c r="D138" i="9"/>
  <c r="O153" i="19"/>
  <c r="E154" i="19" s="1"/>
  <c r="K153" i="19"/>
  <c r="D56" i="25"/>
  <c r="K51" i="19"/>
  <c r="O51" i="19" s="1"/>
  <c r="E52" i="19" s="1"/>
  <c r="I47" i="17"/>
  <c r="I48" i="17" s="1"/>
  <c r="I49" i="17" s="1"/>
  <c r="I50" i="17" s="1"/>
  <c r="I51" i="17" s="1"/>
  <c r="I52" i="17" s="1"/>
  <c r="I53" i="17" s="1"/>
  <c r="I54" i="17" s="1"/>
  <c r="I55" i="17" s="1"/>
  <c r="I56" i="17" s="1"/>
  <c r="I57" i="17" s="1"/>
  <c r="E105" i="19"/>
  <c r="M105" i="19"/>
  <c r="K46" i="17"/>
  <c r="D47" i="17" s="1"/>
  <c r="H46" i="17"/>
  <c r="A140" i="9"/>
  <c r="A141" i="9" s="1"/>
  <c r="M210" i="19"/>
  <c r="A117" i="3"/>
  <c r="C117" i="3"/>
  <c r="G244" i="19"/>
  <c r="C115" i="3"/>
  <c r="O197" i="19"/>
  <c r="E198" i="19" s="1"/>
  <c r="K197" i="19"/>
  <c r="F52" i="17"/>
  <c r="O240" i="19"/>
  <c r="E241" i="19" s="1"/>
  <c r="K240" i="19"/>
  <c r="M181" i="9" l="1"/>
  <c r="M196" i="9" s="1"/>
  <c r="O196" i="9" s="1"/>
  <c r="P135" i="25"/>
  <c r="J94" i="3"/>
  <c r="J97" i="3" s="1"/>
  <c r="H97" i="3" s="1"/>
  <c r="J83" i="3"/>
  <c r="H83" i="3" s="1"/>
  <c r="J90" i="3"/>
  <c r="J153" i="3"/>
  <c r="G15" i="23"/>
  <c r="F16" i="23"/>
  <c r="G16" i="23" s="1"/>
  <c r="G15" i="22"/>
  <c r="O154" i="19"/>
  <c r="E155" i="19" s="1"/>
  <c r="K154" i="19"/>
  <c r="K52" i="19"/>
  <c r="O52" i="19" s="1"/>
  <c r="M119" i="19"/>
  <c r="M106" i="19"/>
  <c r="M107" i="19" s="1"/>
  <c r="M108" i="19" s="1"/>
  <c r="M109" i="19" s="1"/>
  <c r="M110" i="19" s="1"/>
  <c r="M111" i="19" s="1"/>
  <c r="M112" i="19" s="1"/>
  <c r="M113" i="19" s="1"/>
  <c r="M114" i="19" s="1"/>
  <c r="M115" i="19" s="1"/>
  <c r="M116" i="19" s="1"/>
  <c r="M212" i="19"/>
  <c r="O13" i="19"/>
  <c r="K105" i="19"/>
  <c r="O105" i="19"/>
  <c r="E106" i="19" s="1"/>
  <c r="G245" i="19"/>
  <c r="A142" i="9"/>
  <c r="A143" i="9" s="1"/>
  <c r="A144" i="9" s="1"/>
  <c r="A145" i="9" s="1"/>
  <c r="A146" i="9" s="1"/>
  <c r="A147" i="9" s="1"/>
  <c r="A148" i="9" s="1"/>
  <c r="A149" i="9" s="1"/>
  <c r="A150" i="9" s="1"/>
  <c r="A151" i="9" s="1"/>
  <c r="A152" i="9" s="1"/>
  <c r="A153" i="9" s="1"/>
  <c r="A154" i="9" s="1"/>
  <c r="I60" i="17"/>
  <c r="O198" i="19"/>
  <c r="E199" i="19" s="1"/>
  <c r="K198" i="19"/>
  <c r="A143" i="3"/>
  <c r="A144" i="3" s="1"/>
  <c r="K47" i="17"/>
  <c r="D48" i="17" s="1"/>
  <c r="H47" i="17"/>
  <c r="O241" i="19"/>
  <c r="E242" i="19" s="1"/>
  <c r="K241" i="19"/>
  <c r="F53" i="17"/>
  <c r="J112" i="3" l="1"/>
  <c r="H114" i="3"/>
  <c r="J114" i="3" s="1"/>
  <c r="H166" i="3"/>
  <c r="J166" i="3" s="1"/>
  <c r="H168" i="3"/>
  <c r="J168" i="3" s="1"/>
  <c r="G31" i="25"/>
  <c r="J31" i="25" s="1"/>
  <c r="G63" i="25"/>
  <c r="J63" i="25" s="1"/>
  <c r="H102" i="3"/>
  <c r="J102" i="3" s="1"/>
  <c r="E14" i="22"/>
  <c r="E14" i="23" s="1"/>
  <c r="H180" i="3"/>
  <c r="J180" i="3" s="1"/>
  <c r="G96" i="25"/>
  <c r="J96" i="25" s="1"/>
  <c r="F17" i="23"/>
  <c r="G17" i="23" s="1"/>
  <c r="E100" i="3" s="1"/>
  <c r="K155" i="19"/>
  <c r="O155" i="19"/>
  <c r="E156" i="19" s="1"/>
  <c r="M56" i="19"/>
  <c r="E56" i="19"/>
  <c r="D154" i="9"/>
  <c r="A156" i="9"/>
  <c r="A157" i="9" s="1"/>
  <c r="O242" i="19"/>
  <c r="E243" i="19" s="1"/>
  <c r="K242" i="19"/>
  <c r="F54" i="17"/>
  <c r="O199" i="19"/>
  <c r="E200" i="19" s="1"/>
  <c r="K199" i="19"/>
  <c r="A145" i="3"/>
  <c r="A146" i="3" s="1"/>
  <c r="A147" i="3" s="1"/>
  <c r="A148" i="3" s="1"/>
  <c r="A149" i="3" s="1"/>
  <c r="A153" i="3" s="1"/>
  <c r="G246" i="19"/>
  <c r="K106" i="19"/>
  <c r="O106" i="19"/>
  <c r="E107" i="19" s="1"/>
  <c r="M121" i="19"/>
  <c r="O11" i="19"/>
  <c r="K48" i="17"/>
  <c r="D49" i="17" s="1"/>
  <c r="H48" i="17"/>
  <c r="E23" i="3"/>
  <c r="J23" i="3" s="1"/>
  <c r="I62" i="17"/>
  <c r="J115" i="3" l="1"/>
  <c r="J169" i="3"/>
  <c r="N169" i="3" s="1"/>
  <c r="E107" i="3"/>
  <c r="E117" i="3" s="1"/>
  <c r="J100" i="3"/>
  <c r="J107" i="3" s="1"/>
  <c r="O156" i="19"/>
  <c r="E157" i="19" s="1"/>
  <c r="K156" i="19"/>
  <c r="O243" i="19"/>
  <c r="E244" i="19" s="1"/>
  <c r="K243" i="19"/>
  <c r="O200" i="19"/>
  <c r="E201" i="19" s="1"/>
  <c r="K200" i="19"/>
  <c r="A158" i="9"/>
  <c r="A159" i="9" s="1"/>
  <c r="A160" i="9" s="1"/>
  <c r="A161" i="9" s="1"/>
  <c r="A162" i="9" s="1"/>
  <c r="A163" i="9" s="1"/>
  <c r="A164" i="9" s="1"/>
  <c r="A165" i="9" s="1"/>
  <c r="A166" i="9" s="1"/>
  <c r="A167" i="9" s="1"/>
  <c r="A168" i="9" s="1"/>
  <c r="A169" i="9" s="1"/>
  <c r="A170" i="9" s="1"/>
  <c r="K49" i="17"/>
  <c r="D50" i="17" s="1"/>
  <c r="H49" i="17"/>
  <c r="O56" i="19"/>
  <c r="E57" i="19" s="1"/>
  <c r="K56" i="19"/>
  <c r="G247" i="19"/>
  <c r="M57" i="19"/>
  <c r="M58" i="19" s="1"/>
  <c r="M59" i="19" s="1"/>
  <c r="M60" i="19" s="1"/>
  <c r="M61" i="19" s="1"/>
  <c r="M62" i="19" s="1"/>
  <c r="M63" i="19" s="1"/>
  <c r="M64" i="19" s="1"/>
  <c r="M65" i="19" s="1"/>
  <c r="M66" i="19" s="1"/>
  <c r="M67" i="19" s="1"/>
  <c r="O107" i="19"/>
  <c r="E108" i="19" s="1"/>
  <c r="K107" i="19"/>
  <c r="C153" i="3"/>
  <c r="F55" i="17"/>
  <c r="A155" i="3"/>
  <c r="A156" i="3" s="1"/>
  <c r="E185" i="3" l="1"/>
  <c r="E179" i="3" s="1"/>
  <c r="J117" i="3"/>
  <c r="J11" i="25" s="1"/>
  <c r="J109" i="25"/>
  <c r="N116" i="25" s="1"/>
  <c r="N117" i="25" s="1"/>
  <c r="O157" i="19"/>
  <c r="E158" i="19" s="1"/>
  <c r="K157" i="19"/>
  <c r="G248" i="19"/>
  <c r="O201" i="19"/>
  <c r="E202" i="19" s="1"/>
  <c r="K201" i="19"/>
  <c r="O244" i="19"/>
  <c r="E245" i="19" s="1"/>
  <c r="K244" i="19"/>
  <c r="A173" i="9"/>
  <c r="A5" i="29" s="1"/>
  <c r="A7" i="29" s="1"/>
  <c r="A9" i="29" s="1"/>
  <c r="A11" i="29" s="1"/>
  <c r="A13" i="29" s="1"/>
  <c r="D173" i="9"/>
  <c r="F56" i="17"/>
  <c r="O108" i="19"/>
  <c r="E109" i="19" s="1"/>
  <c r="K108" i="19"/>
  <c r="O57" i="19"/>
  <c r="E58" i="19" s="1"/>
  <c r="K57" i="19"/>
  <c r="M70" i="19"/>
  <c r="K50" i="17"/>
  <c r="D51" i="17" s="1"/>
  <c r="H50" i="17"/>
  <c r="A157" i="3"/>
  <c r="A158" i="3" s="1"/>
  <c r="A159" i="3" s="1"/>
  <c r="D170" i="9"/>
  <c r="E182" i="3" l="1"/>
  <c r="E187" i="3" s="1"/>
  <c r="J179" i="3"/>
  <c r="J182" i="3" s="1"/>
  <c r="J185" i="3"/>
  <c r="O116" i="25"/>
  <c r="J36" i="25"/>
  <c r="J43" i="25"/>
  <c r="J20" i="25"/>
  <c r="D30" i="25" s="1"/>
  <c r="N118" i="25"/>
  <c r="O117" i="25"/>
  <c r="O158" i="19"/>
  <c r="E159" i="19" s="1"/>
  <c r="K158" i="19"/>
  <c r="M72" i="19"/>
  <c r="O10" i="19"/>
  <c r="O16" i="19" s="1"/>
  <c r="K58" i="19"/>
  <c r="O58" i="19"/>
  <c r="E59" i="19" s="1"/>
  <c r="O245" i="19"/>
  <c r="E246" i="19" s="1"/>
  <c r="K245" i="19"/>
  <c r="A161" i="3"/>
  <c r="A162" i="3" s="1"/>
  <c r="A163" i="3" s="1"/>
  <c r="K51" i="17"/>
  <c r="D52" i="17" s="1"/>
  <c r="H51" i="17"/>
  <c r="K109" i="19"/>
  <c r="O109" i="19"/>
  <c r="E110" i="19" s="1"/>
  <c r="O202" i="19"/>
  <c r="E203" i="19" s="1"/>
  <c r="K202" i="19"/>
  <c r="F57" i="17"/>
  <c r="C159" i="3"/>
  <c r="A14" i="29"/>
  <c r="A15" i="29" s="1"/>
  <c r="A16" i="29" s="1"/>
  <c r="A17" i="29" s="1"/>
  <c r="A18" i="29" s="1"/>
  <c r="A19" i="29" s="1"/>
  <c r="A20" i="29" s="1"/>
  <c r="A21" i="29" s="1"/>
  <c r="A22" i="29" s="1"/>
  <c r="A23" i="29" s="1"/>
  <c r="A24" i="29" s="1"/>
  <c r="A25" i="29" s="1"/>
  <c r="A26" i="29" s="1"/>
  <c r="G249" i="19"/>
  <c r="N187" i="3" l="1"/>
  <c r="M248" i="3"/>
  <c r="J187" i="3"/>
  <c r="J30" i="25"/>
  <c r="J32" i="25" s="1"/>
  <c r="J35" i="25" s="1"/>
  <c r="J37" i="25" s="1"/>
  <c r="D32" i="25"/>
  <c r="J68" i="25"/>
  <c r="J76" i="25"/>
  <c r="J52" i="25"/>
  <c r="D62" i="25" s="1"/>
  <c r="O118" i="25"/>
  <c r="N119" i="25"/>
  <c r="N120" i="25" s="1"/>
  <c r="O159" i="19"/>
  <c r="E160" i="19" s="1"/>
  <c r="K159" i="19"/>
  <c r="O59" i="19"/>
  <c r="E60" i="19" s="1"/>
  <c r="K59" i="19"/>
  <c r="O110" i="19"/>
  <c r="E111" i="19" s="1"/>
  <c r="K110" i="19"/>
  <c r="D26" i="29"/>
  <c r="O203" i="19"/>
  <c r="E204" i="19" s="1"/>
  <c r="K203" i="19"/>
  <c r="A164" i="3"/>
  <c r="A165" i="3" s="1"/>
  <c r="A166" i="3" s="1"/>
  <c r="A167" i="3" s="1"/>
  <c r="A168" i="3" s="1"/>
  <c r="A169" i="3" s="1"/>
  <c r="O246" i="19"/>
  <c r="E247" i="19" s="1"/>
  <c r="K246" i="19"/>
  <c r="K52" i="17"/>
  <c r="D53" i="17" s="1"/>
  <c r="H52" i="17"/>
  <c r="M250" i="3" l="1"/>
  <c r="J110" i="25" s="1"/>
  <c r="N121" i="25"/>
  <c r="O120" i="25"/>
  <c r="D64" i="25"/>
  <c r="J62" i="25"/>
  <c r="J64" i="25" s="1"/>
  <c r="J67" i="25" s="1"/>
  <c r="J69" i="25" s="1"/>
  <c r="J70" i="25" s="1"/>
  <c r="J102" i="25"/>
  <c r="J85" i="25"/>
  <c r="D95" i="25" s="1"/>
  <c r="O119" i="25"/>
  <c r="K160" i="19"/>
  <c r="K161" i="19" s="1"/>
  <c r="O160" i="19"/>
  <c r="O247" i="19"/>
  <c r="E248" i="19" s="1"/>
  <c r="K247" i="19"/>
  <c r="O60" i="19"/>
  <c r="E61" i="19" s="1"/>
  <c r="K60" i="19"/>
  <c r="A171" i="3"/>
  <c r="A172" i="3" s="1"/>
  <c r="C169" i="3"/>
  <c r="O204" i="19"/>
  <c r="E205" i="19" s="1"/>
  <c r="K204" i="19"/>
  <c r="K53" i="17"/>
  <c r="D54" i="17" s="1"/>
  <c r="H53" i="17"/>
  <c r="O111" i="19"/>
  <c r="E112" i="19" s="1"/>
  <c r="K111" i="19"/>
  <c r="L120" i="25" l="1"/>
  <c r="L118" i="25"/>
  <c r="L123" i="25"/>
  <c r="L122" i="25"/>
  <c r="L121" i="25"/>
  <c r="L119" i="25"/>
  <c r="L116" i="25"/>
  <c r="L117" i="25"/>
  <c r="G121" i="25"/>
  <c r="H121" i="25" s="1"/>
  <c r="I121" i="25" s="1"/>
  <c r="G122" i="25"/>
  <c r="H122" i="25" s="1"/>
  <c r="I122" i="25" s="1"/>
  <c r="G120" i="25"/>
  <c r="H120" i="25" s="1"/>
  <c r="I120" i="25" s="1"/>
  <c r="G123" i="25"/>
  <c r="H123" i="25" s="1"/>
  <c r="I123" i="25" s="1"/>
  <c r="N122" i="25"/>
  <c r="O121" i="25"/>
  <c r="G118" i="25"/>
  <c r="H118" i="25" s="1"/>
  <c r="I118" i="25" s="1"/>
  <c r="G117" i="25"/>
  <c r="H117" i="25" s="1"/>
  <c r="I117" i="25" s="1"/>
  <c r="G119" i="25"/>
  <c r="H119" i="25" s="1"/>
  <c r="I119" i="25" s="1"/>
  <c r="G116" i="25"/>
  <c r="H116" i="25" s="1"/>
  <c r="I116" i="25" s="1"/>
  <c r="J95" i="25"/>
  <c r="J98" i="25" s="1"/>
  <c r="J101" i="25" s="1"/>
  <c r="J103" i="25" s="1"/>
  <c r="J104" i="25" s="1"/>
  <c r="D98" i="25"/>
  <c r="K61" i="19"/>
  <c r="O61" i="19"/>
  <c r="E62" i="19" s="1"/>
  <c r="K54" i="17"/>
  <c r="D55" i="17" s="1"/>
  <c r="H54" i="17"/>
  <c r="O205" i="19"/>
  <c r="E206" i="19" s="1"/>
  <c r="K205" i="19"/>
  <c r="O248" i="19"/>
  <c r="E249" i="19" s="1"/>
  <c r="K248" i="19"/>
  <c r="C176" i="3"/>
  <c r="A173" i="3"/>
  <c r="O112" i="19"/>
  <c r="E113" i="19" s="1"/>
  <c r="K112" i="19"/>
  <c r="L135" i="25" l="1"/>
  <c r="K123" i="25"/>
  <c r="K122" i="25"/>
  <c r="K120" i="25"/>
  <c r="Q120" i="25" s="1"/>
  <c r="S120" i="25" s="1"/>
  <c r="K121" i="25"/>
  <c r="Q121" i="25" s="1"/>
  <c r="S121" i="25" s="1"/>
  <c r="N123" i="25"/>
  <c r="O123" i="25" s="1"/>
  <c r="O122" i="25"/>
  <c r="K117" i="25"/>
  <c r="Q117" i="25" s="1"/>
  <c r="S117" i="25" s="1"/>
  <c r="K118" i="25"/>
  <c r="Q118" i="25" s="1"/>
  <c r="S118" i="25" s="1"/>
  <c r="K116" i="25"/>
  <c r="Q116" i="25" s="1"/>
  <c r="K119" i="25"/>
  <c r="Q119" i="25" s="1"/>
  <c r="S119" i="25" s="1"/>
  <c r="I135" i="25"/>
  <c r="E189" i="3" s="1"/>
  <c r="O206" i="19"/>
  <c r="E207" i="19" s="1"/>
  <c r="K206" i="19"/>
  <c r="A174" i="3"/>
  <c r="A175" i="3" s="1"/>
  <c r="A176" i="3" s="1"/>
  <c r="K55" i="17"/>
  <c r="D56" i="17" s="1"/>
  <c r="H55" i="17"/>
  <c r="K113" i="19"/>
  <c r="O113" i="19"/>
  <c r="E114" i="19" s="1"/>
  <c r="O62" i="19"/>
  <c r="E63" i="19" s="1"/>
  <c r="K62" i="19"/>
  <c r="O249" i="19"/>
  <c r="K249" i="19"/>
  <c r="K250" i="19" s="1"/>
  <c r="Q123" i="25" l="1"/>
  <c r="S123" i="25" s="1"/>
  <c r="Q122" i="25"/>
  <c r="S122" i="25" s="1"/>
  <c r="K135" i="25"/>
  <c r="J189" i="3"/>
  <c r="J191" i="3" s="1"/>
  <c r="E191" i="3"/>
  <c r="S116" i="25"/>
  <c r="A177" i="3"/>
  <c r="A179" i="3" s="1"/>
  <c r="C180" i="3"/>
  <c r="K114" i="19"/>
  <c r="O114" i="19"/>
  <c r="E115" i="19" s="1"/>
  <c r="K56" i="17"/>
  <c r="D57" i="17" s="1"/>
  <c r="H56" i="17"/>
  <c r="O63" i="19"/>
  <c r="E64" i="19" s="1"/>
  <c r="K63" i="19"/>
  <c r="O207" i="19"/>
  <c r="K207" i="19"/>
  <c r="K208" i="19" s="1"/>
  <c r="Q135" i="25" l="1"/>
  <c r="D25" i="5" s="1"/>
  <c r="S135" i="25"/>
  <c r="N124" i="25"/>
  <c r="J15" i="3"/>
  <c r="J21" i="3" s="1"/>
  <c r="J25" i="3" s="1"/>
  <c r="S136" i="25" s="1"/>
  <c r="Q136" i="25"/>
  <c r="O64" i="19"/>
  <c r="E65" i="19" s="1"/>
  <c r="K64" i="19"/>
  <c r="K115" i="19"/>
  <c r="O115" i="19"/>
  <c r="E116" i="19" s="1"/>
  <c r="K57" i="17"/>
  <c r="H57" i="17"/>
  <c r="H58" i="17" s="1"/>
  <c r="A180" i="3"/>
  <c r="A182" i="3" s="1"/>
  <c r="S137" i="25" l="1"/>
  <c r="Q137" i="25"/>
  <c r="C25" i="5"/>
  <c r="C29" i="5" s="1"/>
  <c r="C32" i="5" s="1"/>
  <c r="C34" i="5" s="1"/>
  <c r="D29" i="5"/>
  <c r="D32" i="5" s="1"/>
  <c r="D34" i="5" s="1"/>
  <c r="N125" i="25"/>
  <c r="O124" i="25"/>
  <c r="D182" i="3"/>
  <c r="K116" i="19"/>
  <c r="K117" i="19" s="1"/>
  <c r="O116" i="19"/>
  <c r="A184" i="3"/>
  <c r="A185" i="3" s="1"/>
  <c r="C187" i="3"/>
  <c r="O65" i="19"/>
  <c r="E66" i="19" s="1"/>
  <c r="K65" i="19"/>
  <c r="O125" i="25" l="1"/>
  <c r="N126" i="25"/>
  <c r="O66" i="19"/>
  <c r="E67" i="19" s="1"/>
  <c r="K66" i="19"/>
  <c r="A187" i="3"/>
  <c r="C179" i="3"/>
  <c r="N129" i="25" l="1"/>
  <c r="O126" i="25"/>
  <c r="N127" i="25"/>
  <c r="A189" i="3"/>
  <c r="A191" i="3" s="1"/>
  <c r="O67" i="19"/>
  <c r="K67" i="19"/>
  <c r="K68" i="19" s="1"/>
  <c r="O127" i="25" l="1"/>
  <c r="N128" i="25"/>
  <c r="O128" i="25" s="1"/>
  <c r="O129" i="25"/>
  <c r="N130" i="25"/>
  <c r="A215" i="3"/>
  <c r="A217" i="3" s="1"/>
  <c r="D15" i="3"/>
  <c r="C191" i="3"/>
  <c r="N131" i="25" l="1"/>
  <c r="O130" i="25"/>
  <c r="A218" i="3"/>
  <c r="A219" i="3" s="1"/>
  <c r="A220" i="3" s="1"/>
  <c r="C220" i="3"/>
  <c r="O131" i="25" l="1"/>
  <c r="N132" i="25"/>
  <c r="A222" i="3"/>
  <c r="A224" i="3" s="1"/>
  <c r="A225" i="3" s="1"/>
  <c r="A226" i="3" s="1"/>
  <c r="C222" i="3"/>
  <c r="O132" i="25" l="1"/>
  <c r="N133" i="25"/>
  <c r="A227" i="3"/>
  <c r="A228" i="3" s="1"/>
  <c r="A229" i="3" s="1"/>
  <c r="A230" i="3" s="1"/>
  <c r="A232" i="3" s="1"/>
  <c r="A233" i="3" s="1"/>
  <c r="A234" i="3" s="1"/>
  <c r="A235" i="3" s="1"/>
  <c r="N134" i="25" l="1"/>
  <c r="O134" i="25" s="1"/>
  <c r="O133" i="25"/>
  <c r="B77" i="28"/>
  <c r="A236" i="3"/>
  <c r="A237" i="3" s="1"/>
  <c r="A238" i="3" s="1"/>
  <c r="C174" i="3" s="1"/>
  <c r="C230" i="3"/>
  <c r="O135" i="25" l="1"/>
  <c r="A243" i="3"/>
  <c r="A244" i="3" s="1"/>
  <c r="A245" i="3" s="1"/>
  <c r="A246" i="3" s="1"/>
  <c r="A248" i="3" s="1"/>
  <c r="A249" i="3" s="1"/>
  <c r="A250" i="3" s="1"/>
  <c r="C185" i="3"/>
  <c r="C238" i="3"/>
</calcChain>
</file>

<file path=xl/sharedStrings.xml><?xml version="1.0" encoding="utf-8"?>
<sst xmlns="http://schemas.openxmlformats.org/spreadsheetml/2006/main" count="2567" uniqueCount="1211">
  <si>
    <t>Index</t>
  </si>
  <si>
    <t>Appendix A</t>
  </si>
  <si>
    <t>Main body of the Formula Rate</t>
  </si>
  <si>
    <t>Attachment 1</t>
  </si>
  <si>
    <t>Detail of the Revenue Credits</t>
  </si>
  <si>
    <t>Attachment 2</t>
  </si>
  <si>
    <t>Monthly Plant and Accumulated Depreciation balances</t>
  </si>
  <si>
    <t>Attachment 3</t>
  </si>
  <si>
    <t>Cost Support Detail</t>
  </si>
  <si>
    <t>Attachment 4</t>
  </si>
  <si>
    <t xml:space="preserve">Calculations showing the revenue requirement by Investment, including any Incentives, </t>
  </si>
  <si>
    <t>Attachment 5</t>
  </si>
  <si>
    <t>Cost of Debt should Construction Financing be Obtained</t>
  </si>
  <si>
    <t>Attachment 6a and 6b</t>
  </si>
  <si>
    <t>Detail of the Accumulated Deferred Income Tax Balances</t>
  </si>
  <si>
    <t>Attachment 7</t>
  </si>
  <si>
    <t>True-Up calculations</t>
  </si>
  <si>
    <t>Attachment 8</t>
  </si>
  <si>
    <t>True-Up for the Construction Financing calculations in Attachment 5</t>
  </si>
  <si>
    <t>Attachment 9</t>
  </si>
  <si>
    <t>Depreciation Rates</t>
  </si>
  <si>
    <t>Attachment 10</t>
  </si>
  <si>
    <t>Workpapers</t>
  </si>
  <si>
    <t>Attachment 11</t>
  </si>
  <si>
    <t>Excess &amp; Deficient ADIT</t>
  </si>
  <si>
    <t>Page 1 of 5</t>
  </si>
  <si>
    <t xml:space="preserve">Formula Rate - Non-Levelized </t>
  </si>
  <si>
    <r>
      <t>Rate Formula Template</t>
    </r>
    <r>
      <rPr>
        <strike/>
        <sz val="12"/>
        <color indexed="10"/>
        <rFont val="Arial"/>
        <family val="2"/>
      </rPr>
      <t xml:space="preserve"> </t>
    </r>
  </si>
  <si>
    <t xml:space="preserve"> </t>
  </si>
  <si>
    <t xml:space="preserve"> Utilizing FERC Form 1 Data</t>
  </si>
  <si>
    <t>Projected Annual Transmission Revenue Requirement</t>
  </si>
  <si>
    <t>For the 12 months ended 12/31/23</t>
  </si>
  <si>
    <t>New York Transco LLC</t>
  </si>
  <si>
    <t>(1)</t>
  </si>
  <si>
    <t>(2)</t>
  </si>
  <si>
    <t>(3)</t>
  </si>
  <si>
    <t>Line</t>
  </si>
  <si>
    <t>Allocated</t>
  </si>
  <si>
    <t>No.</t>
  </si>
  <si>
    <t>Amount</t>
  </si>
  <si>
    <t xml:space="preserve">GROSS REVENUE REQUIREMENT    </t>
  </si>
  <si>
    <t>12 months</t>
  </si>
  <si>
    <t xml:space="preserve">REVENUE CREDITS </t>
  </si>
  <si>
    <t>Total</t>
  </si>
  <si>
    <t>Allocator</t>
  </si>
  <si>
    <t>Net Revenue Requirement</t>
  </si>
  <si>
    <t>True-up Adjustment</t>
  </si>
  <si>
    <t>DA</t>
  </si>
  <si>
    <t>NET ADJUSTED REVENUE REQUIREMENT</t>
  </si>
  <si>
    <t>Page 2 of 5</t>
  </si>
  <si>
    <t>(4)</t>
  </si>
  <si>
    <t>(5)</t>
  </si>
  <si>
    <t>Form No. 1</t>
  </si>
  <si>
    <t>Transmission</t>
  </si>
  <si>
    <t>Page, Line, Col.</t>
  </si>
  <si>
    <t>Company Total</t>
  </si>
  <si>
    <t xml:space="preserve">                  Allocator</t>
  </si>
  <si>
    <t>(Col 3 times Col 4)</t>
  </si>
  <si>
    <t>RATE BASE:</t>
  </si>
  <si>
    <t>GROSS PLANT IN SERVICE (Note M)</t>
  </si>
  <si>
    <t xml:space="preserve">  Production</t>
  </si>
  <si>
    <t>(Attach 2, line 75)</t>
  </si>
  <si>
    <t>NA</t>
  </si>
  <si>
    <t xml:space="preserve">  Transmission </t>
  </si>
  <si>
    <t>(Attach 2, line 15)</t>
  </si>
  <si>
    <t>TP</t>
  </si>
  <si>
    <t>Incentive eligible ave. gross</t>
  </si>
  <si>
    <t xml:space="preserve">  Distribution</t>
  </si>
  <si>
    <t>(Attach 2, line 30)</t>
  </si>
  <si>
    <t xml:space="preserve">  General &amp; Intangible</t>
  </si>
  <si>
    <t>(Attach 2, lines 45 &amp; 60)</t>
  </si>
  <si>
    <t>W/S</t>
  </si>
  <si>
    <t>Incentive eligible ave. gross (excludes gen'l)</t>
  </si>
  <si>
    <t>(GP=1 if plant =0)</t>
  </si>
  <si>
    <t>GP=</t>
  </si>
  <si>
    <t>Total incentive eligible ave. gross (excludes gen'l)</t>
  </si>
  <si>
    <t>ACCUMULATED DEPRECIATION &amp; AMORTIZATION  (Note M)</t>
  </si>
  <si>
    <t>(Attach 2, line 151)</t>
  </si>
  <si>
    <t>(Attach 2, line 91)</t>
  </si>
  <si>
    <t>Incentive eligible ave. deprec.</t>
  </si>
  <si>
    <t>(Attach 2, line 106)</t>
  </si>
  <si>
    <t>(Attach 2, lines 121 &amp; 136</t>
  </si>
  <si>
    <t>Incentive eligible ave. deprec. (excludes gen'l)</t>
  </si>
  <si>
    <t>Total incentive eligible ave. deprec. (excludes gen'l)</t>
  </si>
  <si>
    <t>NET PLANT IN SERVICE</t>
  </si>
  <si>
    <t xml:space="preserve">  Transmission</t>
  </si>
  <si>
    <t xml:space="preserve">  General &amp; Intangible </t>
  </si>
  <si>
    <t>(NP=1 if plant =0)</t>
  </si>
  <si>
    <t>NP=</t>
  </si>
  <si>
    <t>Net ave. plant incentive eligible (excludes gen'l)</t>
  </si>
  <si>
    <t xml:space="preserve">  ADIT</t>
  </si>
  <si>
    <t>(Attach 6a, line 9)</t>
  </si>
  <si>
    <t>24a</t>
  </si>
  <si>
    <t xml:space="preserve">  Deficient (Excess) ADIT</t>
  </si>
  <si>
    <t>(Attach 11, line 14)</t>
  </si>
  <si>
    <t xml:space="preserve">  Account No. 255 (enter negative) (Note F)</t>
  </si>
  <si>
    <t>(Attach 3, line 153)</t>
  </si>
  <si>
    <t>NP</t>
  </si>
  <si>
    <t xml:space="preserve">  CWIP</t>
  </si>
  <si>
    <t xml:space="preserve">(Attach 10)  </t>
  </si>
  <si>
    <t xml:space="preserve">  Unfunded Reserves (enter negative)</t>
  </si>
  <si>
    <t>(Attach 3, line 170a)</t>
  </si>
  <si>
    <t xml:space="preserve">  Unamortized Regulatory Assets</t>
  </si>
  <si>
    <t>(Attach 10)  (Note L)</t>
  </si>
  <si>
    <t xml:space="preserve">  Unamortized Abandoned Plant</t>
  </si>
  <si>
    <t>(Attach 10) (Note K)</t>
  </si>
  <si>
    <t>LAND HELD FOR FUTURE USE</t>
  </si>
  <si>
    <t xml:space="preserve">  CWC  </t>
  </si>
  <si>
    <t>calculated (1/8 * Line 45)</t>
  </si>
  <si>
    <t>(Attach 3, line 189)</t>
  </si>
  <si>
    <t>(Attach 3, line 170)</t>
  </si>
  <si>
    <t>GP</t>
  </si>
  <si>
    <t>Page 3 of 5</t>
  </si>
  <si>
    <t>O&amp;M</t>
  </si>
  <si>
    <t>321.112.b</t>
  </si>
  <si>
    <t xml:space="preserve">     Less Accounts 565, 561 and 561.1 to 561.8</t>
  </si>
  <si>
    <t>321.96.b &amp; 84.b to 92.b</t>
  </si>
  <si>
    <t xml:space="preserve">  A&amp;G</t>
  </si>
  <si>
    <t>323.197.b</t>
  </si>
  <si>
    <t xml:space="preserve">     Less EPRI &amp; Reg. Comm. Exp. &amp; Other  Ad.  </t>
  </si>
  <si>
    <t xml:space="preserve">     Plus Transmission Related Reg. Comm.  Exp.  </t>
  </si>
  <si>
    <t xml:space="preserve">     PBOP expense adjustment</t>
  </si>
  <si>
    <t>(Attach 3, line 243)</t>
  </si>
  <si>
    <t>44a</t>
  </si>
  <si>
    <t xml:space="preserve">    Less Account 566</t>
  </si>
  <si>
    <t>321.97.b</t>
  </si>
  <si>
    <t>44b</t>
  </si>
  <si>
    <t xml:space="preserve">    Amortization of Regulatory Assets</t>
  </si>
  <si>
    <t>(Attach 10, line 2)</t>
  </si>
  <si>
    <t>44c</t>
  </si>
  <si>
    <t xml:space="preserve">    Account 566 excluding amort. of Reg Assets</t>
  </si>
  <si>
    <t>(line 44a less line 44b)</t>
  </si>
  <si>
    <t xml:space="preserve">DEPRECIATION EXPENSE </t>
  </si>
  <si>
    <t>336.7.f (Note M)</t>
  </si>
  <si>
    <t xml:space="preserve">  General and Intangible</t>
  </si>
  <si>
    <t>336.1.f + 336.10.f (Note M)</t>
  </si>
  <si>
    <t xml:space="preserve">  Amortization of Abandoned Plant</t>
  </si>
  <si>
    <t>(Attach 3, line 155) (Note K)</t>
  </si>
  <si>
    <t>Depreciation and amortization</t>
  </si>
  <si>
    <t xml:space="preserve">  LABOR RELATED</t>
  </si>
  <si>
    <t xml:space="preserve">          Payroll</t>
  </si>
  <si>
    <t>263.7.i (enter FN1 line #)</t>
  </si>
  <si>
    <t xml:space="preserve">          Highway and vehicle</t>
  </si>
  <si>
    <t>263._.i (enter FN1 line #)</t>
  </si>
  <si>
    <t xml:space="preserve">  PLANT RELATED</t>
  </si>
  <si>
    <t xml:space="preserve">         Property</t>
  </si>
  <si>
    <t>263.5.i (enter FN1 line #)</t>
  </si>
  <si>
    <t xml:space="preserve">         Gross Receipts</t>
  </si>
  <si>
    <t xml:space="preserve">         Other</t>
  </si>
  <si>
    <t>Total O&amp;M and other taxes less amortization</t>
  </si>
  <si>
    <t xml:space="preserve">INCOME TAXES          </t>
  </si>
  <si>
    <t xml:space="preserve">     T=1 - {[(1 - SIT) * (1 - FIT)] / (1 - SIT * FIT * p))}*(1-n) =</t>
  </si>
  <si>
    <t xml:space="preserve">     CIT=(T/1-T) * (1-(WCLTD/R)) =</t>
  </si>
  <si>
    <t>Amortized Investment Tax Credit (Attachment 4, line 14)</t>
  </si>
  <si>
    <t>68a</t>
  </si>
  <si>
    <t>(Excess)/Deficient Deferred Income Tax Adjustment</t>
  </si>
  <si>
    <t>(Attachment 11, line 11) (Note O)</t>
  </si>
  <si>
    <t>Total Income Taxes</t>
  </si>
  <si>
    <t xml:space="preserve">RETURN </t>
  </si>
  <si>
    <t>Return and income taxes</t>
  </si>
  <si>
    <t>Incentive Return and Income Tax on Authorized Projects (Attach 4, line 58, col h)</t>
  </si>
  <si>
    <t>Page 4 of 5</t>
  </si>
  <si>
    <t>Rate Formula Template</t>
  </si>
  <si>
    <t>SUPPORTING CALCULATIONS AND NOTES</t>
  </si>
  <si>
    <t>TRANSMISSION PLANT INCLUDED IN RTO RATES</t>
  </si>
  <si>
    <t>(Attachment 3, line 175)</t>
  </si>
  <si>
    <t>TP=</t>
  </si>
  <si>
    <t>WAGES &amp; SALARY ALLOCATOR   (W&amp;S) (Note I)</t>
  </si>
  <si>
    <t>Form 1 Reference</t>
  </si>
  <si>
    <t>$</t>
  </si>
  <si>
    <t>Allocation</t>
  </si>
  <si>
    <t>354.20.b</t>
  </si>
  <si>
    <t>354.21.b</t>
  </si>
  <si>
    <t>354.23.b</t>
  </si>
  <si>
    <t>W&amp;S Allocator</t>
  </si>
  <si>
    <t xml:space="preserve">  Other</t>
  </si>
  <si>
    <t>354.24,25,26.b</t>
  </si>
  <si>
    <t>($ / Allocation)</t>
  </si>
  <si>
    <t>=</t>
  </si>
  <si>
    <t>WS</t>
  </si>
  <si>
    <t>%</t>
  </si>
  <si>
    <t>Cost</t>
  </si>
  <si>
    <t>Weighted</t>
  </si>
  <si>
    <t xml:space="preserve">  Long Term Debt </t>
  </si>
  <si>
    <t>(Attach 3, lines 249 &amp; 270 or Attach 5) (Note G)</t>
  </si>
  <si>
    <t>=WCLTD</t>
  </si>
  <si>
    <t xml:space="preserve">  Preferred Stock  </t>
  </si>
  <si>
    <t>(Attachment 3, lines 251 &amp; 273)</t>
  </si>
  <si>
    <t>(Attachment 3, line 257)</t>
  </si>
  <si>
    <t>=R</t>
  </si>
  <si>
    <t>Development of Base Carrying charge and Summary of Incentive and Non-Incentive Investments</t>
  </si>
  <si>
    <t>(a)</t>
  </si>
  <si>
    <t>(b)</t>
  </si>
  <si>
    <t>(c)</t>
  </si>
  <si>
    <t>Source of Total Column</t>
  </si>
  <si>
    <t>Non-incentive Investments from Attachment 4 (Note N)</t>
  </si>
  <si>
    <t>Incentive Investments from Attachment 4 (Note N)</t>
  </si>
  <si>
    <t>Net Transmission Plant in Service</t>
  </si>
  <si>
    <t>CWIP in Rate Base</t>
  </si>
  <si>
    <t>Unamortized Abandoned Plant</t>
  </si>
  <si>
    <t>Regulatory Assets</t>
  </si>
  <si>
    <t>Return and Taxes</t>
  </si>
  <si>
    <t>(Lines 69 &amp; 71)</t>
  </si>
  <si>
    <t/>
  </si>
  <si>
    <t>Base Carrying Charge (used in Attach 4, Line 65)</t>
  </si>
  <si>
    <t>(Line 100 - Line 101)/ Line 99</t>
  </si>
  <si>
    <t>Page 5 of 5</t>
  </si>
  <si>
    <t xml:space="preserve">                SUPPORTING CALCULATIONS AND NOTES</t>
  </si>
  <si>
    <t>General Note:  References to pages in this formulary rate are indicated as:  (page#, line#, col.#)</t>
  </si>
  <si>
    <t xml:space="preserve">                           References to data from FERC Form 1 are indicated as:   #.y.x  (page, line, column)</t>
  </si>
  <si>
    <t>Note</t>
  </si>
  <si>
    <t>Letter</t>
  </si>
  <si>
    <t>A</t>
  </si>
  <si>
    <t>The balances in Accounts 190, 281, 282 and 283, as adjusted by any amounts in contra accounts identified as regulatory assets or liabilities related</t>
  </si>
  <si>
    <t xml:space="preserve">   to FASB 106 or 109.  The formula uses the stated average of the beginning and end of year balances to prorate ADIT to comply with IRS normalization rules.  Balance of Account 255</t>
  </si>
  <si>
    <t>B</t>
  </si>
  <si>
    <t>Identified in Form 1 as being only transmission related.</t>
  </si>
  <si>
    <t>C</t>
  </si>
  <si>
    <t xml:space="preserve">Cash Working Capital assigned to transmission is one-eighth of O&amp;M allocated to transmission </t>
  </si>
  <si>
    <t xml:space="preserve">  Prepayments are the electric related prepayments booked to Account No. 165 and reported on Pages 110-111 line 57 in the Form 1.</t>
  </si>
  <si>
    <t>D</t>
  </si>
  <si>
    <t>Line 42 removes EPRI Annual Membership Dues listed in Form 1 at 353._.f (enter FN1 line #),  </t>
  </si>
  <si>
    <t>any  EPRI Lobbying expenses included in line 42 of the template and all Regulatory Commission Expenses itemized at 351.h</t>
  </si>
  <si>
    <t>Line 42 removes all advertising  included in Account 930.1, except safety, education or out-reach related advertising</t>
  </si>
  <si>
    <t>Line 42 removes all EEI and EPRI research, development and demonstration expenses and NY Transco will not participate in EEI or EPRI.</t>
  </si>
  <si>
    <t>Line 43 reflects all Regulatory Commission Expenses directly related to transmission service, RTO filings, or transmission siting itemized at 351.h</t>
  </si>
  <si>
    <t xml:space="preserve">Line 38 or Line 41 and thus Line 45 shall include any NYISO charges other than penalties, including but not limited to administrative costs.  </t>
  </si>
  <si>
    <t>E</t>
  </si>
  <si>
    <t>Includes only FICA, unemployment, highway, property, gross receipts, and other assessments charged in the current year.</t>
  </si>
  <si>
    <t xml:space="preserve">  Taxes related to income are excluded.  Gross receipts taxes are not included in transmission revenue requirement in the Rate Formula Template, </t>
  </si>
  <si>
    <t xml:space="preserve">   since they are recovered elsewhere.</t>
  </si>
  <si>
    <t>F</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</si>
  <si>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</si>
  <si>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</si>
  <si>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</si>
  <si>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</si>
  <si>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t>
  </si>
  <si>
    <t xml:space="preserve">  multiplied by (1/1-T) .</t>
  </si>
  <si>
    <t xml:space="preserve">         Inputs Required:</t>
  </si>
  <si>
    <t>FIT =</t>
  </si>
  <si>
    <t>SIT=</t>
  </si>
  <si>
    <t xml:space="preserve">  (State Income Tax Rate or Composite SIT from Attach 3)</t>
  </si>
  <si>
    <t>p =</t>
  </si>
  <si>
    <t xml:space="preserve">  (percent of federal income tax deductible for state purposes)</t>
  </si>
  <si>
    <t>n=</t>
  </si>
  <si>
    <t xml:space="preserve">  (not for profit entity ownership percentage)</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</si>
  <si>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</si>
  <si>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</si>
  <si>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  181/365 and 184/365, respectively, for a non-leap year.</t>
  </si>
  <si>
    <t>G</t>
  </si>
  <si>
    <t>The cost of debt is determined using the internal rate of return methodology shown on Attachment 5 once project financing is obtained.  Prior to obtaining project financing,</t>
  </si>
  <si>
    <t xml:space="preserve">an interest rate of 3.85% from Table 4 of Attachment 5 will be used and will not be trued up.  Attachment 5 contains an estimate of the internal rate of return methodology; the methodology </t>
  </si>
  <si>
    <t>will be applied to actual amounts for use in Appendix A.   </t>
  </si>
  <si>
    <t>After the completion of construction, the  cost of debt will be calculated pursuant to Attachment 3</t>
  </si>
  <si>
    <t>H</t>
  </si>
  <si>
    <t>Removes dollar amount of transmission plant included in the development of OATT ancillary services rates and generation</t>
  </si>
  <si>
    <t xml:space="preserve">  step-up facilities, which are deemed to included in OATT ancillary services.  For these purposes, generation step-up</t>
  </si>
  <si>
    <t xml:space="preserve">  facilities are those facilities at a generator substation on which there is no through-flow when the generator is shut down.</t>
  </si>
  <si>
    <t>I</t>
  </si>
  <si>
    <t>Enter dollar amounts</t>
  </si>
  <si>
    <t>J</t>
  </si>
  <si>
    <t>ROE will be supported in the original filing and no change in ROE may be made absent a filing with FERC under FPA Section 205 or 206.</t>
  </si>
  <si>
    <t xml:space="preserve">The capital structure will be the actual capital structure up to 53% equity.  Lines 93 will be capped at 53%  equity. If the actual equity ratio exceeds 53%, the common stock ratio will be reset to 53% and the debt ratio will be equal to 1 minus sum of the preferred stock ratio and common stock ratio.        </t>
  </si>
  <si>
    <t>K</t>
  </si>
  <si>
    <t xml:space="preserve">Unamortized Abandoned Plant and Amortization of Abandoned Plant will be zero until the Commission accepts or approves recovery of the cost of abandoned plant.  Company must submit a Section 205 filing to recover the cost of abandoned plant.  Any such filing to recover the cost of an abandoned plant item shall be made no later than 180 days after the date that Company formally declares such plant item abandoned.      </t>
  </si>
  <si>
    <t>L</t>
  </si>
  <si>
    <t>Unamortized Regulatory Assets, consisting of all expenses incurred but not included in CWIP prior to the date the rate is charged to customers, is included at line 28</t>
  </si>
  <si>
    <t>Carrying costs equal to the weighted cost of capital on the balance of the regulatory asset will accrue until the rate is charged to customers</t>
  </si>
  <si>
    <t>M</t>
  </si>
  <si>
    <t>Balances exclude Asset Retirement Costs</t>
  </si>
  <si>
    <t>N</t>
  </si>
  <si>
    <t>Non-incentive investments are investments without ROE incentives and incentive investments are investments with ROE incentives</t>
  </si>
  <si>
    <t>O</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</si>
  <si>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t>
  </si>
  <si>
    <t xml:space="preserve">Attachment 1 - Revenue Credit Workpaper* </t>
  </si>
  <si>
    <t>Account 454 - Rent from Electric Property  (300.19.b)</t>
  </si>
  <si>
    <t>Notes 1 &amp; 3</t>
  </si>
  <si>
    <t>Rent from FERC Form No. 1</t>
  </si>
  <si>
    <t>Account 456 (including 456.1) (300.21.b and 300.22.b)</t>
  </si>
  <si>
    <t>Other Electric Revenues (Note 2)</t>
  </si>
  <si>
    <t xml:space="preserve">Professional Services </t>
  </si>
  <si>
    <t>Revenues from Directly Assigned Transmission Facility Charges (Note 2)</t>
  </si>
  <si>
    <t xml:space="preserve">Rent or Attachment Fees associated with Transmission Facilities </t>
  </si>
  <si>
    <t>Total Revenue Credits</t>
  </si>
  <si>
    <t>Note 1</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</si>
  <si>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</si>
  <si>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Note 2</t>
  </si>
  <si>
    <t xml:space="preserve">If the facilities associated with the revenues are not included in the formula, the revenue is shown below, but not included in the total above and explained in the Attachment 3. </t>
  </si>
  <si>
    <t>Note 3</t>
  </si>
  <si>
    <t>All Account 454 and 456 Revenues must be itemized below</t>
  </si>
  <si>
    <t>Line No.</t>
  </si>
  <si>
    <t>Account 456</t>
  </si>
  <si>
    <t>TOTAL</t>
  </si>
  <si>
    <t>NY-ISO</t>
  </si>
  <si>
    <t>Other 1</t>
  </si>
  <si>
    <t>Other 2</t>
  </si>
  <si>
    <t>1a</t>
  </si>
  <si>
    <t>Transmission Service</t>
  </si>
  <si>
    <t>…</t>
  </si>
  <si>
    <t>1x</t>
  </si>
  <si>
    <t>Trans. Fac. Charge</t>
  </si>
  <si>
    <t>Trans Studies</t>
  </si>
  <si>
    <t>Less:</t>
  </si>
  <si>
    <t xml:space="preserve">     Revenue for Demands in Divisor </t>
  </si>
  <si>
    <t>Sub Total Revenue Credit</t>
  </si>
  <si>
    <t>Prior Period Adjustments</t>
  </si>
  <si>
    <t>Account 454</t>
  </si>
  <si>
    <t>9a</t>
  </si>
  <si>
    <t>Joint pole attachments - telephone</t>
  </si>
  <si>
    <t>9b</t>
  </si>
  <si>
    <t>Joint pole attachments - cable</t>
  </si>
  <si>
    <t>9c</t>
  </si>
  <si>
    <t>Underground rentals</t>
  </si>
  <si>
    <t>9d</t>
  </si>
  <si>
    <t>Transmission tower wireless rentals</t>
  </si>
  <si>
    <t>9e</t>
  </si>
  <si>
    <t>Misc non-transmission rentals</t>
  </si>
  <si>
    <t>9f</t>
  </si>
  <si>
    <t>9g</t>
  </si>
  <si>
    <t>9x</t>
  </si>
  <si>
    <t>Attachment 2 - Cost Support</t>
  </si>
  <si>
    <t>Plant in Service Worksheet</t>
  </si>
  <si>
    <t>Calculation of Transmission  Plant In Service</t>
  </si>
  <si>
    <t>Source (Less ARO, see Note M)</t>
  </si>
  <si>
    <t>Year</t>
  </si>
  <si>
    <t>Balance</t>
  </si>
  <si>
    <t>Segment B Additions - RTS</t>
  </si>
  <si>
    <t>Segment B Facilities - Dover PARs</t>
  </si>
  <si>
    <t>TOTS</t>
  </si>
  <si>
    <t>December</t>
  </si>
  <si>
    <t>p206.58.b</t>
  </si>
  <si>
    <t>January</t>
  </si>
  <si>
    <t>company records</t>
  </si>
  <si>
    <t>February</t>
  </si>
  <si>
    <t>March</t>
  </si>
  <si>
    <t>April</t>
  </si>
  <si>
    <t>May</t>
  </si>
  <si>
    <t xml:space="preserve">June </t>
  </si>
  <si>
    <t>July</t>
  </si>
  <si>
    <t>August</t>
  </si>
  <si>
    <t>September</t>
  </si>
  <si>
    <t xml:space="preserve">October </t>
  </si>
  <si>
    <t>November</t>
  </si>
  <si>
    <t>p207.58.g</t>
  </si>
  <si>
    <t>Transmission Plant In Service</t>
  </si>
  <si>
    <t>Calculation of Distribution Plant In Service</t>
  </si>
  <si>
    <t>p206.75.b</t>
  </si>
  <si>
    <t>October</t>
  </si>
  <si>
    <t>p207.75.g</t>
  </si>
  <si>
    <t>Distribution Plant In Service</t>
  </si>
  <si>
    <t>Calculation of Intangible Plant In Service</t>
  </si>
  <si>
    <t>p204.5.b</t>
  </si>
  <si>
    <t>p205.5.g</t>
  </si>
  <si>
    <t>Intangible Plant In Service</t>
  </si>
  <si>
    <t>Calculation of General Plant In Service</t>
  </si>
  <si>
    <t>p206.99.b</t>
  </si>
  <si>
    <t>p207.99.g</t>
  </si>
  <si>
    <t>General Plant In Service</t>
  </si>
  <si>
    <t>Calculation of Production Plant In Service</t>
  </si>
  <si>
    <t>p204.46b</t>
  </si>
  <si>
    <t>p205.46.g</t>
  </si>
  <si>
    <t>Production Plant In Service</t>
  </si>
  <si>
    <t>Total Plant In Service</t>
  </si>
  <si>
    <t>Accumulated Depreciation Worksheet</t>
  </si>
  <si>
    <t>Appendix A Line #s, Descriptions, Notes, Form 1 Page #s and Instructions</t>
  </si>
  <si>
    <t>Calculation of Transmission Accumulated Depreciation</t>
  </si>
  <si>
    <t>Prior year p219.25.b</t>
  </si>
  <si>
    <t>p219.25.b</t>
  </si>
  <si>
    <t>Transmission Accumulated Depreciation</t>
  </si>
  <si>
    <t>Calculation of Distribution Accumulated Depreciation</t>
  </si>
  <si>
    <t>Prior year p219.26.b</t>
  </si>
  <si>
    <t>p219.26.b</t>
  </si>
  <si>
    <t>Distribution Accumulated Depreciation</t>
  </si>
  <si>
    <t>Calculation of Intangible Accumulated Amortization</t>
  </si>
  <si>
    <t>Prior year p200.21.c</t>
  </si>
  <si>
    <t>p200.21.c</t>
  </si>
  <si>
    <t>Accumulated Intangible Amortization</t>
  </si>
  <si>
    <t>Calculation of General Accumulated Depreciation</t>
  </si>
  <si>
    <t>Prior year p219.28.b</t>
  </si>
  <si>
    <t>p219.28.b</t>
  </si>
  <si>
    <t>Accumulated General Depreciation</t>
  </si>
  <si>
    <t>Calculation of Production Accumulated Depreciation</t>
  </si>
  <si>
    <t>p219.20:24.b (prior year)</t>
  </si>
  <si>
    <t>p219.20 thru 219.24.b</t>
  </si>
  <si>
    <t>Production Accumulated Depreciation</t>
  </si>
  <si>
    <t>Total Accumulated Depreciation and Amortization</t>
  </si>
  <si>
    <t>Transmission projects-ave. gross cost</t>
  </si>
  <si>
    <t>Transmission projects-ave. A/D</t>
  </si>
  <si>
    <t>Net transmission projects-ave.</t>
  </si>
  <si>
    <t>Percent  eligible for incentive</t>
  </si>
  <si>
    <t>Eligible for incentive</t>
  </si>
  <si>
    <t>Project costs not subject to incentive</t>
  </si>
  <si>
    <t>General-ave. costs</t>
  </si>
  <si>
    <t>General-ave. A/D</t>
  </si>
  <si>
    <t>Net  general-ave.</t>
  </si>
  <si>
    <t>Total cost ave.</t>
  </si>
  <si>
    <t>Total A/D ave.</t>
  </si>
  <si>
    <t>Net total ave.</t>
  </si>
  <si>
    <t>Incentive allowed</t>
  </si>
  <si>
    <t>Actual eligible project costs</t>
  </si>
  <si>
    <t>Total non incentive net costs</t>
  </si>
  <si>
    <t>Attachment 3 - Cost Support</t>
  </si>
  <si>
    <t>Details</t>
  </si>
  <si>
    <t>Numbering continues from Attachment 2</t>
  </si>
  <si>
    <t>Beginning of Year</t>
  </si>
  <si>
    <t>End of Year</t>
  </si>
  <si>
    <t>Average Balance</t>
  </si>
  <si>
    <t xml:space="preserve">  Account No. 255 (enter negative)  </t>
  </si>
  <si>
    <t>267.8.h</t>
  </si>
  <si>
    <t>Attachment 10, line 2, col. (v)</t>
  </si>
  <si>
    <t xml:space="preserve">  (recovery of abandoned plant requires a FERC order approving the amount and recovery period)</t>
  </si>
  <si>
    <t>Amortization Expense</t>
  </si>
  <si>
    <t>Amortization of Abandoned Plant</t>
  </si>
  <si>
    <t>Attachment 10, line 2, col. (h)</t>
  </si>
  <si>
    <t xml:space="preserve">  Prepayments (Account 165)</t>
  </si>
  <si>
    <t xml:space="preserve">     (Prepayments exclude Prepaid Pension Assets)</t>
  </si>
  <si>
    <t>111.57.d</t>
  </si>
  <si>
    <t>111.57.c</t>
  </si>
  <si>
    <t>Prepayments</t>
  </si>
  <si>
    <t>Reserves</t>
  </si>
  <si>
    <t>170a</t>
  </si>
  <si>
    <t>(d)</t>
  </si>
  <si>
    <t>(e)</t>
  </si>
  <si>
    <t>(f)</t>
  </si>
  <si>
    <t>(g)</t>
  </si>
  <si>
    <t>(h)</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</si>
  <si>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</si>
  <si>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</si>
  <si>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</si>
  <si>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</si>
  <si>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</si>
  <si>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</si>
  <si>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</si>
  <si>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</si>
  <si>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</si>
  <si>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All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</si>
  <si>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EPRI Dues Cost Support</t>
  </si>
  <si>
    <t>EPRI &amp; EEI Costs to be Excluded</t>
  </si>
  <si>
    <t>Allocated General &amp; Common Expenses</t>
  </si>
  <si>
    <t>EPRI Dues</t>
  </si>
  <si>
    <t xml:space="preserve">EPRI and EEI Dues to be excluded from the formula rate </t>
  </si>
  <si>
    <t>p353._.f (enter FN1 line #)</t>
  </si>
  <si>
    <t>Regulatory Expense Related to Transmission Cost Support</t>
  </si>
  <si>
    <t>Form 1 Amount</t>
  </si>
  <si>
    <t>Transmission Related</t>
  </si>
  <si>
    <t>Other</t>
  </si>
  <si>
    <t>Details*</t>
  </si>
  <si>
    <t>Directly Assigned A&amp;G</t>
  </si>
  <si>
    <t>Regulatory Commission Exp Account 928</t>
  </si>
  <si>
    <t>p323.189.b</t>
  </si>
  <si>
    <t>* insert case specific detail and associated assignments here</t>
  </si>
  <si>
    <t>Multi-state Workpaper</t>
  </si>
  <si>
    <t>New York</t>
  </si>
  <si>
    <t>MTA</t>
  </si>
  <si>
    <t>NYC</t>
  </si>
  <si>
    <t>Weighed Average</t>
  </si>
  <si>
    <t>Income Tax Rates</t>
  </si>
  <si>
    <t>Weighting</t>
  </si>
  <si>
    <t>SIT=State Income Tax Rate or Composite</t>
  </si>
  <si>
    <t>Multiple state rates are weighted based on the state apportionment factors on the state income tax returns and the number of days in the year that the rates are effective (see Note F)</t>
  </si>
  <si>
    <t>Safety Related and Education and Out Reach Cost Support</t>
  </si>
  <si>
    <t>Safety Related, Education, Siting &amp; Outreach Related</t>
  </si>
  <si>
    <t>General Advertising Exp Account 930.1</t>
  </si>
  <si>
    <t>Safety advertising consists of any advertising whose primary purpose is to educate the recipient as to what is safe or is not safe.</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</si>
  <si>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</si>
  <si>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</si>
  <si>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</si>
  <si>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</si>
  <si>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Excluded Plant Cost Support</t>
  </si>
  <si>
    <t xml:space="preserve">Transmission plant included in OATT Ancillary Services and not otherwise excluded </t>
  </si>
  <si>
    <t>Description of the Facilities</t>
  </si>
  <si>
    <t>Adjustment to Remove Revenue Requirements Associated with Excluded Transmission Facilities</t>
  </si>
  <si>
    <t>Excluded Transmission Facilities</t>
  </si>
  <si>
    <t>General Description of the Facilities</t>
  </si>
  <si>
    <t>A worksheet will be provided if there are ever any excluded transmission plant or transmission plant in OATT Ancillary Sers.</t>
  </si>
  <si>
    <t>Add more lines if necessary</t>
  </si>
  <si>
    <t>Materials &amp; Supplies</t>
  </si>
  <si>
    <t>Note:  for the projection, the prior year's actual balances will be used</t>
  </si>
  <si>
    <t>Stores Expense Undistributed</t>
  </si>
  <si>
    <t>Transmission Materials &amp; Supplies</t>
  </si>
  <si>
    <t>Construction Materials &amp; Supplies</t>
  </si>
  <si>
    <t xml:space="preserve"> Form No.1 page</t>
  </si>
  <si>
    <t>p227.16</t>
  </si>
  <si>
    <t>p227.8</t>
  </si>
  <si>
    <t>p227.5</t>
  </si>
  <si>
    <t>Column b</t>
  </si>
  <si>
    <t>Company Records</t>
  </si>
  <si>
    <t>Column c</t>
  </si>
  <si>
    <t>Average</t>
  </si>
  <si>
    <t>PBOPs</t>
  </si>
  <si>
    <t>Calculation of PBOP Expenses</t>
  </si>
  <si>
    <t>ConEd</t>
  </si>
  <si>
    <t xml:space="preserve">Total PBOP expenses </t>
  </si>
  <si>
    <t>Labor dollars</t>
  </si>
  <si>
    <t>Cost per labor dollar</t>
  </si>
  <si>
    <t>labor (labor not capitalized) current year</t>
  </si>
  <si>
    <t>PBOP Expense for current year</t>
  </si>
  <si>
    <t>PBOP Expense in Account 926 for current year</t>
  </si>
  <si>
    <t>PBOP Adjustment for Appendix A, Line 44</t>
  </si>
  <si>
    <t>NiMo</t>
  </si>
  <si>
    <t>NYSEG</t>
  </si>
  <si>
    <t>RGE</t>
  </si>
  <si>
    <t>CHG&amp;E</t>
  </si>
  <si>
    <t>COST OF CAPITAL</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</si>
  <si>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</si>
  <si>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</si>
  <si>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</si>
  <si>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</si>
  <si>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</si>
  <si>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</si>
  <si>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</si>
  <si>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</si>
  <si>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</si>
  <si>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</si>
  <si>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</si>
  <si>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</si>
  <si>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</si>
  <si>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</si>
  <si>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</si>
  <si>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</si>
  <si>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</si>
  <si>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</si>
  <si>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</si>
  <si>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</si>
  <si>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</si>
  <si>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</si>
  <si>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</si>
  <si>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</si>
  <si>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</si>
  <si>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</si>
  <si>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</si>
  <si>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 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</si>
  <si>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</si>
  <si>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</si>
  <si>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</si>
  <si>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</si>
  <si>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</si>
  <si>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</si>
  <si>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</si>
  <si>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</si>
  <si>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</si>
  <si>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</si>
  <si>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</si>
  <si>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</si>
  <si>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</si>
  <si>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</si>
  <si>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</si>
  <si>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</si>
  <si>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</si>
  <si>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</si>
  <si>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</si>
  <si>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</si>
  <si>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</si>
  <si>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</si>
  <si>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</si>
  <si>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</si>
  <si>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</si>
  <si>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</si>
  <si>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</si>
  <si>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</si>
  <si>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</si>
  <si>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Incentive ROE and 60/40 Project Worksheet</t>
  </si>
  <si>
    <t xml:space="preserve">     Rate Formula Template</t>
  </si>
  <si>
    <t>For  the 12 months ended 12/31/2021</t>
  </si>
  <si>
    <t xml:space="preserve"> Utilizing Appendix A Data</t>
  </si>
  <si>
    <t xml:space="preserve">The calculations below calculate that additional revenue requirement for 100 basis points of ROE and 1 percent change in the equity component of the capital structure. </t>
  </si>
  <si>
    <t>These amounts are then used to calculate the actual increase in  revenue in the table below (starting on line 66) associated with the actual incentive authorized by the Commission</t>
  </si>
  <si>
    <t xml:space="preserve">The use of the 100 basis point calculations do not presume any particular incentive (i.e., 100 basis points) being granted by the Commission. </t>
  </si>
  <si>
    <t>Base ROE and Income Taxes Carrying Charge</t>
  </si>
  <si>
    <t>Result</t>
  </si>
  <si>
    <t>Rate Base</t>
  </si>
  <si>
    <t>BASE RETURN CALCULATION:</t>
  </si>
  <si>
    <t xml:space="preserve">  Long Term Debt  </t>
  </si>
  <si>
    <t>(Appendix A, Line 91)</t>
  </si>
  <si>
    <t xml:space="preserve">  Preferred Stock </t>
  </si>
  <si>
    <t>(Appendix A, Line 92)</t>
  </si>
  <si>
    <t xml:space="preserve">  Common Stock </t>
  </si>
  <si>
    <t>(Appendix A, Line 93)</t>
  </si>
  <si>
    <t>Total  (sum lines 3-5)</t>
  </si>
  <si>
    <t>Return multiplied by Rate Base (line 1 * line 6)</t>
  </si>
  <si>
    <t xml:space="preserve">     T=1 - {[(1 - SIT) * (1 - FIT)] / (1 - SIT * FIT * p)} =  (Appendix A, line 61)</t>
  </si>
  <si>
    <t>Amortized Investment Tax Credit (266.8f) (enter negative)</t>
  </si>
  <si>
    <t>Base Return and Income Taxes</t>
  </si>
  <si>
    <t>Sum lines 7 and 17</t>
  </si>
  <si>
    <t>Line 1</t>
  </si>
  <si>
    <t>Return and Income Taxes at Base ROE</t>
  </si>
  <si>
    <t>Line 18 / line 19</t>
  </si>
  <si>
    <t>100 Basis Point Incentive ROE and Income Taxes Carrying Charge</t>
  </si>
  <si>
    <t xml:space="preserve">100 Basis Point Incentive Return impact on </t>
  </si>
  <si>
    <t>(line 3)</t>
  </si>
  <si>
    <t>(line 4)</t>
  </si>
  <si>
    <t xml:space="preserve">  Common Stock</t>
  </si>
  <si>
    <t>(line 5 plus 100 basis points)</t>
  </si>
  <si>
    <t>Total  (sum lines 24-26)</t>
  </si>
  <si>
    <t>100 Basis Point Incentive Return multiplied by Rate Base (line 21 * line 26)</t>
  </si>
  <si>
    <t>Amortized Investment Tax Credit (line 14)</t>
  </si>
  <si>
    <t>Return and Income Taxes with 100 basis point increase in ROE</t>
  </si>
  <si>
    <t>Sum lines 27 and 37</t>
  </si>
  <si>
    <t>Line 21</t>
  </si>
  <si>
    <t>Return and Income Taxes with 100 basis point increase in  ROE</t>
  </si>
  <si>
    <t>Line 38 / line 39</t>
  </si>
  <si>
    <t>Difference in Return and Income Taxes between Base ROE and 100 Basis Point Incentive</t>
  </si>
  <si>
    <t>Line 41- Line 20</t>
  </si>
  <si>
    <t>Effect of 1% Increase in the Equity Ratio</t>
  </si>
  <si>
    <t>Results</t>
  </si>
  <si>
    <t>100 Basis Point Incentive Return</t>
  </si>
  <si>
    <t>(line 3 minus 1% in equity ratio)</t>
  </si>
  <si>
    <t xml:space="preserve">  Common Stock  </t>
  </si>
  <si>
    <t>(line 5 plus 1% in equity ratio))</t>
  </si>
  <si>
    <t>Total  (sum lines 44-46)</t>
  </si>
  <si>
    <t>Line 47 x line 42</t>
  </si>
  <si>
    <t>57a</t>
  </si>
  <si>
    <t>(Attachment 11, line 11)</t>
  </si>
  <si>
    <t>Return and Income Taxes with 1% Increase in the Equity Ratio</t>
  </si>
  <si>
    <t>Sum lines 48 and 58</t>
  </si>
  <si>
    <t>Line 42</t>
  </si>
  <si>
    <t>Line 59 / line 60</t>
  </si>
  <si>
    <t>Difference between Base ROE and 1% Increase in the Equity Ratio</t>
  </si>
  <si>
    <t>Line 61 - Line 20</t>
  </si>
  <si>
    <t>Revenue Requirement per project including incentives</t>
  </si>
  <si>
    <t>Expense Allocator</t>
  </si>
  <si>
    <t>[Appendix A, lines 45 and 59, less Appendix A, line 44b / Gross Transmission Plant In Service Column (l)] (Note B)</t>
  </si>
  <si>
    <t>Line 102 Appendix A</t>
  </si>
  <si>
    <t>The table below  breaks out the total revenue requirement on Appendix A separately  for each investment.  The total of Column (p) must equal the amount shown on Appendix A, Line 3.</t>
  </si>
  <si>
    <t>(i)</t>
  </si>
  <si>
    <t>(j)</t>
  </si>
  <si>
    <t>(k)</t>
  </si>
  <si>
    <t>(l)</t>
  </si>
  <si>
    <t>(m)</t>
  </si>
  <si>
    <t>(n)</t>
  </si>
  <si>
    <t>(o)</t>
  </si>
  <si>
    <t>(p)</t>
  </si>
  <si>
    <t>(q)</t>
  </si>
  <si>
    <t>(r )</t>
  </si>
  <si>
    <t>Description Note E)</t>
  </si>
  <si>
    <t>Net Investment                                                                      (Note A)</t>
  </si>
  <si>
    <t>ROE Authorized by FERC (Note C)</t>
  </si>
  <si>
    <t>ROE Base (From Appendix A, line 93)</t>
  </si>
  <si>
    <t>Incentive % Authorized by FERC (Notes D and F)</t>
  </si>
  <si>
    <t>Line 41</t>
  </si>
  <si>
    <t>Col (e) / .01 x Col (f)</t>
  </si>
  <si>
    <t>Incentive $ (Col (b) x Col (g)</t>
  </si>
  <si>
    <t>Equity % in Capital Structure (% above base %, -% below base %)(1 equals 1%)</t>
  </si>
  <si>
    <t>Impact of Equity Component of Capital Structure(Col (b) x (i) x Line 62</t>
  </si>
  <si>
    <t>Base Return and Tax (Line 65 x Col (b)</t>
  </si>
  <si>
    <t>Gross Plant In Service (Note B)</t>
  </si>
  <si>
    <t>Expense Allocator    (line 64)</t>
  </si>
  <si>
    <t>O&amp;M, Taxes Other than Income                  (Col. (l) x Col. (n)</t>
  </si>
  <si>
    <t>Depreciation/Amortization Expense</t>
  </si>
  <si>
    <t>Total Revenues (Col. (h) + (j) + (k) +(n) +(o))</t>
  </si>
  <si>
    <t>Net Adjusted Revenue Requirement (Col. (p) - (q))</t>
  </si>
  <si>
    <t>Up to 228 million (TOTS)</t>
  </si>
  <si>
    <t>66a</t>
  </si>
  <si>
    <t>Segment B Facilities CWIP</t>
  </si>
  <si>
    <t>66b</t>
  </si>
  <si>
    <t>66c</t>
  </si>
  <si>
    <t>66d</t>
  </si>
  <si>
    <t>66e</t>
  </si>
  <si>
    <t>66f</t>
  </si>
  <si>
    <t>66g</t>
  </si>
  <si>
    <t>Check Sum Appendix A Line 3</t>
  </si>
  <si>
    <t>Difference (must be zero)</t>
  </si>
  <si>
    <t>Note:</t>
  </si>
  <si>
    <t>Column (b), Net Investment includes the Net Plant In Service, unamortized regulatory assets, unamortized abandoned plant and CWIP</t>
  </si>
  <si>
    <t>Column (l), Gross Plant in Service excludes Regulatory Assets, CWIP, and Abandoned Plant.</t>
  </si>
  <si>
    <t>Column (e), for each project with an incentive in column (e), note the docket No. in which FERC granted the incentive&gt;</t>
  </si>
  <si>
    <t>No incentive or change in equity percentage in Columns (e) and (i) can be made absent Commission authorization</t>
  </si>
  <si>
    <t>Column (a), The Segment B Facilities and any applicable Segment B Addition are subject to certain cost recovery allowances as specified in the settlement approved by the Commission by Letter Order dated November 16, 2017 in Docket No. ER15-572. If implicated, those cost allowance provisions will be reflected independently in column (a) and corresponding columns.</t>
  </si>
  <si>
    <t>Column (e), Incentive % Authorized by FERC represents the difference between the Base ROE level reflected in column (d) and the combination of any project specific base ROE approved by FERC and ROE incentives approved by FERC (such combination is reflected in column (c), which value may be positive or negative.</t>
  </si>
  <si>
    <t>Project</t>
  </si>
  <si>
    <t>Docket No.</t>
  </si>
  <si>
    <t>TOTs 1 - Ramapo to Rock Tavern</t>
  </si>
  <si>
    <t>ER15-572</t>
  </si>
  <si>
    <t>Up to $228 million for the 3 TOTS projects in aggregate</t>
  </si>
  <si>
    <t>TOTs 2 - Staten Island Unbottling Feeder Split</t>
  </si>
  <si>
    <t>TOTs 3 -  NYSEG's Marcy South Series Comp Fraser to Coopers Corner</t>
  </si>
  <si>
    <t>Segment B Facilities – Knickerbocker to Pleasant Valley</t>
  </si>
  <si>
    <t>Segment B Additions</t>
  </si>
  <si>
    <t>Attachment 5 - Financing Costs  for Long Term Debt using the Internal Rate of Return Methodology (Note 13)</t>
  </si>
  <si>
    <t>HYPOTHETICAL EXAMPLE</t>
  </si>
  <si>
    <t>Assumes financing will be a 5 year loan with Origination Fees of $2.1 million and a Commitments Fee of 0.3% on the undrawn principal.</t>
  </si>
  <si>
    <t>Consistent with GAAP, the Origination Fees and Commitments Fees will be amortized using the standard Internal Rate of Return formula below.</t>
  </si>
  <si>
    <t>Each year, the amounts withdrawn, the interest paid in the year, Origination Fees, Commitments Fees, and total loan amount will be updated on this attachment.</t>
  </si>
  <si>
    <t>Table 1</t>
  </si>
  <si>
    <t xml:space="preserve">Total Loan Amount </t>
  </si>
  <si>
    <t>Table 2</t>
  </si>
  <si>
    <r>
      <t>Internal Rate of Return</t>
    </r>
    <r>
      <rPr>
        <b/>
        <vertAlign val="superscript"/>
        <sz val="11"/>
        <rFont val="Arial"/>
        <family val="2"/>
      </rPr>
      <t>1</t>
    </r>
  </si>
  <si>
    <r>
      <t>Based on following Financial Formula</t>
    </r>
    <r>
      <rPr>
        <b/>
        <vertAlign val="superscript"/>
        <sz val="11"/>
        <rFont val="Arial"/>
        <family val="2"/>
      </rPr>
      <t>2</t>
    </r>
    <r>
      <rPr>
        <b/>
        <sz val="11"/>
        <rFont val="Arial"/>
        <family val="2"/>
      </rPr>
      <t>:</t>
    </r>
  </si>
  <si>
    <t xml:space="preserve">NPV = 0 = </t>
  </si>
  <si>
    <t>Table 3</t>
  </si>
  <si>
    <t>Origination Fees</t>
  </si>
  <si>
    <t>Underwriting Discount</t>
  </si>
  <si>
    <t>Arrangement Fee</t>
  </si>
  <si>
    <t>Upfront Fee</t>
  </si>
  <si>
    <t>Rating Agency Fee</t>
  </si>
  <si>
    <t>Legal Fees</t>
  </si>
  <si>
    <t xml:space="preserve">   Total Issuance Expense</t>
  </si>
  <si>
    <t>Annual Rating Agency Fee</t>
  </si>
  <si>
    <t>Annual Bank Agency Fee</t>
  </si>
  <si>
    <t>Revolving Credit Commitment Fee</t>
  </si>
  <si>
    <t>Table 4</t>
  </si>
  <si>
    <t>LIBOR Rate</t>
  </si>
  <si>
    <t>Spread</t>
  </si>
  <si>
    <t>Interest Rate</t>
  </si>
  <si>
    <t>Table 5</t>
  </si>
  <si>
    <t>(A)</t>
  </si>
  <si>
    <t>(B)</t>
  </si>
  <si>
    <t>( C)</t>
  </si>
  <si>
    <t>(D)</t>
  </si>
  <si>
    <t>(E)</t>
  </si>
  <si>
    <t>(F)</t>
  </si>
  <si>
    <t>(G)</t>
  </si>
  <si>
    <t>(H)</t>
  </si>
  <si>
    <t>(I)</t>
  </si>
  <si>
    <t>Capital Expenditures  ($000's)</t>
  </si>
  <si>
    <t>Principal Drawn In Quarter ($000's)</t>
  </si>
  <si>
    <t>Principal Drawn To Date ($000's)</t>
  </si>
  <si>
    <t>Interest &amp; Principal ($000's)</t>
  </si>
  <si>
    <t>Origination Fees ($000's)</t>
  </si>
  <si>
    <t>Commitment &amp; Utilization Fee ($000's)</t>
  </si>
  <si>
    <t>Net Cash Flows ($000's)</t>
  </si>
  <si>
    <t>Cumulative Col. D</t>
  </si>
  <si>
    <t>1/4 * Interest Rate from Line 16 x Col. E prior quarter and Principal repayment</t>
  </si>
  <si>
    <t>Input in first Qtr of Loan</t>
  </si>
  <si>
    <t xml:space="preserve">(line 1/1000 less Col. E prior quarter)*line 13/4 +line 12/4000+line 11/4000 </t>
  </si>
  <si>
    <t>(D-F-G-H)</t>
  </si>
  <si>
    <t>Q3</t>
  </si>
  <si>
    <t>Q4</t>
  </si>
  <si>
    <t>Q1</t>
  </si>
  <si>
    <t>Q2</t>
  </si>
  <si>
    <t>Notes</t>
  </si>
  <si>
    <t>2.  The IRR is a discount rate that makes the net present value of a series of cash flows equal to zero.  The IRR equation is shown on line 4.</t>
  </si>
  <si>
    <t xml:space="preserve">   N is the last quarter the loan would be outstanding</t>
  </si>
  <si>
    <t xml:space="preserve">   t is each quarter</t>
  </si>
  <si>
    <t xml:space="preserve">   Ct is the cash flow (Table 5, Col. I in each quarter)</t>
  </si>
  <si>
    <t xml:space="preserve">   Alternatively the equation can be written as 0 = C0 + C1/(1+IRR) + C2/(1+IRR)2 + C3/(1+IRR)3 + . . . +Cn/(1+IRR)n and solved for IRR</t>
  </si>
  <si>
    <t xml:space="preserve">   The Excel ™ formula on line 2 is :  (round(XIRR(first quarter of loan Col A of Table 5:last quarter of loan Col A of Table 5, first quarter of loan Col I of Table 5: last quarter of loan Col I of Table 5, 8%),4))</t>
  </si>
  <si>
    <t xml:space="preserve">   The 8% in the above formula is a seed number to ensure the formula produces a positive number.</t>
  </si>
  <si>
    <t>3.  Line 1 reflects the loan amount, the maximum amount that can be drawn on</t>
  </si>
  <si>
    <t xml:space="preserve">4.  Lines 5 through 13 include the fees associated with the loan.  They are estimated based on current bank condition and are updated with the actual fees </t>
  </si>
  <si>
    <t xml:space="preserve">   once the actual fees are known.</t>
  </si>
  <si>
    <t xml:space="preserve">5.  The estimate of the average 3 month Libor forward rate for the year on line 14 is that published by Bloomberg Finance L.P. during August of the prior year and is trued-up to actual </t>
  </si>
  <si>
    <t xml:space="preserve">     average 3 month Libor rate for the year under the loan.  </t>
  </si>
  <si>
    <t xml:space="preserve">6.  Table 5, Col. C reflect the capital expenditures in each quarter </t>
  </si>
  <si>
    <t xml:space="preserve">7.  Table 5, Col. D reflect the amount of the loan that is drawn down in the quarter </t>
  </si>
  <si>
    <t>8.  Table 5, Col. E is the amount of principle drawn down</t>
  </si>
  <si>
    <t>9. Table 5, Col F calculates the interest on the principle drawn down to date based on the applicable interest on line 16</t>
  </si>
  <si>
    <t xml:space="preserve">10.  Table 5, Col. G is the total origination fees in line 10 and is input in the first quarter that a portion of the loan in drawn </t>
  </si>
  <si>
    <t>11.  Table 5, Col. H is calculated as follows:</t>
  </si>
  <si>
    <t>Where A =</t>
  </si>
  <si>
    <t>Loan amount in line 1 less the amount drawn down (Table 5, Col. (E)) in the prior quarter</t>
  </si>
  <si>
    <t xml:space="preserve">12.  The inputs shall be estimated based on the current market conditions and is subject to true up for all inputs , e.g., fees, interest rates, spread, and Table 3 once the </t>
  </si>
  <si>
    <t xml:space="preserve">  amounts are known</t>
  </si>
  <si>
    <t>13.  Prior to obtaining long term debt, the cost of debt, will be 3.28%.  If NY Transco obtains project financing, the long term debt rate will be determined using the methodology in Attachment 5 and Attachment 5 contains a hypothetical example of the internal rate of return methodology; the methodology will be applied to actual amounts for use in Attachment A.  After the first project is placed into service, NY Transco will use the its actual cost of long term debt determined in Attachment 3.    The capital structure will be the actual capital structure up to 53% equity.</t>
  </si>
  <si>
    <t>Attachment 6a - Accumulated Deferred Income Taxes (ADIT) Worksheet (Beginning of Year)</t>
  </si>
  <si>
    <t xml:space="preserve">Plant </t>
  </si>
  <si>
    <t>Labor</t>
  </si>
  <si>
    <t>Item</t>
  </si>
  <si>
    <t>Related</t>
  </si>
  <si>
    <t>ADIT-282</t>
  </si>
  <si>
    <t>From Acct. 282 total, below</t>
  </si>
  <si>
    <t>ADIT-283</t>
  </si>
  <si>
    <t>From Acct. 283 total, below</t>
  </si>
  <si>
    <t>ADIT-190</t>
  </si>
  <si>
    <t>From Acct. 190 total, below</t>
  </si>
  <si>
    <t>Subtotal</t>
  </si>
  <si>
    <t>Wages &amp; Salary Allocator</t>
  </si>
  <si>
    <t>Average of Beginning of Year and End of Year ((7 +8)/2)</t>
  </si>
  <si>
    <t>In filling out this attachment, a full and complete description of each item and justification for the allocation to Columns B-F and each separate ADIT item will be listed,</t>
  </si>
  <si>
    <t>dissimilar items with amounts exceeding $100,000 will be listed separately.  For ADIT directly related to project depreciation or CWIP, the balance must shown in a separate row for each project.</t>
  </si>
  <si>
    <t>Gas, Prod</t>
  </si>
  <si>
    <t>10</t>
  </si>
  <si>
    <t>Or Other</t>
  </si>
  <si>
    <t>Justification</t>
  </si>
  <si>
    <t>11a</t>
  </si>
  <si>
    <t>11b</t>
  </si>
  <si>
    <t>11c</t>
  </si>
  <si>
    <t>Unearned TCC revenue</t>
  </si>
  <si>
    <t>Timing difference related to collection of TOTS revenues</t>
  </si>
  <si>
    <t>11d</t>
  </si>
  <si>
    <t>Preformation costs</t>
  </si>
  <si>
    <t>Timing difference related to tax treatment of Reg. Asset for preformation costs included in rate base</t>
  </si>
  <si>
    <t>11e</t>
  </si>
  <si>
    <t>11f</t>
  </si>
  <si>
    <t>Change in Federal income tax rate</t>
  </si>
  <si>
    <t>Impact from regulatory liability due to change in Federal income tax rate</t>
  </si>
  <si>
    <t>12</t>
  </si>
  <si>
    <t>Subtotal - p234</t>
  </si>
  <si>
    <t>13</t>
  </si>
  <si>
    <t>Less FASB 109 Above if not separately removed</t>
  </si>
  <si>
    <t>14</t>
  </si>
  <si>
    <t>Less FASB 106 Above if not separately removed</t>
  </si>
  <si>
    <t>15</t>
  </si>
  <si>
    <t>Instructions for Account 190:</t>
  </si>
  <si>
    <t>16</t>
  </si>
  <si>
    <t>1.  ADIT items related only to Non-Electric Operations (e.g., Gas, Water, Sewer) or Production are directly assigned to Column C</t>
  </si>
  <si>
    <t>17</t>
  </si>
  <si>
    <t>2.  ADIT items related only to Transmission are directly assigned to Column D</t>
  </si>
  <si>
    <t>18</t>
  </si>
  <si>
    <t>3.  ADIT items related to Plant and not in Columns C &amp; D are included in Column E</t>
  </si>
  <si>
    <t>19</t>
  </si>
  <si>
    <t>4.  ADIT items related to labor and not in Columns C &amp; D are included in Column F</t>
  </si>
  <si>
    <t>20</t>
  </si>
  <si>
    <t>5. If the item giving rise to the ADIT is not included in the formula, the associated ADIT amount shall be excluded</t>
  </si>
  <si>
    <t>21</t>
  </si>
  <si>
    <t>ADIT- 282</t>
  </si>
  <si>
    <t>22a</t>
  </si>
  <si>
    <t>MACRS and bonus depreciation for plant additions</t>
  </si>
  <si>
    <t>Timing difference related to depreciation for TOTS Projects placed in service</t>
  </si>
  <si>
    <t>22b</t>
  </si>
  <si>
    <t>22c</t>
  </si>
  <si>
    <t>23</t>
  </si>
  <si>
    <t xml:space="preserve">Subtotal - p275  </t>
  </si>
  <si>
    <t>24</t>
  </si>
  <si>
    <t>25</t>
  </si>
  <si>
    <t>26</t>
  </si>
  <si>
    <t>Instructions for Account 282:</t>
  </si>
  <si>
    <t>27</t>
  </si>
  <si>
    <t>28</t>
  </si>
  <si>
    <t>29</t>
  </si>
  <si>
    <t>30</t>
  </si>
  <si>
    <t>31</t>
  </si>
  <si>
    <t>32</t>
  </si>
  <si>
    <t>ADIT- 283</t>
  </si>
  <si>
    <t>33a</t>
  </si>
  <si>
    <t>33b</t>
  </si>
  <si>
    <t>FAS 109 on AFUDC equity</t>
  </si>
  <si>
    <t>FASB 109 note removed on line 35 below</t>
  </si>
  <si>
    <t>33c</t>
  </si>
  <si>
    <t>Prepaid insurance</t>
  </si>
  <si>
    <t>Timing difference related to prepaid insurance included in rate base</t>
  </si>
  <si>
    <t>33d</t>
  </si>
  <si>
    <t>Prepaid other</t>
  </si>
  <si>
    <t>Timing difference related to other prepaid expenses included in rate base</t>
  </si>
  <si>
    <t>33e</t>
  </si>
  <si>
    <t>34</t>
  </si>
  <si>
    <t xml:space="preserve">Subtotal - p277  </t>
  </si>
  <si>
    <t>35</t>
  </si>
  <si>
    <t>36</t>
  </si>
  <si>
    <t>37</t>
  </si>
  <si>
    <t>Instructions for Account 283:</t>
  </si>
  <si>
    <t>38</t>
  </si>
  <si>
    <t>39</t>
  </si>
  <si>
    <t>40</t>
  </si>
  <si>
    <t>41</t>
  </si>
  <si>
    <t>42</t>
  </si>
  <si>
    <t>Attachment 6b - Accumulated Deferred Income Taxes (ADIT) Worksheet (End of Year)</t>
  </si>
  <si>
    <t>End of  Year ADIT</t>
  </si>
  <si>
    <t>dissimilar items with amounts exceeding $100,000 will be listed separately.  For ADIT directly related to project depreciation or CWIP, the balance must be shown in a separate row for each project.</t>
  </si>
  <si>
    <t>8</t>
  </si>
  <si>
    <t>11</t>
  </si>
  <si>
    <t>20a</t>
  </si>
  <si>
    <t>Timing difference related to depreciation for projects placed in service</t>
  </si>
  <si>
    <t>20b</t>
  </si>
  <si>
    <t>20c</t>
  </si>
  <si>
    <t>22</t>
  </si>
  <si>
    <t>31a</t>
  </si>
  <si>
    <t>PS&amp;I</t>
  </si>
  <si>
    <t>Deferred tax on timing difference for preliminary survey and investigation costs</t>
  </si>
  <si>
    <t>31b</t>
  </si>
  <si>
    <t>FASB 109, note removed on line 33 below</t>
  </si>
  <si>
    <t>31c</t>
  </si>
  <si>
    <t>31d</t>
  </si>
  <si>
    <t>31e</t>
  </si>
  <si>
    <t>33</t>
  </si>
  <si>
    <t>Attachment 7 - Example of True-Up Calculation  (Note 3)</t>
  </si>
  <si>
    <t>Project Description</t>
  </si>
  <si>
    <t>Revenue Requirement Billed (Note 1)</t>
  </si>
  <si>
    <t>Actual Revenue Requirement (Note 2)</t>
  </si>
  <si>
    <t>Over (Under) Recovery</t>
  </si>
  <si>
    <t>- Up to 228 million</t>
  </si>
  <si>
    <t>Less</t>
  </si>
  <si>
    <t>Equals</t>
  </si>
  <si>
    <t>- Over 228 million</t>
  </si>
  <si>
    <t>- Regulatory Asset</t>
  </si>
  <si>
    <t>- Segment B Facilities CWIP</t>
  </si>
  <si>
    <t>- Segment B Additions CWIP</t>
  </si>
  <si>
    <t>- Segment B Facilities</t>
  </si>
  <si>
    <t>Interest Rate on Amount of Refunds or Surcharges</t>
  </si>
  <si>
    <t>Over (Under) Recovery Plus Interest</t>
  </si>
  <si>
    <t>Monthly Interest Rate on Attachment 7a</t>
  </si>
  <si>
    <t>Months</t>
  </si>
  <si>
    <t>Calculated Interest</t>
  </si>
  <si>
    <t>Amortization</t>
  </si>
  <si>
    <t>Surcharge (Refund) Owed</t>
  </si>
  <si>
    <t xml:space="preserve">An over or under collection will be recovered prorata over year collected, held for one year and returned prorata over next year. </t>
  </si>
  <si>
    <t xml:space="preserve">If the first year is a partial year, the true-up (over or under recovery per month and interest calculation) will reflect only the </t>
  </si>
  <si>
    <t>number of months for which the rate was charged.</t>
  </si>
  <si>
    <t>Calculation of Interest</t>
  </si>
  <si>
    <t>Monthly</t>
  </si>
  <si>
    <t>Year 2021</t>
  </si>
  <si>
    <t>Annual</t>
  </si>
  <si>
    <t>January  through December</t>
  </si>
  <si>
    <t>Year 2022</t>
  </si>
  <si>
    <t>Over (Under) Recovery Plus Interest Amortized and Recovered Over 12 Months</t>
  </si>
  <si>
    <t>Year 2023</t>
  </si>
  <si>
    <t>Total Amount of True-Up Adjustment</t>
  </si>
  <si>
    <t>Less Over (Under) Recovery</t>
  </si>
  <si>
    <t>Total Interest</t>
  </si>
  <si>
    <t>Note 1: Revenue requirements billed is input, source data are the invoices from NYISO.  The amounts exclude any true ups or prior period adjustments.  Values will be determined for each project set included in the Table in Attachment 4.</t>
  </si>
  <si>
    <t>Note 2: The actual revenue requirement is input from Attachment 4, line 66, column p, which is determined for each project set developed by the Company.  The amounts exclude any true-ups or prior period adjustments.</t>
  </si>
  <si>
    <t>Note 3:  This "Example" sheet will be populated with actuals and used in each year's annual true-up calculation.</t>
  </si>
  <si>
    <t>Attachment 7a</t>
  </si>
  <si>
    <t>True-Up Interest Calculation</t>
  </si>
  <si>
    <t>Page 2</t>
  </si>
  <si>
    <t>Pursuant to</t>
  </si>
  <si>
    <t>18 C.F.R. Section</t>
  </si>
  <si>
    <t xml:space="preserve">FERC Quarterly Interest Rate </t>
  </si>
  <si>
    <t xml:space="preserve"> 18 35.19 (a)</t>
  </si>
  <si>
    <t>Qtr 3 (Previous Year)</t>
  </si>
  <si>
    <t>Qtr 4 (Previous Year)</t>
  </si>
  <si>
    <t>Qtr 1 (Current Year)</t>
  </si>
  <si>
    <t>Qtr 2 (Current Year)</t>
  </si>
  <si>
    <t xml:space="preserve">Average of the last 4 quarters </t>
  </si>
  <si>
    <t>(Lines 1-4 / 4)</t>
  </si>
  <si>
    <t>Interest Rate Used for True-up adjustment (Note B)</t>
  </si>
  <si>
    <t>Monthly Interest Rate for Attachment 7</t>
  </si>
  <si>
    <t>(Line 6 / 12)</t>
  </si>
  <si>
    <t>Attachment 8 - Hypothetical Example of Final True-Up of Interest Rates and Interest Calculations for the Construction Loan (Note 1)</t>
  </si>
  <si>
    <t>SUMMARY</t>
  </si>
  <si>
    <t>Revenue Requirement</t>
  </si>
  <si>
    <t>YEAR</t>
  </si>
  <si>
    <t>Estimated Effective cost of debt used in true up</t>
  </si>
  <si>
    <t>Final Effective cost of debt for the construction loan:</t>
  </si>
  <si>
    <t>Based on cost of debt used in prior year true-ups (Note 2)</t>
  </si>
  <si>
    <t>Based on Actual Final Cost of Debt (Note 3)</t>
  </si>
  <si>
    <t>Monthly FERC Refund Interest Rate applicable over the ATRR period</t>
  </si>
  <si>
    <t>Total Amount of Construction Loan Related True-Up to be included in rates (Refund)/Owed</t>
  </si>
  <si>
    <t>*</t>
  </si>
  <si>
    <t>**</t>
  </si>
  <si>
    <t>The Hypothetical Example:</t>
  </si>
  <si>
    <t>*  Assumes that the construction loan is retired on December 31, 2018</t>
  </si>
  <si>
    <t>**  Assumes that the construction loan IRR on Attachment 5 has an effective rate of 6.5%</t>
  </si>
  <si>
    <t>Calculation of Applicable Interest Expense for each ATRR period</t>
  </si>
  <si>
    <t>Interest Rate on Amount of Refunds or Surcharges from 35.19a</t>
  </si>
  <si>
    <t>Hypothetical Monthly Interest Rate</t>
  </si>
  <si>
    <t>Calculation of Interest for 2014 True-Up Period</t>
  </si>
  <si>
    <t>An over or under collection will be recovered prorata over 2014, held for 2015, 2016, 2017, 2018, and 2019 and returned prorate over 2020</t>
  </si>
  <si>
    <t>Year 2014</t>
  </si>
  <si>
    <t>Year 2015</t>
  </si>
  <si>
    <t>Year 2016</t>
  </si>
  <si>
    <t>Year 2017</t>
  </si>
  <si>
    <t>Year 2018</t>
  </si>
  <si>
    <t>Year 2019</t>
  </si>
  <si>
    <t>Year 2020</t>
  </si>
  <si>
    <t>Total Amount of True-Up Adjustment for 2014 ATRR</t>
  </si>
  <si>
    <t>Attachment 8 - Hypothetical Example of Final True-Up of Interest Rates and Interest Calculations for the Construction Loan</t>
  </si>
  <si>
    <t>Calculation of Interest for 2015 True-Up Period</t>
  </si>
  <si>
    <t>An over or under collection will be recovered prorata over 2015, held for 2016, 2017, 2018, and 2019 and returned prorate over 2020</t>
  </si>
  <si>
    <t>Total Amount of True-Up Adjustment for 2015 ATRR</t>
  </si>
  <si>
    <t>Calculation of Interest for 2016 True-Up Period</t>
  </si>
  <si>
    <t>An over or under collection will be recovered prorata over 2016, held for 2017, 2018 and 2019 and returned prorate over 2020</t>
  </si>
  <si>
    <t>Total Amount of True-Up Adjustment for 2016 ATRR</t>
  </si>
  <si>
    <t>Calculation of Interest for 2017 True-Up Period</t>
  </si>
  <si>
    <t>An over or under collection will be recovered prorata over 2017, held for 2018 and 2019, and returned prorate over 2020</t>
  </si>
  <si>
    <t>Total Amount of True-Up Adjustment for 2017 ATRR</t>
  </si>
  <si>
    <t>Calculation of Interest for 2018 True-Up Period</t>
  </si>
  <si>
    <t>An over or under collection will be recovered prorata over 2018, held for 2019 and returned prorate over 2020</t>
  </si>
  <si>
    <t>Total Amount of True-Up Adjustment for 2018 ATRR</t>
  </si>
  <si>
    <t>Note 1:  This 'Hypothetical Example' sheet will be populated with actuals and used in each year's annual true-up calculation.</t>
  </si>
  <si>
    <t>Note 2:  Enter the revenue requirement from the true-up for that year (Note 2)</t>
  </si>
  <si>
    <t>Note 3:  Enter the revenue requirement from re-running the prior year true-ups with the final cost of debt once all inputs to Attachment 5 are based on actual data.</t>
  </si>
  <si>
    <t>Attachment 9 - Depreciation and Amortization Rates</t>
  </si>
  <si>
    <t>Account Number</t>
  </si>
  <si>
    <t>FERC Account</t>
  </si>
  <si>
    <t>Rate (Annual)                      Percent</t>
  </si>
  <si>
    <t>TRANSMISSION PLANT</t>
  </si>
  <si>
    <t>Land Rights</t>
  </si>
  <si>
    <t>Structures and Improvements</t>
  </si>
  <si>
    <t>Station Equipment</t>
  </si>
  <si>
    <t>Towers and Fixtures</t>
  </si>
  <si>
    <t>Poles and Fixtures</t>
  </si>
  <si>
    <t>Overhead Conductor and Devices</t>
  </si>
  <si>
    <t>Underground Conduit</t>
  </si>
  <si>
    <t>Underground Conductor and Devices</t>
  </si>
  <si>
    <t>Roads &amp; Trails</t>
  </si>
  <si>
    <t>PRODUCTION PLANT</t>
  </si>
  <si>
    <t>All Accounts</t>
  </si>
  <si>
    <t>DISTRIBUTION PLANT</t>
  </si>
  <si>
    <t>GENERAL PLANT</t>
  </si>
  <si>
    <t>Structures &amp; Improvements</t>
  </si>
  <si>
    <t>Office Furniture &amp; Equipment</t>
  </si>
  <si>
    <t>Transportation Equipment</t>
  </si>
  <si>
    <t>Stores Equipment</t>
  </si>
  <si>
    <t>Tools, Shop &amp; Garage Equipment</t>
  </si>
  <si>
    <t>Laboratory Equipment</t>
  </si>
  <si>
    <t>Power Operated Equipment</t>
  </si>
  <si>
    <t>Communication Equipment</t>
  </si>
  <si>
    <t>Miscellaneous Equipment</t>
  </si>
  <si>
    <t>INTANGIBLE PLANT</t>
  </si>
  <si>
    <t>Miscellaneous Intangible Plant</t>
  </si>
  <si>
    <t xml:space="preserve">5 Yr </t>
  </si>
  <si>
    <t xml:space="preserve">7 Yr </t>
  </si>
  <si>
    <t xml:space="preserve">10 Year </t>
  </si>
  <si>
    <t xml:space="preserve">15 year </t>
  </si>
  <si>
    <t>Transmission facility Contributions in Aid of Construction</t>
  </si>
  <si>
    <t>These depreciation and amortization rates will not change absent the appropriate filing at FERC.</t>
  </si>
  <si>
    <t xml:space="preserve">Note 1:  In the event a Contribution in Aid of Construction (CIAC) is made for a transmission facility, the transmission </t>
  </si>
  <si>
    <t>depreciation rates above will be weighted based on the relative amount of underlying plant booked to the accounts</t>
  </si>
  <si>
    <t>shown in lines 1-7 above and the weighted average depreciation rate will be used to amortize the CIAC.</t>
  </si>
  <si>
    <t>Once determined for a particular CIAC, the rate will not change for that CIAC absent Commission approval.</t>
  </si>
  <si>
    <t>Attachment 10 - Workpapers</t>
  </si>
  <si>
    <t xml:space="preserve">Regulatory Assets </t>
  </si>
  <si>
    <t>(r)</t>
  </si>
  <si>
    <t>(s)</t>
  </si>
  <si>
    <t>(t)</t>
  </si>
  <si>
    <t>(u)</t>
  </si>
  <si>
    <t>(v)</t>
  </si>
  <si>
    <t>(w)</t>
  </si>
  <si>
    <t>(x)</t>
  </si>
  <si>
    <t>(y)</t>
  </si>
  <si>
    <t>(z)</t>
  </si>
  <si>
    <t>(aa)</t>
  </si>
  <si>
    <t>Dec. 31</t>
  </si>
  <si>
    <t>Jan. 31</t>
  </si>
  <si>
    <t>Feb. 28/29</t>
  </si>
  <si>
    <t>Mar. 31</t>
  </si>
  <si>
    <t>Apr. 30</t>
  </si>
  <si>
    <t>May 31</t>
  </si>
  <si>
    <t>Jun. 30</t>
  </si>
  <si>
    <t>Jul. 31</t>
  </si>
  <si>
    <t>Aug. 31</t>
  </si>
  <si>
    <t>Sept. 30</t>
  </si>
  <si>
    <t>Oct. 31</t>
  </si>
  <si>
    <t>Nov. 30</t>
  </si>
  <si>
    <t>Project Name</t>
  </si>
  <si>
    <t>Recovery Amnt Approved *</t>
  </si>
  <si>
    <t>Recovery Period Months *</t>
  </si>
  <si>
    <t>Monthly Amort Exp (b) / (c)</t>
  </si>
  <si>
    <t>Amort Periods this year</t>
  </si>
  <si>
    <t>Current Amort Expense     (d) x (e)</t>
  </si>
  <si>
    <t>% Allocated to Formula Rate *</t>
  </si>
  <si>
    <t>Amort Exp in Formula Rate**            (f) x (g)</t>
  </si>
  <si>
    <t>2022</t>
  </si>
  <si>
    <t>2023</t>
  </si>
  <si>
    <t>Avg Unamortized Balance         Sum (i) through (u) / 13</t>
  </si>
  <si>
    <t>% Approved for Rate Base *</t>
  </si>
  <si>
    <t>Allocated to Formula Rate     (from (g))</t>
  </si>
  <si>
    <t>Rate Base Balance      (v) x (w) x (x)</t>
  </si>
  <si>
    <t>Project Code</t>
  </si>
  <si>
    <t>Docket No</t>
  </si>
  <si>
    <t>1b</t>
  </si>
  <si>
    <t>1c</t>
  </si>
  <si>
    <t>Total Regulatory Asset in Rate Base (sum lines 1a-1x):</t>
  </si>
  <si>
    <t>* Non-zero values in these columns may only be established per FERC order</t>
  </si>
  <si>
    <t xml:space="preserve">**All amortizations of the Regulatory Asset are to be booked to Account 566 </t>
  </si>
  <si>
    <t>Abandoned Plant</t>
  </si>
  <si>
    <t>Amort Exp in Formula Rate            (f) x (g)</t>
  </si>
  <si>
    <t>3a</t>
  </si>
  <si>
    <t>3b</t>
  </si>
  <si>
    <t>3c</t>
  </si>
  <si>
    <t>3x</t>
  </si>
  <si>
    <t>Total Abandoned Plant in Rate Base (sum lines 3a-3x):</t>
  </si>
  <si>
    <t>Land Held for Future Use (LHFU)</t>
  </si>
  <si>
    <t xml:space="preserve">(c) </t>
  </si>
  <si>
    <t xml:space="preserve">(e) </t>
  </si>
  <si>
    <t>Subaccount No.</t>
  </si>
  <si>
    <t>Item Name</t>
  </si>
  <si>
    <t>Land Held for Future Use and Estimated Date</t>
  </si>
  <si>
    <t>Average of Columns (d) Through (p)</t>
  </si>
  <si>
    <t>5a</t>
  </si>
  <si>
    <t>5b</t>
  </si>
  <si>
    <t>5c</t>
  </si>
  <si>
    <t>5x</t>
  </si>
  <si>
    <t>Total LHFU in rate base (sum lines 5a-5x):</t>
  </si>
  <si>
    <t>Job ID</t>
  </si>
  <si>
    <t>Construction Start Date</t>
  </si>
  <si>
    <t>Estimated in-service date</t>
  </si>
  <si>
    <t>Approval Doc. No.</t>
  </si>
  <si>
    <t>Avg (f) through (r)</t>
  </si>
  <si>
    <t>% approved for recovery</t>
  </si>
  <si>
    <t>Rate Base Amnt (s) x (t)</t>
  </si>
  <si>
    <t>7a</t>
  </si>
  <si>
    <t>CWIP</t>
  </si>
  <si>
    <t>Varies</t>
  </si>
  <si>
    <t>7b</t>
  </si>
  <si>
    <t>7c</t>
  </si>
  <si>
    <t>7x</t>
  </si>
  <si>
    <t>Total  (sum lines 7a-7x)</t>
  </si>
  <si>
    <t>Total CWIP in Rate Base</t>
  </si>
  <si>
    <t>Change to recovery percent in Column (t) requires FERC order</t>
  </si>
  <si>
    <t>Actual Additions by FERC Account</t>
  </si>
  <si>
    <t>The total of these additions should total the additions reported in the FERC Form No.1 on page 206, lines 48 to 56</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</si>
  <si>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</si>
  <si>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</si>
  <si>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</si>
  <si>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</si>
  <si>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</si>
  <si>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</si>
  <si>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</si>
  <si>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</si>
  <si>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</si>
  <si>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</si>
  <si>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Total  (sum lines 9a-9x)</t>
  </si>
  <si>
    <t>Intangible Plant Detail</t>
  </si>
  <si>
    <t xml:space="preserve">The total </t>
  </si>
  <si>
    <t xml:space="preserve">Source </t>
  </si>
  <si>
    <t>Service Life</t>
  </si>
  <si>
    <t>11x</t>
  </si>
  <si>
    <t>Total  (sum lines 11a-11x) ties to p205.5.g</t>
  </si>
  <si>
    <t>Detail of Affiliate Charges Included in NY Transco's Books as Requested by Certain Parties to the Filing</t>
  </si>
  <si>
    <t>Transactions between NY Transco and any entity that is associated (affiliated) with NY Transco must be reported on page 429 of the Form No. 1.  The chart below is to include all charges to the NY Transco by an affiliate, by Affiliate and by FERC account number</t>
  </si>
  <si>
    <t>Central Hudson G&amp;E</t>
  </si>
  <si>
    <t>Consolidated Edison</t>
  </si>
  <si>
    <t>National Grid</t>
  </si>
  <si>
    <t>NY State E&amp;G</t>
  </si>
  <si>
    <t>Rochester G&amp;E</t>
  </si>
  <si>
    <t>Orange &amp; Rockland</t>
  </si>
  <si>
    <t>UIL</t>
  </si>
  <si>
    <t>CET</t>
  </si>
  <si>
    <t>Niagara Mohawk</t>
  </si>
  <si>
    <t>13a</t>
  </si>
  <si>
    <t>13b</t>
  </si>
  <si>
    <t>13c</t>
  </si>
  <si>
    <t>13d</t>
  </si>
  <si>
    <t>13e</t>
  </si>
  <si>
    <t>13f</t>
  </si>
  <si>
    <t>13g</t>
  </si>
  <si>
    <t>13h</t>
  </si>
  <si>
    <t>13i</t>
  </si>
  <si>
    <t>13j</t>
  </si>
  <si>
    <t>13k</t>
  </si>
  <si>
    <t>13l</t>
  </si>
  <si>
    <t>13m</t>
  </si>
  <si>
    <t>13n</t>
  </si>
  <si>
    <t>13o</t>
  </si>
  <si>
    <t>13p</t>
  </si>
  <si>
    <t>13q</t>
  </si>
  <si>
    <t>13r</t>
  </si>
  <si>
    <t>13s</t>
  </si>
  <si>
    <t>13t</t>
  </si>
  <si>
    <t>13u</t>
  </si>
  <si>
    <t>13v</t>
  </si>
  <si>
    <t>13x</t>
  </si>
  <si>
    <t xml:space="preserve">Total  </t>
  </si>
  <si>
    <t>15a</t>
  </si>
  <si>
    <t>15b</t>
  </si>
  <si>
    <t>15c</t>
  </si>
  <si>
    <t>15d</t>
  </si>
  <si>
    <t>15x</t>
  </si>
  <si>
    <t xml:space="preserve">Attachment 11 - Excess &amp; Deficient ADIT </t>
  </si>
  <si>
    <t>COLUMN A</t>
  </si>
  <si>
    <t>COLUMN B</t>
  </si>
  <si>
    <t>COLUMN C</t>
  </si>
  <si>
    <t>COLUMN D</t>
  </si>
  <si>
    <t>COLUMN E</t>
  </si>
  <si>
    <t>COLUMN F</t>
  </si>
  <si>
    <t>COLUMN G</t>
  </si>
  <si>
    <t>COLUMN H</t>
  </si>
  <si>
    <t>(Excess)/Deficient ADIT Transmission - Beg Balance of Year
(Note B)</t>
  </si>
  <si>
    <t>Current Period Other Activity
(Note C)</t>
  </si>
  <si>
    <t>Amortization Period 
(Note D)</t>
  </si>
  <si>
    <t>Years Remaining at Year End</t>
  </si>
  <si>
    <t>Amortization
(Note E)</t>
  </si>
  <si>
    <t>(Excess)/Deficient ADIT Transmission - Ending Balance of Year
(Note F)
(Col. B + Col. C) - Col. F</t>
  </si>
  <si>
    <t>Protected (P)  Non-Protected (N)</t>
  </si>
  <si>
    <t>Non-property (Note A):</t>
  </si>
  <si>
    <t>Account 190</t>
  </si>
  <si>
    <t>Federal Net Operating Loss Carryforward</t>
  </si>
  <si>
    <t>Overcollection of Revenues</t>
  </si>
  <si>
    <t>Unearned TCC Revenue</t>
  </si>
  <si>
    <t>1d</t>
  </si>
  <si>
    <t>Preformation Costs</t>
  </si>
  <si>
    <t>1e</t>
  </si>
  <si>
    <t>1f</t>
  </si>
  <si>
    <t>1g</t>
  </si>
  <si>
    <t>1h</t>
  </si>
  <si>
    <t>1i</t>
  </si>
  <si>
    <t>1j</t>
  </si>
  <si>
    <t>1k</t>
  </si>
  <si>
    <t>Account 282</t>
  </si>
  <si>
    <t>2a</t>
  </si>
  <si>
    <t>None</t>
  </si>
  <si>
    <t>Account 283</t>
  </si>
  <si>
    <t>Carrying Charges on Preformation costs</t>
  </si>
  <si>
    <t>Prepaid Expenses</t>
  </si>
  <si>
    <t>3d</t>
  </si>
  <si>
    <t>3e</t>
  </si>
  <si>
    <t>Non-property gross up for Taxes</t>
  </si>
  <si>
    <t>Total Non-Property (sum lines 1-4)</t>
  </si>
  <si>
    <t>Property (Note A):</t>
  </si>
  <si>
    <t>Property Book-Tax Timing Difference - Account 190</t>
  </si>
  <si>
    <t>Property Book-Tax Timing Difference - Account 282</t>
  </si>
  <si>
    <t>ARAM</t>
  </si>
  <si>
    <t>P</t>
  </si>
  <si>
    <t>Property Book-Tax Timing Difference - Account 283</t>
  </si>
  <si>
    <t xml:space="preserve">Property Gross up for Taxes </t>
  </si>
  <si>
    <t>Total Property (sum lines 6-9)</t>
  </si>
  <si>
    <t>Total Non-Property &amp; Property and Amortization, including gross up for taxes (line 5 + line 10)</t>
  </si>
  <si>
    <t>Gross up for taxes included above</t>
  </si>
  <si>
    <t>Total Non-Property &amp; Property and Amortization, excluding gross up for taxes (line 11 - line 12)</t>
  </si>
  <si>
    <t>Average (Excess)/Deficient ADIT for Rate Year (line 13, Col. B/2 + line 13, Col. G/2)</t>
  </si>
  <si>
    <t>Notes:</t>
  </si>
  <si>
    <t>Upon a tax rate change (federal, state and/or, if applicable, state apportionments), the Company re-measures its deferred tax assets and liabilities to account for the new applicable corporate tax rate.  For schedule M items not directly taken to the P&amp;L, the result of this re-measurement is a change to the net deferred tax assets/liabilities recorded in accounts 190, 282, and 283 with a corresponding change in regulatory assets (account 182.3) and regulatory liabilities (account 254) to reflect the return of/collection from excess/deficient deferred taxes to/from customers. Within the FERC Form 1, deficient and excess ADITs in Account 182.3 and Account 254, respectively are presented grossed-up for tax purposes.  For ratemaking purposes, these grossed-up balances are treated as FAS109 and subsequently removed from rate base, thereby ensuring rate base neutrality for tax rate changes.  The Company would follow the process described above to re-measure ADIT balances (increase or decrease) due to any future income tax rate change.</t>
  </si>
  <si>
    <t>Beginning balance of year is the end of the prior year balance as reflected on FERC Form No. 1, pages 232 (Account 182.3) and 278 (Account 254).</t>
  </si>
  <si>
    <t>In the event the Company populates the data enterable fields, it will support the data entered as just and reasonable in its annual update.</t>
  </si>
  <si>
    <t>The amortization periods shall be consistent with the following:</t>
  </si>
  <si>
    <t xml:space="preserve"> - Protected Property &amp; Non-Property will be amortized using the Adjusted Rate Assumption Methodology (ARAM)</t>
  </si>
  <si>
    <t xml:space="preserve"> - Unprotected federal net operating loss will be directly assigned on a straight-line basis over ten years.</t>
  </si>
  <si>
    <t xml:space="preserve"> - Unprotected Property &amp; Non-Property will be directly assigned on a straight-line basis over seven years.</t>
  </si>
  <si>
    <t>The amortization will occur through FERC income statement Accounts 410.1. and 411.1, retroactive to January 1, 2018</t>
  </si>
  <si>
    <t>Ending balance of year is the end of current year balance, as reflected on FERC Form No. 1, pages 232 (Account 182.3) and 278 (Account 254)</t>
  </si>
  <si>
    <t>Deprec.</t>
  </si>
  <si>
    <t>Segment B Facilities - NYES Capped</t>
  </si>
  <si>
    <t>Segment B Facilities - NYES Third Party Cost</t>
  </si>
  <si>
    <t>Segment B Facilities - NYES Unforeseen Costs</t>
  </si>
  <si>
    <t>Segment B Facilities - NYES Unforeseen</t>
  </si>
  <si>
    <t>Segment B Facilities - NYES Third Party</t>
  </si>
  <si>
    <t>Segment B Facilities - NYES and Dover</t>
  </si>
  <si>
    <t>Segment B Facilities - NYES and Dover CWIP</t>
  </si>
  <si>
    <t>Segment B Additions - RTS CWIP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</si>
</sst>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4">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quot;$&quot;#,##0.0000"/>
    <numFmt numFmtId="178" formatCode="0.000000%"/>
    <numFmt numFmtId="179" formatCode="_(* #,##0.000_);_(* \(#,##0.000\);_(* &quot;-&quot;??_);_(@_)"/>
    <numFmt numFmtId="180" formatCode="0.0000%"/>
    <numFmt numFmtId="181" formatCode="_(* #,##0.0000_);_(* \(#,##0.0000\);_(* &quot;-&quot;??_);_(@_)"/>
    <numFmt numFmtId="182" formatCode="_(* #,##0.000_);_(* \(#,##0.000\);_(* &quot;-&quot;???_);_(@_)"/>
    <numFmt numFmtId="183" formatCode="_(* #,##0.0_);_(* \(#,##0.0\);_(* &quot;-&quot;??_);_(@_)"/>
    <numFmt numFmtId="184" formatCode="#,##0.0_);\(#,##0.0\)"/>
    <numFmt numFmtId="185" formatCode="#,##0.0\ ;\(#,##0.0\)"/>
    <numFmt numFmtId="186" formatCode="#,##0_);[Red]\(#,##0\);&quot;-&quot;"/>
    <numFmt numFmtId="187" formatCode="_-* #,##0_-;\-* #,##0_-;_-* &quot;-&quot;_-;_-@_-"/>
    <numFmt numFmtId="188" formatCode="_-* #,##0.00_-;\-* #,##0.00_-;_-* &quot;-&quot;??_-;_-@_-"/>
    <numFmt numFmtId="189" formatCode="_(* #,##0_);_(* \(#,##0\);_(* &quot;0&quot;_);_(@_)"/>
    <numFmt numFmtId="190" formatCode="&quot;$&quot;_(#,##0.00_);&quot;$&quot;\(#,##0.00\)"/>
    <numFmt numFmtId="191" formatCode="_-&quot;$&quot;* #,##0.0_-;\-&quot;$&quot;* #,##0.0_-;_-&quot;$&quot;* &quot;-&quot;??_-;_-@_-"/>
    <numFmt numFmtId="192" formatCode="#,##0.0_)\x;\(#,##0.0\)\x"/>
    <numFmt numFmtId="193" formatCode="#,##0.0_)_x;\(#,##0.0\)_x"/>
    <numFmt numFmtId="194" formatCode="0.0_)\%;\(0.0\)\%"/>
    <numFmt numFmtId="195" formatCode="_-* #,##0.000_-;\-* #,##0.000_-;_-* &quot;-&quot;??_-;_-@_-"/>
    <numFmt numFmtId="196" formatCode="#,##0.0_)_%;\(#,##0.0\)_%"/>
    <numFmt numFmtId="197" formatCode="_(&quot;$&quot;* #,##0.0_);_(&quot;$&quot;* \(#,##0.0\);_(&quot;$&quot;* &quot;-&quot;?_);_(@_)"/>
    <numFmt numFmtId="198" formatCode="\£\ #,##0_);[Red]\(\£\ #,##0\)"/>
    <numFmt numFmtId="199" formatCode="#,##0.00;[Red]\(#,##0.00\);\-"/>
    <numFmt numFmtId="200" formatCode="\¥\ #,##0_);[Red]\(\¥\ #,##0\)"/>
    <numFmt numFmtId="201" formatCode="#,##0;\(#,##0\)"/>
    <numFmt numFmtId="202" formatCode="0;[Red]\(0\);\-"/>
    <numFmt numFmtId="203" formatCode="#,##0;[Red]\(#,##0\);\-"/>
    <numFmt numFmtId="204" formatCode="0.0;\(0.0\);\-"/>
    <numFmt numFmtId="205" formatCode="0.00;\(0.00\);\-"/>
    <numFmt numFmtId="206" formatCode="0.00;[Red]\(0.00\);\-"/>
    <numFmt numFmtId="207" formatCode="0.000;\(0.000\);\-"/>
    <numFmt numFmtId="208" formatCode="m\-d\-yy"/>
    <numFmt numFmtId="209" formatCode="_ &quot;R&quot;\ * #,##0_ ;_ &quot;R&quot;\ * \-#,##0_ ;_ &quot;R&quot;\ * &quot;-&quot;_ ;_ @_ "/>
    <numFmt numFmtId="210" formatCode="dd/mm/yyyy"/>
    <numFmt numFmtId="211" formatCode="#,##0_-;\(#,##0\);&quot;-&quot;"/>
    <numFmt numFmtId="212" formatCode="0.0\ \x;\(0.0\)\x;&quot;-&quot;"/>
    <numFmt numFmtId="213" formatCode="0.0%;\(0.0\)%"/>
    <numFmt numFmtId="214" formatCode="\•\ \ @"/>
    <numFmt numFmtId="215" formatCode="_-* #,##0_-;* \(#,##0\)_-;_-@_-"/>
    <numFmt numFmtId="216" formatCode="0.000_)"/>
    <numFmt numFmtId="217" formatCode="#,##0.0;[Red]\(#,##0.0\);\-"/>
    <numFmt numFmtId="218" formatCode="#,##0.000;[Red]\(#,##0.000\);\-"/>
    <numFmt numFmtId="219" formatCode="#,##0_%_);\(#,##0\)_%;**;@_%_)"/>
    <numFmt numFmtId="220" formatCode="0.0_x_)_);&quot;NM&quot;_x_)_);0.0_x_)_);@_%_)"/>
    <numFmt numFmtId="221" formatCode="0.0\ \x;\(0.0\ \x\)"/>
    <numFmt numFmtId="222" formatCode="0.0_ ;\(0.0\)_ \ "/>
    <numFmt numFmtId="223" formatCode="General_)"/>
    <numFmt numFmtId="224" formatCode="m/d"/>
    <numFmt numFmtId="225" formatCode="0.0\ \ \x\ ;\(0.0\)\ \ \x\ "/>
    <numFmt numFmtId="226" formatCode="\ \ _•\–\ \ \ \ @"/>
    <numFmt numFmtId="227" formatCode="&quot;$&quot;#,##0.0;[Red]&quot;$&quot;#,##0.0"/>
    <numFmt numFmtId="228" formatCode="d\-mmm\-yyyy"/>
    <numFmt numFmtId="229" formatCode="0.00,,;[Red]\(0.00,,\);\-"/>
    <numFmt numFmtId="230" formatCode="_-[$€-2]* #,##0.00_-;\-[$€-2]* #,##0.00_-;_-[$€-2]* &quot;-&quot;??_-"/>
    <numFmt numFmtId="231" formatCode="[Magenta]&quot;Err&quot;;[Magenta]&quot;Err&quot;;[Blue]&quot;OK&quot;"/>
    <numFmt numFmtId="232" formatCode="General\ &quot;.&quot;"/>
    <numFmt numFmtId="233" formatCode="#,##0_);[Red]\(#,##0\);\-_)"/>
    <numFmt numFmtId="234" formatCode="0.0_)%;[Red]\(0.0%\);0.0_)%"/>
    <numFmt numFmtId="235" formatCode="[Red][&gt;1]&quot;&gt;100 %&quot;;[Red]\(0.0%\);0.0_)%"/>
    <numFmt numFmtId="236" formatCode="0.00_)"/>
    <numFmt numFmtId="237" formatCode="_-* #,##0_-;\-* #,##0_-;_-* &quot;-&quot;??_-;_-@_-"/>
    <numFmt numFmtId="238" formatCode="0.0\x"/>
    <numFmt numFmtId="239" formatCode="0.0\ \x"/>
    <numFmt numFmtId="240" formatCode="0%_);\(0%\);0%_);@_%_)"/>
    <numFmt numFmtId="241" formatCode="[Blue]#,##0;[Red]\(#,##0\);\-"/>
    <numFmt numFmtId="242" formatCode="[Blue]#,##0.0;[Red]\(#,##0.0\);\-"/>
    <numFmt numFmtId="243" formatCode="[Blue]#,##0.00;[Red]\(#,##0.00\);\-"/>
    <numFmt numFmtId="244" formatCode="[Blue]#,##0.000;[Red]\(#,##0.000\);\-"/>
    <numFmt numFmtId="245" formatCode="#,##0.000_-;\(#,##0.000\);&quot;-&quot;"/>
    <numFmt numFmtId="246" formatCode="0.00%;[Red]\(0.00%\);\-"/>
    <numFmt numFmtId="247" formatCode="_-* #,##0.00%_-;* \(#,##0.00\)%_-;_-@_-"/>
    <numFmt numFmtId="248" formatCode="0.0\ \x\ ;\(0.0\)\ \x\ "/>
    <numFmt numFmtId="249" formatCode="0.0%;\(0.0%\);\-"/>
    <numFmt numFmtId="250" formatCode="0.00%;\(0.00%\);\-"/>
    <numFmt numFmtId="251" formatCode="000\-00\-0000\ "/>
    <numFmt numFmtId="252" formatCode="0____"/>
    <numFmt numFmtId="253" formatCode="_-&quot;£&quot;* #,##0_-;\-&quot;£&quot;* #,##0_-;_-&quot;£&quot;* &quot;-&quot;_-;_-@_-"/>
    <numFmt numFmtId="254" formatCode="_-&quot;£&quot;* #,##0.00_-;\-&quot;£&quot;* #,##0.00_-;_-&quot;£&quot;* &quot;-&quot;??_-;_-@_-"/>
    <numFmt numFmtId="255" formatCode="_(&quot;$&quot;* #,##0.0000_);_(&quot;$&quot;* \(#,##0.0000\);_(&quot;$&quot;* &quot;-&quot;??_);_(@_)"/>
    <numFmt numFmtId="256" formatCode="0.00_);\(0.00\)"/>
    <numFmt numFmtId="257" formatCode="_(* #,##0.00000_);_(* \(#,##0.00000\);_(* &quot;-&quot;??_);_(@_)"/>
    <numFmt numFmtId="258" formatCode="_(* #,##0_);_(* \(#,##0\);_(* &quot;-&quot;?_);_(@_)"/>
    <numFmt numFmtId="259" formatCode="_(* #,##0.00000_);_(* \(#,##0.00000\);_(* &quot;-&quot;_);_(@_)"/>
    <numFmt numFmtId="260" formatCode="_(* #,##0.000000_);_(* \(#,##0.000000\);_(* &quot;-&quot;??_);_(@_)"/>
  </numFmts>
  <fonts count="190">
    <font>
      <sz val="12"/>
      <name val="Arial MT"/>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color indexed="12"/>
      <name val="Arial"/>
      <family val="2"/>
    </font>
    <font>
      <sz val="12"/>
      <color indexed="12"/>
      <name val="Arial MT"/>
    </font>
    <font>
      <sz val="12"/>
      <color indexed="17"/>
      <name val="Arial MT"/>
    </font>
    <font>
      <b/>
      <u/>
      <sz val="12"/>
      <name val="Arial"/>
      <family val="2"/>
    </font>
    <font>
      <sz val="12"/>
      <color indexed="10"/>
      <name val="Arial"/>
      <family val="2"/>
    </font>
    <font>
      <sz val="10"/>
      <name val="Arial MT"/>
    </font>
    <font>
      <sz val="14"/>
      <name val="Arial MT"/>
    </font>
    <font>
      <sz val="12"/>
      <name val="Times New Roman"/>
      <family val="1"/>
    </font>
    <font>
      <sz val="14"/>
      <name val="Times New Roman"/>
      <family val="1"/>
    </font>
    <font>
      <strike/>
      <sz val="12"/>
      <color indexed="10"/>
      <name val="Arial"/>
      <family val="2"/>
    </font>
    <font>
      <strike/>
      <sz val="12"/>
      <color indexed="10"/>
      <name val="Arial MT"/>
    </font>
    <font>
      <sz val="10"/>
      <name val="Arial Narrow"/>
      <family val="2"/>
    </font>
    <font>
      <b/>
      <sz val="12"/>
      <name val="Arial Narrow"/>
      <family val="2"/>
    </font>
    <font>
      <sz val="12"/>
      <name val="Arial Narrow"/>
      <family val="2"/>
    </font>
    <font>
      <b/>
      <sz val="12"/>
      <color indexed="10"/>
      <name val="Arial Narrow"/>
      <family val="2"/>
    </font>
    <font>
      <b/>
      <sz val="10"/>
      <name val="Arial Narrow"/>
      <family val="2"/>
    </font>
    <font>
      <b/>
      <sz val="10"/>
      <color indexed="10"/>
      <name val="Arial"/>
      <family val="2"/>
    </font>
    <font>
      <sz val="10"/>
      <color indexed="10"/>
      <name val="Arial"/>
      <family val="2"/>
    </font>
    <font>
      <sz val="10"/>
      <color indexed="12"/>
      <name val="Arial"/>
      <family val="2"/>
    </font>
    <font>
      <b/>
      <sz val="10"/>
      <color indexed="8"/>
      <name val="Arial"/>
      <family val="2"/>
    </font>
    <font>
      <b/>
      <u/>
      <sz val="12"/>
      <name val="Arial Narrow"/>
      <family val="2"/>
    </font>
    <font>
      <b/>
      <vertAlign val="superscript"/>
      <sz val="11"/>
      <name val="Arial"/>
      <family val="2"/>
    </font>
    <font>
      <sz val="16"/>
      <name val="Arial"/>
      <family val="2"/>
    </font>
    <font>
      <sz val="18"/>
      <name val="Arial"/>
      <family val="2"/>
    </font>
    <font>
      <sz val="10"/>
      <name val="Arial"/>
      <family val="2"/>
    </font>
    <font>
      <sz val="9"/>
      <color indexed="10"/>
      <name val="Arial"/>
      <family val="2"/>
    </font>
    <font>
      <sz val="12"/>
      <name val="Arial"/>
      <family val="2"/>
    </font>
    <font>
      <sz val="9"/>
      <name val="Arial Narrow"/>
      <family val="2"/>
    </font>
    <font>
      <sz val="8"/>
      <name val="Arial MT"/>
    </font>
    <font>
      <b/>
      <sz val="12"/>
      <name val="Arial MT"/>
    </font>
    <font>
      <b/>
      <u/>
      <sz val="14"/>
      <name val="Arial Narrow"/>
      <family val="2"/>
    </font>
    <font>
      <b/>
      <sz val="16"/>
      <name val="Arial Narrow"/>
      <family val="2"/>
    </font>
    <font>
      <b/>
      <i/>
      <sz val="10"/>
      <color indexed="10"/>
      <name val="Arial MT"/>
    </font>
    <font>
      <b/>
      <sz val="14"/>
      <name val="Arial Narrow"/>
      <family val="2"/>
    </font>
    <font>
      <sz val="10"/>
      <name val="Times New Roman"/>
      <family val="1"/>
    </font>
    <font>
      <sz val="14"/>
      <name val="Arial"/>
      <family val="2"/>
    </font>
    <font>
      <b/>
      <sz val="12"/>
      <name val="Times New Roman"/>
      <family val="1"/>
    </font>
    <font>
      <sz val="14"/>
      <name val="Arial Narrow"/>
      <family val="2"/>
    </font>
    <font>
      <sz val="11"/>
      <name val="Arial Narrow"/>
      <family val="2"/>
    </font>
    <font>
      <sz val="12"/>
      <color indexed="10"/>
      <name val="Arial Narrow"/>
      <family val="2"/>
    </font>
    <font>
      <sz val="12"/>
      <color indexed="12"/>
      <name val="Arial Narrow"/>
      <family val="2"/>
    </font>
    <font>
      <b/>
      <sz val="11"/>
      <color indexed="56"/>
      <name val="Arial"/>
      <family val="2"/>
    </font>
    <font>
      <b/>
      <i/>
      <sz val="12"/>
      <color indexed="10"/>
      <name val="Arial MT"/>
    </font>
    <font>
      <b/>
      <sz val="16"/>
      <name val="Arial"/>
      <family val="2"/>
    </font>
    <font>
      <b/>
      <sz val="10"/>
      <name val="Times New Roman"/>
      <family val="1"/>
    </font>
    <font>
      <sz val="10"/>
      <name val="Arial"/>
      <family val="2"/>
    </font>
    <font>
      <sz val="12"/>
      <name val="Times New Roman"/>
      <family val="1"/>
    </font>
    <font>
      <sz val="9"/>
      <name val="Times"/>
      <family val="1"/>
    </font>
    <font>
      <sz val="10"/>
      <name val="Helv"/>
      <charset val="204"/>
    </font>
    <font>
      <b/>
      <sz val="10"/>
      <color indexed="18"/>
      <name val="Arial"/>
      <family val="2"/>
    </font>
    <font>
      <b/>
      <u val="singleAccounting"/>
      <sz val="10"/>
      <color indexed="18"/>
      <name val="Arial"/>
      <family val="2"/>
    </font>
    <font>
      <sz val="10"/>
      <color indexed="12"/>
      <name val="Tms Rmn"/>
    </font>
    <font>
      <b/>
      <sz val="10"/>
      <color indexed="12"/>
      <name val="Tms Rmn"/>
    </font>
    <font>
      <sz val="10"/>
      <name val="Tms Rmn"/>
    </font>
    <font>
      <sz val="11"/>
      <color indexed="8"/>
      <name val="Calibri"/>
      <family val="2"/>
    </font>
    <font>
      <sz val="11"/>
      <color indexed="9"/>
      <name val="Calibri"/>
      <family val="2"/>
    </font>
    <font>
      <b/>
      <sz val="10"/>
      <name val="Arial"/>
      <family val="2"/>
    </font>
    <font>
      <sz val="10"/>
      <name val="Times New Roman"/>
      <family val="1"/>
    </font>
    <font>
      <sz val="11"/>
      <name val="Times New Roman"/>
      <family val="1"/>
    </font>
    <font>
      <sz val="12"/>
      <name val="Tms Rmn"/>
    </font>
    <font>
      <b/>
      <sz val="10"/>
      <color indexed="8"/>
      <name val="Times New Roman"/>
      <family val="1"/>
    </font>
    <font>
      <sz val="12"/>
      <name val="±¼¸²Ã¼"/>
      <charset val="129"/>
    </font>
    <font>
      <sz val="8"/>
      <name val="Palatino"/>
      <family val="1"/>
    </font>
    <font>
      <sz val="10"/>
      <name val="MS Serif"/>
      <family val="1"/>
    </font>
    <font>
      <sz val="10"/>
      <name val="Helv"/>
    </font>
    <font>
      <b/>
      <sz val="11"/>
      <color indexed="8"/>
      <name val="Calibri"/>
      <family val="2"/>
    </font>
    <font>
      <sz val="10"/>
      <color indexed="16"/>
      <name val="MS Serif"/>
      <family val="1"/>
    </font>
    <font>
      <sz val="8"/>
      <name val="Arial"/>
      <family val="2"/>
    </font>
    <font>
      <sz val="9"/>
      <color indexed="12"/>
      <name val="Arial"/>
      <family val="2"/>
    </font>
    <font>
      <b/>
      <sz val="8"/>
      <color indexed="12"/>
      <name val="Arial"/>
      <family val="2"/>
    </font>
    <font>
      <sz val="10"/>
      <color indexed="8"/>
      <name val="Arial"/>
      <family val="2"/>
    </font>
    <font>
      <b/>
      <sz val="12"/>
      <color indexed="8"/>
      <name val="Arial"/>
      <family val="2"/>
    </font>
    <font>
      <b/>
      <sz val="10.5"/>
      <color indexed="8"/>
      <name val="Arial"/>
      <family val="2"/>
    </font>
    <font>
      <i/>
      <sz val="10"/>
      <color indexed="8"/>
      <name val="Arial"/>
      <family val="2"/>
    </font>
    <font>
      <b/>
      <i/>
      <sz val="14"/>
      <name val="Tms Rmn"/>
    </font>
    <font>
      <sz val="7"/>
      <name val="Palatino"/>
      <family val="1"/>
    </font>
    <font>
      <b/>
      <i/>
      <sz val="10"/>
      <color indexed="16"/>
      <name val="Arial"/>
      <family val="2"/>
    </font>
    <font>
      <sz val="10"/>
      <color indexed="62"/>
      <name val="Arial"/>
      <family val="2"/>
    </font>
    <font>
      <sz val="6"/>
      <color indexed="16"/>
      <name val="Palatino"/>
      <family val="1"/>
    </font>
    <font>
      <b/>
      <sz val="10"/>
      <color indexed="16"/>
      <name val="Arial"/>
      <family val="2"/>
    </font>
    <font>
      <u/>
      <sz val="11"/>
      <color indexed="48"/>
      <name val="CG Omega"/>
    </font>
    <font>
      <sz val="10"/>
      <color indexed="20"/>
      <name val="Arial"/>
      <family val="2"/>
    </font>
    <font>
      <b/>
      <sz val="15"/>
      <name val="Times"/>
      <family val="1"/>
    </font>
    <font>
      <b/>
      <sz val="11"/>
      <name val="Helv"/>
    </font>
    <font>
      <sz val="7"/>
      <name val="Small Fonts"/>
      <family val="2"/>
    </font>
    <font>
      <sz val="10"/>
      <name val="Palatino"/>
      <family val="1"/>
    </font>
    <font>
      <b/>
      <i/>
      <sz val="10"/>
      <color indexed="8"/>
      <name val="Arial"/>
      <family val="2"/>
    </font>
    <font>
      <b/>
      <sz val="10"/>
      <color indexed="9"/>
      <name val="Arial"/>
      <family val="2"/>
    </font>
    <font>
      <b/>
      <sz val="10"/>
      <color indexed="17"/>
      <name val="Arial"/>
      <family val="2"/>
    </font>
    <font>
      <b/>
      <sz val="10"/>
      <color indexed="13"/>
      <name val="Arial"/>
      <family val="2"/>
    </font>
    <font>
      <sz val="10"/>
      <color indexed="16"/>
      <name val="Helvetica-Black"/>
    </font>
    <font>
      <i/>
      <sz val="10"/>
      <color indexed="10"/>
      <name val="Arial"/>
      <family val="2"/>
    </font>
    <font>
      <sz val="8"/>
      <name val="Helv"/>
    </font>
    <font>
      <sz val="10"/>
      <color indexed="8"/>
      <name val="Times New Roman"/>
      <family val="1"/>
    </font>
    <font>
      <sz val="9.5"/>
      <color indexed="23"/>
      <name val="Helvetica-Black"/>
    </font>
    <font>
      <b/>
      <sz val="12"/>
      <color indexed="8"/>
      <name val="Arial"/>
      <family val="2"/>
    </font>
    <font>
      <b/>
      <i/>
      <sz val="12"/>
      <color indexed="8"/>
      <name val="Arial"/>
      <family val="2"/>
    </font>
    <font>
      <sz val="12"/>
      <color indexed="8"/>
      <name val="Arial"/>
      <family val="2"/>
    </font>
    <font>
      <b/>
      <sz val="8"/>
      <color indexed="8"/>
      <name val="Arial"/>
      <family val="2"/>
    </font>
    <font>
      <sz val="10"/>
      <color indexed="8"/>
      <name val="Arial"/>
      <family val="2"/>
    </font>
    <font>
      <b/>
      <sz val="8"/>
      <name val="Arial"/>
      <family val="2"/>
    </font>
    <font>
      <i/>
      <sz val="12"/>
      <color indexed="8"/>
      <name val="Arial"/>
      <family val="2"/>
    </font>
    <font>
      <sz val="8"/>
      <color indexed="8"/>
      <name val="Arial"/>
      <family val="2"/>
    </font>
    <font>
      <sz val="19"/>
      <color indexed="48"/>
      <name val="Arial"/>
      <family val="2"/>
    </font>
    <font>
      <sz val="12"/>
      <color indexed="14"/>
      <name val="Arial"/>
      <family val="2"/>
    </font>
    <font>
      <b/>
      <sz val="20"/>
      <name val="Times New Roman"/>
      <family val="1"/>
    </font>
    <font>
      <sz val="10"/>
      <name val="Geneva"/>
    </font>
    <font>
      <b/>
      <sz val="18"/>
      <color indexed="62"/>
      <name val="Cambria"/>
      <family val="2"/>
    </font>
    <font>
      <sz val="10"/>
      <name val="MS Sans Serif"/>
      <family val="2"/>
    </font>
    <font>
      <sz val="10"/>
      <name val="Times"/>
      <family val="1"/>
    </font>
    <font>
      <b/>
      <sz val="14"/>
      <color indexed="13"/>
      <name val="Helv"/>
    </font>
    <font>
      <b/>
      <sz val="10"/>
      <name val="Times"/>
      <family val="1"/>
    </font>
    <font>
      <b/>
      <sz val="8"/>
      <color indexed="8"/>
      <name val="Helv"/>
    </font>
    <font>
      <sz val="9"/>
      <name val="NewsGoth Lt BT"/>
      <family val="2"/>
    </font>
    <font>
      <b/>
      <sz val="9"/>
      <name val="Palatino"/>
      <family val="1"/>
    </font>
    <font>
      <sz val="9"/>
      <color indexed="21"/>
      <name val="Helvetica-Black"/>
    </font>
    <font>
      <b/>
      <sz val="10"/>
      <name val="Palatino"/>
      <family val="1"/>
    </font>
    <font>
      <sz val="9"/>
      <name val="Helvetica-Black"/>
    </font>
    <font>
      <sz val="12"/>
      <color indexed="8"/>
      <name val="Palatino"/>
      <family val="1"/>
    </font>
    <font>
      <sz val="11"/>
      <color indexed="8"/>
      <name val="Helvetica-Black"/>
    </font>
    <font>
      <u/>
      <sz val="8"/>
      <color indexed="8"/>
      <name val="Arial"/>
      <family val="2"/>
    </font>
    <font>
      <sz val="8"/>
      <color indexed="12"/>
      <name val="Arial"/>
      <family val="2"/>
    </font>
    <font>
      <sz val="10"/>
      <name val="Corporate Mono"/>
    </font>
    <font>
      <b/>
      <sz val="16"/>
      <name val="Arial"/>
      <family val="2"/>
    </font>
    <font>
      <sz val="12"/>
      <name val="Calibri"/>
      <family val="2"/>
    </font>
    <font>
      <sz val="10"/>
      <color indexed="40"/>
      <name val="Times New Roman"/>
      <family val="1"/>
    </font>
    <font>
      <sz val="14"/>
      <color indexed="17"/>
      <name val="Arial"/>
      <family val="2"/>
    </font>
    <font>
      <sz val="14"/>
      <name val="Helv"/>
    </font>
    <font>
      <u/>
      <sz val="12"/>
      <name val="Arial Narrow"/>
      <family val="2"/>
    </font>
    <font>
      <u/>
      <sz val="10"/>
      <name val="Arial Narrow"/>
      <family val="2"/>
    </font>
    <font>
      <sz val="11"/>
      <color theme="1"/>
      <name val="Calibri"/>
      <family val="2"/>
      <scheme val="minor"/>
    </font>
    <font>
      <u/>
      <sz val="12"/>
      <color theme="10"/>
      <name val="Arial MT"/>
    </font>
    <font>
      <sz val="11"/>
      <name val="Calibri"/>
      <family val="2"/>
      <scheme val="minor"/>
    </font>
    <font>
      <b/>
      <sz val="10"/>
      <color rgb="FFFF0000"/>
      <name val="Arial"/>
      <family val="2"/>
    </font>
    <font>
      <sz val="11"/>
      <color rgb="FF1F497D"/>
      <name val="Calibri"/>
      <family val="2"/>
    </font>
    <font>
      <b/>
      <i/>
      <sz val="10"/>
      <color rgb="FFFF0000"/>
      <name val="Arial MT"/>
    </font>
    <font>
      <sz val="14"/>
      <color rgb="FFFF0000"/>
      <name val="Arial Narrow"/>
      <family val="2"/>
    </font>
    <font>
      <sz val="10"/>
      <color theme="1"/>
      <name val="Arial"/>
      <family val="2"/>
    </font>
    <font>
      <sz val="9"/>
      <color rgb="FF000000"/>
      <name val="Verdana"/>
      <family val="2"/>
    </font>
    <font>
      <sz val="10"/>
      <color rgb="FFFF0000"/>
      <name val="Arial"/>
      <family val="2"/>
    </font>
    <font>
      <b/>
      <sz val="12"/>
      <color rgb="FFFF0000"/>
      <name val="Arial MT"/>
    </font>
    <font>
      <b/>
      <sz val="12"/>
      <color rgb="FF7030A0"/>
      <name val="Arial"/>
      <family val="2"/>
    </font>
    <font>
      <sz val="10"/>
      <color rgb="FF7030A0"/>
      <name val="Arial"/>
      <family val="2"/>
    </font>
    <font>
      <sz val="12"/>
      <color rgb="FF7030A0"/>
      <name val="Times New Roman"/>
      <family val="1"/>
    </font>
    <font>
      <b/>
      <sz val="12"/>
      <color rgb="FF7131A1"/>
      <name val="Arial"/>
      <family val="2"/>
    </font>
    <font>
      <sz val="10"/>
      <color rgb="FFFF0000"/>
      <name val="Times New Roman"/>
      <family val="1"/>
    </font>
    <font>
      <sz val="12"/>
      <color theme="1"/>
      <name val="Arial Narrow"/>
      <family val="2"/>
    </font>
    <font>
      <b/>
      <sz val="14"/>
      <color rgb="FF7030A0"/>
      <name val="Arial Narrow"/>
      <family val="2"/>
    </font>
    <font>
      <sz val="12"/>
      <color rgb="FFFF0000"/>
      <name val="Arial Narrow"/>
      <family val="2"/>
    </font>
    <font>
      <sz val="10"/>
      <color theme="1"/>
      <name val="Arial Narrow"/>
      <family val="2"/>
    </font>
    <font>
      <b/>
      <sz val="10"/>
      <color theme="1"/>
      <name val="Arial Narrow"/>
      <family val="2"/>
    </font>
    <font>
      <b/>
      <sz val="10"/>
      <color rgb="FFFF0000"/>
      <name val="Arial Narrow"/>
      <family val="2"/>
    </font>
    <font>
      <b/>
      <sz val="12"/>
      <name val="Calibri"/>
      <family val="2"/>
      <scheme val="minor"/>
    </font>
    <font>
      <sz val="10"/>
      <color rgb="FFFF0000"/>
      <name val="Arial Narrow"/>
      <family val="2"/>
    </font>
    <font>
      <sz val="12"/>
      <color theme="1"/>
      <name val="Times New Roman"/>
      <family val="1"/>
    </font>
    <font>
      <sz val="8"/>
      <color theme="1"/>
      <name val="Arial"/>
      <family val="2"/>
    </font>
    <font>
      <sz val="10"/>
      <color rgb="FF00B050"/>
      <name val="Arial Narrow"/>
      <family val="2"/>
    </font>
  </fonts>
  <fills count="69">
    <fill>
      <patternFill patternType="none"/>
    </fill>
    <fill>
      <patternFill patternType="gray125"/>
    </fill>
    <fill>
      <patternFill patternType="solid">
        <fgColor indexed="45"/>
      </patternFill>
    </fill>
    <fill>
      <patternFill patternType="solid">
        <fgColor indexed="44"/>
      </patternFill>
    </fill>
    <fill>
      <patternFill patternType="solid">
        <fgColor indexed="1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22"/>
      </patternFill>
    </fill>
    <fill>
      <patternFill patternType="solid">
        <fgColor indexed="55"/>
      </patternFill>
    </fill>
    <fill>
      <patternFill patternType="solid">
        <fgColor indexed="15"/>
        <bgColor indexed="64"/>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14"/>
        <bgColor indexed="64"/>
      </patternFill>
    </fill>
    <fill>
      <patternFill patternType="solid">
        <fgColor indexed="26"/>
        <bgColor indexed="64"/>
      </patternFill>
    </fill>
    <fill>
      <patternFill patternType="solid">
        <fgColor indexed="26"/>
      </patternFill>
    </fill>
    <fill>
      <patternFill patternType="solid">
        <fgColor indexed="29"/>
        <bgColor indexed="64"/>
      </patternFill>
    </fill>
    <fill>
      <patternFill patternType="solid">
        <fgColor indexed="9"/>
      </patternFill>
    </fill>
    <fill>
      <patternFill patternType="solid">
        <fgColor indexed="13"/>
      </patternFill>
    </fill>
    <fill>
      <patternFill patternType="solid">
        <fgColor indexed="17"/>
      </patternFill>
    </fill>
    <fill>
      <patternFill patternType="lightGray">
        <fgColor indexed="38"/>
        <bgColor indexed="23"/>
      </patternFill>
    </fill>
    <fill>
      <patternFill patternType="mediumGray">
        <fgColor indexed="22"/>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54"/>
      </patternFill>
    </fill>
    <fill>
      <patternFill patternType="solid">
        <fgColor indexed="23"/>
      </patternFill>
    </fill>
    <fill>
      <patternFill patternType="solid">
        <fgColor indexed="40"/>
      </patternFill>
    </fill>
    <fill>
      <patternFill patternType="solid">
        <fgColor indexed="41"/>
      </patternFill>
    </fill>
    <fill>
      <patternFill patternType="solid">
        <fgColor indexed="41"/>
        <bgColor indexed="64"/>
      </patternFill>
    </fill>
    <fill>
      <patternFill patternType="solid">
        <fgColor indexed="40"/>
        <bgColor indexed="64"/>
      </patternFill>
    </fill>
    <fill>
      <patternFill patternType="solid">
        <fgColor indexed="20"/>
      </patternFill>
    </fill>
    <fill>
      <patternFill patternType="solid">
        <fgColor indexed="13"/>
        <bgColor indexed="64"/>
      </patternFill>
    </fill>
    <fill>
      <patternFill patternType="solid">
        <fgColor indexed="26"/>
        <bgColor indexed="9"/>
      </patternFill>
    </fill>
    <fill>
      <patternFill patternType="lightGray"/>
    </fill>
    <fill>
      <patternFill patternType="solid">
        <fgColor indexed="58"/>
        <bgColor indexed="64"/>
      </patternFill>
    </fill>
    <fill>
      <patternFill patternType="solid">
        <fgColor indexed="16"/>
        <bgColor indexed="64"/>
      </patternFill>
    </fill>
    <fill>
      <patternFill patternType="solid">
        <fgColor indexed="8"/>
        <bgColor indexed="64"/>
      </patternFill>
    </fill>
    <fill>
      <patternFill patternType="solid">
        <fgColor indexed="11"/>
        <bgColor indexed="64"/>
      </patternFill>
    </fill>
    <fill>
      <patternFill patternType="solid">
        <fgColor rgb="FF66CCFF"/>
        <bgColor indexed="64"/>
      </patternFill>
    </fill>
    <fill>
      <patternFill patternType="solid">
        <fgColor rgb="FFFFFF00"/>
        <bgColor indexed="64"/>
      </patternFill>
    </fill>
    <fill>
      <patternFill patternType="solid">
        <fgColor rgb="FFFFFF99"/>
        <bgColor indexed="64"/>
      </patternFill>
    </fill>
    <fill>
      <patternFill patternType="solid">
        <fgColor rgb="FFFF0000"/>
        <bgColor indexed="64"/>
      </patternFill>
    </fill>
    <fill>
      <patternFill patternType="solid">
        <fgColor rgb="FF92D050"/>
        <bgColor indexed="64"/>
      </patternFill>
    </fill>
    <fill>
      <patternFill patternType="solid">
        <fgColor rgb="FF00B050"/>
        <bgColor indexed="64"/>
      </patternFill>
    </fill>
  </fills>
  <borders count="76">
    <border>
      <left/>
      <right/>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8"/>
      </top>
      <bottom style="thin">
        <color indexed="8"/>
      </bottom>
      <diagonal/>
    </border>
    <border>
      <left/>
      <right/>
      <top style="thin">
        <color indexed="8"/>
      </top>
      <bottom style="double">
        <color indexed="8"/>
      </bottom>
      <diagonal/>
    </border>
    <border>
      <left/>
      <right/>
      <top style="medium">
        <color indexed="64"/>
      </top>
      <bottom style="medium">
        <color indexed="64"/>
      </bottom>
      <diagonal/>
    </border>
    <border>
      <left/>
      <right/>
      <top/>
      <bottom style="medium">
        <color indexed="64"/>
      </bottom>
      <diagonal/>
    </border>
    <border>
      <left style="double">
        <color indexed="64"/>
      </left>
      <right style="double">
        <color indexed="64"/>
      </right>
      <top style="double">
        <color indexed="64"/>
      </top>
      <bottom style="double">
        <color indexed="64"/>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bottom style="thin">
        <color indexed="8"/>
      </bottom>
      <diagonal/>
    </border>
    <border>
      <left/>
      <right/>
      <top style="medium">
        <color indexed="23"/>
      </top>
      <bottom style="medium">
        <color indexed="2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18"/>
      </left>
      <right style="thin">
        <color indexed="18"/>
      </right>
      <top style="thin">
        <color indexed="18"/>
      </top>
      <bottom style="thin">
        <color indexed="1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thin">
        <color indexed="48"/>
      </bottom>
      <diagonal/>
    </border>
    <border>
      <left/>
      <right/>
      <top style="hair">
        <color indexed="22"/>
      </top>
      <bottom/>
      <diagonal/>
    </border>
    <border>
      <left style="thin">
        <color indexed="64"/>
      </left>
      <right/>
      <top/>
      <bottom/>
      <diagonal/>
    </border>
    <border>
      <left/>
      <right/>
      <top style="thin">
        <color indexed="64"/>
      </top>
      <bottom style="double">
        <color indexed="64"/>
      </bottom>
      <diagonal/>
    </border>
    <border>
      <left/>
      <right style="medium">
        <color indexed="64"/>
      </right>
      <top/>
      <bottom/>
      <diagonal/>
    </border>
    <border>
      <left/>
      <right/>
      <top/>
      <bottom style="double">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top style="thin">
        <color indexed="22"/>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rgb="FF000000"/>
      </left>
      <right/>
      <top/>
      <bottom/>
      <diagonal/>
    </border>
    <border>
      <left/>
      <right/>
      <top style="thin">
        <color auto="1"/>
      </top>
      <bottom/>
      <diagonal/>
    </border>
  </borders>
  <cellStyleXfs count="532">
    <xf numFmtId="174" fontId="0" fillId="0" borderId="0" applyProtection="0"/>
    <xf numFmtId="185" fontId="11" fillId="0" borderId="0"/>
    <xf numFmtId="186" fontId="3" fillId="0" borderId="0"/>
    <xf numFmtId="185" fontId="11" fillId="0" borderId="0"/>
    <xf numFmtId="186" fontId="3" fillId="0" borderId="0"/>
    <xf numFmtId="0" fontId="78" fillId="0" borderId="0"/>
    <xf numFmtId="187" fontId="3" fillId="0" borderId="0" applyFont="0" applyFill="0" applyBorder="0" applyAlignment="0" applyProtection="0"/>
    <xf numFmtId="0" fontId="79" fillId="0" borderId="0" applyNumberFormat="0" applyFill="0" applyBorder="0" applyAlignment="0" applyProtection="0">
      <alignment vertical="top"/>
      <protection locked="0"/>
    </xf>
    <xf numFmtId="188" fontId="3" fillId="0" borderId="0" applyFont="0" applyFill="0" applyBorder="0" applyAlignment="0" applyProtection="0"/>
    <xf numFmtId="189" fontId="80" fillId="0" borderId="0">
      <alignment horizontal="right" vertical="center"/>
    </xf>
    <xf numFmtId="0" fontId="78" fillId="0" borderId="0"/>
    <xf numFmtId="0" fontId="78" fillId="0" borderId="0"/>
    <xf numFmtId="0" fontId="78" fillId="0" borderId="0" applyFont="0" applyFill="0" applyBorder="0" applyAlignment="0" applyProtection="0"/>
    <xf numFmtId="0" fontId="78" fillId="0" borderId="0"/>
    <xf numFmtId="0" fontId="81" fillId="0" borderId="0"/>
    <xf numFmtId="0" fontId="78" fillId="0" borderId="0"/>
    <xf numFmtId="184" fontId="78" fillId="0" borderId="0" applyFont="0" applyFill="0" applyBorder="0" applyAlignment="0" applyProtection="0"/>
    <xf numFmtId="0" fontId="11" fillId="0" borderId="0" applyFont="0" applyFill="0" applyBorder="0" applyAlignment="0" applyProtection="0"/>
    <xf numFmtId="184" fontId="78" fillId="0" borderId="0" applyFont="0" applyFill="0" applyBorder="0" applyAlignment="0" applyProtection="0"/>
    <xf numFmtId="190" fontId="78" fillId="0" borderId="0" applyFont="0" applyFill="0" applyBorder="0" applyAlignment="0" applyProtection="0"/>
    <xf numFmtId="0" fontId="11" fillId="0" borderId="0" applyFont="0" applyFill="0" applyBorder="0" applyAlignment="0" applyProtection="0"/>
    <xf numFmtId="191" fontId="3" fillId="0" borderId="0" applyFont="0" applyFill="0" applyBorder="0" applyAlignment="0" applyProtection="0"/>
    <xf numFmtId="190" fontId="78" fillId="0" borderId="0" applyFont="0" applyFill="0" applyBorder="0" applyAlignment="0" applyProtection="0"/>
    <xf numFmtId="191" fontId="3" fillId="0" borderId="0" applyFont="0" applyFill="0" applyBorder="0" applyAlignment="0" applyProtection="0"/>
    <xf numFmtId="39" fontId="78" fillId="0" borderId="0" applyFont="0" applyFill="0" applyBorder="0" applyAlignment="0" applyProtection="0"/>
    <xf numFmtId="0" fontId="11" fillId="0" borderId="0" applyFont="0" applyFill="0" applyBorder="0" applyAlignment="0" applyProtection="0"/>
    <xf numFmtId="39" fontId="78" fillId="0" borderId="0" applyFont="0" applyFill="0" applyBorder="0" applyAlignment="0" applyProtection="0"/>
    <xf numFmtId="0" fontId="78" fillId="0" borderId="0" applyFont="0" applyFill="0" applyBorder="0" applyAlignment="0" applyProtection="0"/>
    <xf numFmtId="192" fontId="78" fillId="0" borderId="0" applyFont="0" applyFill="0" applyBorder="0" applyAlignment="0" applyProtection="0"/>
    <xf numFmtId="0" fontId="11" fillId="0" borderId="0" applyFont="0" applyFill="0" applyBorder="0" applyAlignment="0" applyProtection="0"/>
    <xf numFmtId="170" fontId="3" fillId="0" borderId="0" applyFont="0" applyFill="0" applyBorder="0" applyAlignment="0" applyProtection="0"/>
    <xf numFmtId="192" fontId="78" fillId="0" borderId="0" applyFont="0" applyFill="0" applyBorder="0" applyAlignment="0" applyProtection="0"/>
    <xf numFmtId="170" fontId="3" fillId="0" borderId="0" applyFont="0" applyFill="0" applyBorder="0" applyAlignment="0" applyProtection="0"/>
    <xf numFmtId="193" fontId="78" fillId="0" borderId="0" applyFont="0" applyFill="0" applyBorder="0" applyAlignment="0" applyProtection="0"/>
    <xf numFmtId="0" fontId="11" fillId="0" borderId="0" applyFont="0" applyFill="0" applyBorder="0" applyAlignment="0" applyProtection="0"/>
    <xf numFmtId="176" fontId="3" fillId="0" borderId="0" applyFont="0" applyFill="0" applyBorder="0" applyAlignment="0" applyProtection="0"/>
    <xf numFmtId="193" fontId="78" fillId="0" borderId="0" applyFont="0" applyFill="0" applyBorder="0" applyAlignment="0" applyProtection="0"/>
    <xf numFmtId="176" fontId="3" fillId="0" borderId="0" applyFont="0" applyFill="0" applyBorder="0" applyAlignment="0" applyProtection="0"/>
    <xf numFmtId="0" fontId="81" fillId="0" borderId="0"/>
    <xf numFmtId="0" fontId="78" fillId="0" borderId="0"/>
    <xf numFmtId="0" fontId="78" fillId="0" borderId="0"/>
    <xf numFmtId="194" fontId="78" fillId="0" borderId="0" applyFont="0" applyFill="0" applyBorder="0" applyAlignment="0" applyProtection="0"/>
    <xf numFmtId="0" fontId="11" fillId="0" borderId="0" applyFont="0" applyFill="0" applyBorder="0" applyAlignment="0" applyProtection="0"/>
    <xf numFmtId="195" fontId="3" fillId="0" borderId="0" applyFont="0" applyFill="0" applyBorder="0" applyAlignment="0" applyProtection="0"/>
    <xf numFmtId="194" fontId="78" fillId="0" borderId="0" applyFont="0" applyFill="0" applyBorder="0" applyAlignment="0" applyProtection="0"/>
    <xf numFmtId="195" fontId="3" fillId="0" borderId="0" applyFont="0" applyFill="0" applyBorder="0" applyAlignment="0" applyProtection="0"/>
    <xf numFmtId="196" fontId="78" fillId="0" borderId="0" applyFont="0" applyFill="0" applyBorder="0" applyAlignment="0" applyProtection="0"/>
    <xf numFmtId="0" fontId="11" fillId="0" borderId="0" applyFont="0" applyFill="0" applyBorder="0" applyAlignment="0" applyProtection="0"/>
    <xf numFmtId="197" fontId="3" fillId="0" borderId="0" applyFont="0" applyFill="0" applyBorder="0" applyAlignment="0" applyProtection="0"/>
    <xf numFmtId="196" fontId="78" fillId="0" borderId="0" applyFont="0" applyFill="0" applyBorder="0" applyAlignment="0" applyProtection="0"/>
    <xf numFmtId="197" fontId="3" fillId="0" borderId="0" applyFont="0" applyFill="0" applyBorder="0" applyAlignment="0" applyProtection="0"/>
    <xf numFmtId="0" fontId="78" fillId="0" borderId="0"/>
    <xf numFmtId="0" fontId="82" fillId="0" borderId="0" applyNumberFormat="0" applyFill="0" applyBorder="0" applyProtection="0">
      <alignment horizontal="left"/>
    </xf>
    <xf numFmtId="0" fontId="83" fillId="0" borderId="0" applyNumberFormat="0" applyFill="0" applyBorder="0" applyProtection="0">
      <alignment horizontal="centerContinuous"/>
    </xf>
    <xf numFmtId="198" fontId="79" fillId="0" borderId="0" applyFont="0" applyFill="0" applyBorder="0" applyAlignment="0" applyProtection="0"/>
    <xf numFmtId="199" fontId="84" fillId="0" borderId="0"/>
    <xf numFmtId="200" fontId="79" fillId="0" borderId="0" applyFont="0" applyFill="0" applyBorder="0" applyAlignment="0" applyProtection="0"/>
    <xf numFmtId="0" fontId="78" fillId="0" borderId="0"/>
    <xf numFmtId="201" fontId="78" fillId="0" borderId="0" applyBorder="0"/>
    <xf numFmtId="0" fontId="78" fillId="0" borderId="0" applyBorder="0"/>
    <xf numFmtId="201" fontId="78" fillId="0" borderId="0" applyBorder="0"/>
    <xf numFmtId="202" fontId="84" fillId="0" borderId="0"/>
    <xf numFmtId="202" fontId="85" fillId="0" borderId="0"/>
    <xf numFmtId="203" fontId="84" fillId="0" borderId="0"/>
    <xf numFmtId="204" fontId="86" fillId="0" borderId="0"/>
    <xf numFmtId="0" fontId="85" fillId="0" borderId="0"/>
    <xf numFmtId="205" fontId="84" fillId="0" borderId="0"/>
    <xf numFmtId="206" fontId="85" fillId="0" borderId="0"/>
    <xf numFmtId="207" fontId="84" fillId="0" borderId="0"/>
    <xf numFmtId="0" fontId="87" fillId="5" borderId="0" applyNumberFormat="0" applyBorder="0" applyAlignment="0" applyProtection="0"/>
    <xf numFmtId="0" fontId="87" fillId="6" borderId="0" applyNumberFormat="0" applyBorder="0" applyAlignment="0" applyProtection="0"/>
    <xf numFmtId="0" fontId="88" fillId="7" borderId="0" applyNumberFormat="0" applyBorder="0" applyAlignment="0" applyProtection="0"/>
    <xf numFmtId="0" fontId="87" fillId="8" borderId="0" applyNumberFormat="0" applyBorder="0" applyAlignment="0" applyProtection="0"/>
    <xf numFmtId="0" fontId="87" fillId="9" borderId="0" applyNumberFormat="0" applyBorder="0" applyAlignment="0" applyProtection="0"/>
    <xf numFmtId="0" fontId="88" fillId="10" borderId="0" applyNumberFormat="0" applyBorder="0" applyAlignment="0" applyProtection="0"/>
    <xf numFmtId="0" fontId="87" fillId="11" borderId="0" applyNumberFormat="0" applyBorder="0" applyAlignment="0" applyProtection="0"/>
    <xf numFmtId="0" fontId="87" fillId="12" borderId="0" applyNumberFormat="0" applyBorder="0" applyAlignment="0" applyProtection="0"/>
    <xf numFmtId="0" fontId="88" fillId="13" borderId="0" applyNumberFormat="0" applyBorder="0" applyAlignment="0" applyProtection="0"/>
    <xf numFmtId="0" fontId="87" fillId="8" borderId="0" applyNumberFormat="0" applyBorder="0" applyAlignment="0" applyProtection="0"/>
    <xf numFmtId="0" fontId="87" fillId="14" borderId="0" applyNumberFormat="0" applyBorder="0" applyAlignment="0" applyProtection="0"/>
    <xf numFmtId="0" fontId="88" fillId="9" borderId="0" applyNumberFormat="0" applyBorder="0" applyAlignment="0" applyProtection="0"/>
    <xf numFmtId="0" fontId="87" fillId="15" borderId="0" applyNumberFormat="0" applyBorder="0" applyAlignment="0" applyProtection="0"/>
    <xf numFmtId="0" fontId="87" fillId="16" borderId="0" applyNumberFormat="0" applyBorder="0" applyAlignment="0" applyProtection="0"/>
    <xf numFmtId="0" fontId="88" fillId="7" borderId="0" applyNumberFormat="0" applyBorder="0" applyAlignment="0" applyProtection="0"/>
    <xf numFmtId="0" fontId="87" fillId="17" borderId="0" applyNumberFormat="0" applyBorder="0" applyAlignment="0" applyProtection="0"/>
    <xf numFmtId="0" fontId="87" fillId="18" borderId="0" applyNumberFormat="0" applyBorder="0" applyAlignment="0" applyProtection="0"/>
    <xf numFmtId="0" fontId="88" fillId="19" borderId="0" applyNumberFormat="0" applyBorder="0" applyAlignment="0" applyProtection="0"/>
    <xf numFmtId="208" fontId="89" fillId="20" borderId="1">
      <alignment horizontal="center" vertical="center"/>
    </xf>
    <xf numFmtId="201" fontId="90" fillId="0" borderId="0" applyFont="0" applyFill="0" applyBorder="0" applyAlignment="0" applyProtection="0"/>
    <xf numFmtId="0" fontId="90" fillId="0" borderId="0" applyFont="0" applyFill="0" applyBorder="0" applyAlignment="0" applyProtection="0"/>
    <xf numFmtId="0" fontId="78" fillId="0" borderId="0"/>
    <xf numFmtId="209" fontId="91" fillId="0" borderId="0" applyFont="0" applyFill="0" applyBorder="0" applyAlignment="0" applyProtection="0"/>
    <xf numFmtId="0" fontId="90" fillId="0" borderId="0" applyFont="0" applyFill="0" applyBorder="0" applyAlignment="0" applyProtection="0"/>
    <xf numFmtId="210" fontId="5" fillId="20" borderId="0" applyFont="0" applyFill="0" applyBorder="0" applyAlignment="0" applyProtection="0"/>
    <xf numFmtId="0" fontId="28" fillId="20" borderId="0" applyNumberFormat="0" applyFont="0" applyAlignment="0">
      <alignment horizontal="center"/>
    </xf>
    <xf numFmtId="211" fontId="51" fillId="21" borderId="2" applyAlignment="0">
      <protection locked="0"/>
    </xf>
    <xf numFmtId="212" fontId="5" fillId="20" borderId="0" applyFont="0" applyFill="0" applyBorder="0" applyAlignment="0" applyProtection="0"/>
    <xf numFmtId="213" fontId="5" fillId="20" borderId="0" applyFont="0" applyFill="0" applyBorder="0" applyAlignment="0" applyProtection="0"/>
    <xf numFmtId="0" fontId="92" fillId="0" borderId="0" applyNumberFormat="0" applyFill="0" applyBorder="0" applyAlignment="0" applyProtection="0"/>
    <xf numFmtId="0" fontId="69" fillId="0" borderId="3" applyNumberFormat="0" applyFill="0" applyAlignment="0" applyProtection="0"/>
    <xf numFmtId="0" fontId="84" fillId="0" borderId="0"/>
    <xf numFmtId="214" fontId="79" fillId="0" borderId="0" applyFont="0" applyFill="0" applyBorder="0" applyAlignment="0" applyProtection="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3" fillId="0" borderId="0"/>
    <xf numFmtId="0" fontId="94" fillId="0" borderId="0"/>
    <xf numFmtId="174" fontId="1" fillId="0" borderId="0" applyFill="0"/>
    <xf numFmtId="174" fontId="1" fillId="0" borderId="0">
      <alignment horizontal="center"/>
    </xf>
    <xf numFmtId="0" fontId="1" fillId="0" borderId="0" applyFill="0">
      <alignment horizontal="center"/>
    </xf>
    <xf numFmtId="174" fontId="2" fillId="0" borderId="4" applyFill="0"/>
    <xf numFmtId="0" fontId="3" fillId="0" borderId="0" applyFont="0" applyAlignment="0"/>
    <xf numFmtId="0" fontId="4" fillId="0" borderId="0" applyFill="0">
      <alignment vertical="top"/>
    </xf>
    <xf numFmtId="0" fontId="2" fillId="0" borderId="0" applyFill="0">
      <alignment horizontal="left" vertical="top"/>
    </xf>
    <xf numFmtId="174" fontId="5" fillId="0" borderId="5" applyFill="0"/>
    <xf numFmtId="0" fontId="3" fillId="0" borderId="0" applyNumberFormat="0" applyFont="0" applyAlignment="0"/>
    <xf numFmtId="0" fontId="4" fillId="0" borderId="0" applyFill="0">
      <alignment wrapText="1"/>
    </xf>
    <xf numFmtId="0" fontId="2" fillId="0" borderId="0" applyFill="0">
      <alignment horizontal="left" vertical="top" wrapText="1"/>
    </xf>
    <xf numFmtId="174" fontId="6" fillId="0" borderId="0" applyFill="0"/>
    <xf numFmtId="0" fontId="7" fillId="0" borderId="0" applyNumberFormat="0" applyFont="0" applyAlignment="0">
      <alignment horizontal="center"/>
    </xf>
    <xf numFmtId="0" fontId="8" fillId="0" borderId="0" applyFill="0">
      <alignment vertical="top" wrapText="1"/>
    </xf>
    <xf numFmtId="0" fontId="5" fillId="0" borderId="0" applyFill="0">
      <alignment horizontal="left" vertical="top" wrapText="1"/>
    </xf>
    <xf numFmtId="174" fontId="3" fillId="0" borderId="0" applyFill="0"/>
    <xf numFmtId="0" fontId="7" fillId="0" borderId="0" applyNumberFormat="0" applyFont="0" applyAlignment="0">
      <alignment horizontal="center"/>
    </xf>
    <xf numFmtId="0" fontId="9" fillId="0" borderId="0" applyFill="0">
      <alignment vertical="center" wrapText="1"/>
    </xf>
    <xf numFmtId="0" fontId="10" fillId="0" borderId="0">
      <alignment horizontal="left" vertical="center" wrapText="1"/>
    </xf>
    <xf numFmtId="174" fontId="11" fillId="0" borderId="0" applyFill="0"/>
    <xf numFmtId="0" fontId="7" fillId="0" borderId="0" applyNumberFormat="0" applyFont="0" applyAlignment="0">
      <alignment horizontal="center"/>
    </xf>
    <xf numFmtId="0" fontId="12" fillId="0" borderId="0" applyFill="0">
      <alignment horizontal="center" vertical="center" wrapText="1"/>
    </xf>
    <xf numFmtId="0" fontId="13" fillId="0" borderId="0" applyFill="0">
      <alignment horizontal="center" vertical="center" wrapText="1"/>
    </xf>
    <xf numFmtId="174" fontId="14" fillId="0" borderId="0" applyFill="0"/>
    <xf numFmtId="0" fontId="7" fillId="0" borderId="0" applyNumberFormat="0" applyFont="0" applyAlignment="0">
      <alignment horizontal="center"/>
    </xf>
    <xf numFmtId="0" fontId="15" fillId="0" borderId="0" applyFill="0">
      <alignment horizontal="center" vertical="center" wrapText="1"/>
    </xf>
    <xf numFmtId="0" fontId="16" fillId="0" borderId="0" applyFill="0">
      <alignment horizontal="center" vertical="center" wrapText="1"/>
    </xf>
    <xf numFmtId="174" fontId="17" fillId="0" borderId="0" applyFill="0"/>
    <xf numFmtId="0" fontId="7" fillId="0" borderId="0" applyNumberFormat="0" applyFont="0" applyAlignment="0">
      <alignment horizontal="center"/>
    </xf>
    <xf numFmtId="0" fontId="18" fillId="0" borderId="0">
      <alignment horizontal="center" wrapText="1"/>
    </xf>
    <xf numFmtId="0" fontId="14" fillId="0" borderId="0" applyFill="0">
      <alignment horizontal="center" wrapText="1"/>
    </xf>
    <xf numFmtId="0" fontId="90" fillId="0" borderId="0" applyFill="0" applyBorder="0" applyAlignment="0"/>
    <xf numFmtId="215" fontId="3" fillId="22" borderId="0"/>
    <xf numFmtId="0" fontId="78" fillId="0" borderId="0">
      <alignment vertical="center"/>
    </xf>
    <xf numFmtId="37" fontId="28" fillId="0" borderId="3">
      <alignment horizontal="center"/>
    </xf>
    <xf numFmtId="37" fontId="28" fillId="0" borderId="0">
      <alignment horizontal="center" vertical="center" wrapText="1"/>
    </xf>
    <xf numFmtId="43" fontId="3" fillId="0" borderId="0" applyFont="0" applyFill="0" applyBorder="0" applyAlignment="0" applyProtection="0"/>
    <xf numFmtId="216" fontId="79" fillId="0" borderId="0"/>
    <xf numFmtId="216" fontId="79" fillId="0" borderId="0"/>
    <xf numFmtId="216" fontId="79" fillId="0" borderId="0"/>
    <xf numFmtId="216" fontId="79" fillId="0" borderId="0"/>
    <xf numFmtId="216" fontId="79" fillId="0" borderId="0"/>
    <xf numFmtId="216" fontId="79" fillId="0" borderId="0"/>
    <xf numFmtId="216" fontId="79" fillId="0" borderId="0"/>
    <xf numFmtId="216" fontId="79" fillId="0" borderId="0"/>
    <xf numFmtId="38" fontId="3" fillId="0" borderId="0" applyFont="0" applyFill="0" applyBorder="0" applyAlignment="0" applyProtection="0"/>
    <xf numFmtId="41" fontId="3" fillId="0" borderId="0" applyFont="0" applyFill="0" applyBorder="0" applyAlignment="0" applyProtection="0"/>
    <xf numFmtId="217" fontId="86" fillId="0" borderId="0"/>
    <xf numFmtId="199" fontId="84" fillId="0" borderId="0"/>
    <xf numFmtId="218" fontId="86" fillId="0" borderId="0"/>
    <xf numFmtId="0" fontId="95" fillId="0" borderId="0" applyFont="0" applyFill="0" applyBorder="0" applyAlignment="0" applyProtection="0">
      <alignment horizontal="right"/>
    </xf>
    <xf numFmtId="219" fontId="95" fillId="0" borderId="0" applyFont="0" applyFill="0" applyBorder="0" applyAlignment="0" applyProtection="0"/>
    <xf numFmtId="0" fontId="95" fillId="0" borderId="0" applyFont="0" applyFill="0" applyBorder="0" applyAlignment="0" applyProtection="0">
      <alignment horizontal="right"/>
    </xf>
    <xf numFmtId="43" fontId="13" fillId="0" borderId="0" applyFont="0" applyFill="0" applyBorder="0" applyAlignment="0" applyProtection="0"/>
    <xf numFmtId="43" fontId="3" fillId="0" borderId="0" applyFont="0" applyFill="0" applyBorder="0" applyAlignment="0" applyProtection="0"/>
    <xf numFmtId="220" fontId="78" fillId="0" borderId="0" applyFont="0" applyFill="0" applyBorder="0" applyAlignment="0" applyProtection="0"/>
    <xf numFmtId="0" fontId="95" fillId="0" borderId="0" applyFont="0" applyFill="0" applyBorder="0" applyAlignment="0" applyProtection="0">
      <alignment horizontal="right"/>
    </xf>
    <xf numFmtId="43" fontId="57" fillId="0" borderId="0" applyFont="0" applyFill="0" applyBorder="0" applyAlignment="0" applyProtection="0"/>
    <xf numFmtId="43" fontId="3" fillId="0" borderId="0" applyFont="0" applyFill="0" applyBorder="0" applyAlignment="0" applyProtection="0"/>
    <xf numFmtId="43" fontId="163" fillId="0" borderId="0" applyFont="0" applyFill="0" applyBorder="0" applyAlignment="0" applyProtection="0"/>
    <xf numFmtId="221" fontId="78" fillId="0" borderId="0" applyFont="0" applyFill="0" applyBorder="0" applyAlignment="0" applyProtection="0"/>
    <xf numFmtId="43" fontId="3" fillId="0" borderId="0" applyFont="0" applyFill="0" applyBorder="0" applyAlignment="0" applyProtection="0"/>
    <xf numFmtId="43" fontId="78" fillId="0" borderId="0" applyFont="0" applyFill="0" applyBorder="0" applyAlignment="0" applyProtection="0"/>
    <xf numFmtId="43" fontId="163" fillId="0" borderId="0" applyFont="0" applyFill="0" applyBorder="0" applyAlignment="0" applyProtection="0"/>
    <xf numFmtId="222" fontId="78" fillId="0" borderId="0" applyFont="0" applyFill="0" applyBorder="0" applyAlignment="0" applyProtection="0"/>
    <xf numFmtId="38" fontId="79" fillId="0" borderId="0" applyFill="0" applyBorder="0" applyProtection="0">
      <alignment horizontal="center"/>
    </xf>
    <xf numFmtId="3" fontId="3" fillId="0" borderId="0" applyFont="0" applyFill="0" applyBorder="0" applyAlignment="0" applyProtection="0"/>
    <xf numFmtId="223" fontId="78" fillId="0" borderId="0" applyFill="0" applyBorder="0">
      <alignment horizontal="left"/>
    </xf>
    <xf numFmtId="0" fontId="3" fillId="0" borderId="6"/>
    <xf numFmtId="0" fontId="96" fillId="0" borderId="0" applyNumberFormat="0" applyAlignment="0">
      <alignment horizontal="left"/>
    </xf>
    <xf numFmtId="37" fontId="78" fillId="25" borderId="0" applyFont="0" applyBorder="0" applyAlignment="0" applyProtection="0"/>
    <xf numFmtId="184" fontId="97" fillId="25" borderId="0" applyFont="0" applyBorder="0" applyAlignment="0" applyProtection="0"/>
    <xf numFmtId="39" fontId="97" fillId="25" borderId="0" applyFont="0" applyBorder="0" applyAlignment="0" applyProtection="0"/>
    <xf numFmtId="44" fontId="3" fillId="0" borderId="0" applyFont="0" applyFill="0" applyBorder="0" applyAlignment="0" applyProtection="0"/>
    <xf numFmtId="42" fontId="3" fillId="0" borderId="0">
      <alignment horizontal="right"/>
    </xf>
    <xf numFmtId="0" fontId="95" fillId="0" borderId="0" applyFont="0" applyFill="0" applyBorder="0" applyAlignment="0" applyProtection="0">
      <alignment horizontal="right"/>
    </xf>
    <xf numFmtId="44" fontId="13" fillId="0" borderId="0" applyFont="0" applyFill="0" applyBorder="0" applyAlignment="0" applyProtection="0"/>
    <xf numFmtId="44" fontId="3" fillId="0" borderId="0" applyFont="0" applyFill="0" applyBorder="0" applyAlignment="0" applyProtection="0"/>
    <xf numFmtId="224" fontId="78" fillId="0" borderId="0" applyFont="0" applyFill="0" applyBorder="0" applyAlignment="0" applyProtection="0"/>
    <xf numFmtId="0" fontId="95" fillId="0" borderId="0" applyFont="0" applyFill="0" applyBorder="0" applyAlignment="0" applyProtection="0">
      <alignment horizontal="right"/>
    </xf>
    <xf numFmtId="44" fontId="57" fillId="0" borderId="0" applyFont="0" applyFill="0" applyBorder="0" applyAlignment="0" applyProtection="0"/>
    <xf numFmtId="44" fontId="3" fillId="0" borderId="0" applyFont="0" applyFill="0" applyBorder="0" applyAlignment="0" applyProtection="0"/>
    <xf numFmtId="223" fontId="78" fillId="0" borderId="0" applyFont="0" applyFill="0" applyBorder="0" applyAlignment="0" applyProtection="0"/>
    <xf numFmtId="44" fontId="163" fillId="0" borderId="0" applyFont="0" applyFill="0" applyBorder="0" applyAlignment="0" applyProtection="0"/>
    <xf numFmtId="225" fontId="78" fillId="0" borderId="0" applyFont="0" applyFill="0" applyBorder="0" applyAlignment="0" applyProtection="0"/>
    <xf numFmtId="5" fontId="3" fillId="0" borderId="0" applyFont="0" applyFill="0" applyBorder="0" applyAlignment="0" applyProtection="0"/>
    <xf numFmtId="226" fontId="79" fillId="0" borderId="0" applyFont="0" applyFill="0" applyBorder="0" applyAlignment="0" applyProtection="0"/>
    <xf numFmtId="14" fontId="3" fillId="0" borderId="0" applyFont="0" applyFill="0" applyBorder="0" applyAlignment="0" applyProtection="0"/>
    <xf numFmtId="0" fontId="95" fillId="0" borderId="0" applyFont="0" applyFill="0" applyBorder="0" applyAlignment="0" applyProtection="0"/>
    <xf numFmtId="227" fontId="78" fillId="0" borderId="0" applyFont="0" applyFill="0" applyBorder="0" applyAlignment="0" applyProtection="0"/>
    <xf numFmtId="0" fontId="95" fillId="0" borderId="0" applyFont="0" applyFill="0" applyBorder="0" applyAlignment="0" applyProtection="0"/>
    <xf numFmtId="228" fontId="78" fillId="0" borderId="0" applyFill="0" applyBorder="0"/>
    <xf numFmtId="203" fontId="86" fillId="0" borderId="0">
      <alignment horizontal="right"/>
    </xf>
    <xf numFmtId="199" fontId="86" fillId="0" borderId="0">
      <alignment horizontal="right"/>
      <protection locked="0"/>
    </xf>
    <xf numFmtId="199" fontId="86" fillId="0" borderId="0"/>
    <xf numFmtId="229" fontId="86" fillId="0" borderId="0">
      <alignment horizontal="right"/>
      <protection locked="0"/>
    </xf>
    <xf numFmtId="187" fontId="78" fillId="0" borderId="0" applyFont="0" applyFill="0" applyBorder="0" applyAlignment="0" applyProtection="0"/>
    <xf numFmtId="188" fontId="78" fillId="0" borderId="0" applyFont="0" applyFill="0" applyBorder="0" applyAlignment="0" applyProtection="0"/>
    <xf numFmtId="8" fontId="79" fillId="0" borderId="0" applyFill="0" applyBorder="0" applyProtection="0">
      <alignment horizontal="center"/>
    </xf>
    <xf numFmtId="6" fontId="79" fillId="0" borderId="0">
      <alignment horizontal="center"/>
    </xf>
    <xf numFmtId="8" fontId="79" fillId="0" borderId="0" applyFill="0" applyBorder="0" applyProtection="0">
      <alignment horizontal="center"/>
    </xf>
    <xf numFmtId="0" fontId="95" fillId="0" borderId="7" applyNumberFormat="0" applyFont="0" applyFill="0" applyAlignment="0" applyProtection="0"/>
    <xf numFmtId="202" fontId="86" fillId="0" borderId="0"/>
    <xf numFmtId="0" fontId="98" fillId="26" borderId="0" applyNumberFormat="0" applyBorder="0" applyAlignment="0" applyProtection="0"/>
    <xf numFmtId="0" fontId="98" fillId="27" borderId="0" applyNumberFormat="0" applyBorder="0" applyAlignment="0" applyProtection="0"/>
    <xf numFmtId="0" fontId="98" fillId="28" borderId="0" applyNumberFormat="0" applyBorder="0" applyAlignment="0" applyProtection="0"/>
    <xf numFmtId="0" fontId="99" fillId="0" borderId="0" applyNumberFormat="0" applyAlignment="0">
      <alignment horizontal="left"/>
    </xf>
    <xf numFmtId="230" fontId="100" fillId="0" borderId="0" applyFont="0" applyFill="0" applyBorder="0" applyAlignment="0" applyProtection="0"/>
    <xf numFmtId="0" fontId="79" fillId="24" borderId="0" applyNumberFormat="0" applyFont="0" applyBorder="0" applyAlignment="0" applyProtection="0"/>
    <xf numFmtId="0" fontId="101" fillId="0" borderId="0" applyNumberFormat="0" applyFill="0" applyBorder="0" applyAlignment="0" applyProtection="0"/>
    <xf numFmtId="231" fontId="102" fillId="0" borderId="0" applyFill="0" applyBorder="0"/>
    <xf numFmtId="15" fontId="103" fillId="0" borderId="0" applyFill="0" applyBorder="0" applyProtection="0">
      <alignment horizontal="center"/>
    </xf>
    <xf numFmtId="0" fontId="79" fillId="2" borderId="0" applyNumberFormat="0" applyFont="0" applyBorder="0" applyAlignment="0" applyProtection="0"/>
    <xf numFmtId="232" fontId="104" fillId="23" borderId="8" applyAlignment="0" applyProtection="0"/>
    <xf numFmtId="233" fontId="105" fillId="0" borderId="0" applyNumberFormat="0" applyFill="0" applyBorder="0" applyAlignment="0" applyProtection="0"/>
    <xf numFmtId="233" fontId="106" fillId="0" borderId="0" applyNumberFormat="0" applyFill="0" applyBorder="0" applyAlignment="0" applyProtection="0"/>
    <xf numFmtId="15" fontId="51" fillId="29" borderId="9">
      <alignment horizontal="center"/>
      <protection locked="0"/>
    </xf>
    <xf numFmtId="234" fontId="51" fillId="29" borderId="9" applyAlignment="0">
      <protection locked="0"/>
    </xf>
    <xf numFmtId="233" fontId="51" fillId="29" borderId="9" applyAlignment="0">
      <protection locked="0"/>
    </xf>
    <xf numFmtId="233" fontId="103" fillId="0" borderId="0" applyFill="0" applyBorder="0" applyAlignment="0" applyProtection="0"/>
    <xf numFmtId="234" fontId="103" fillId="0" borderId="0" applyFill="0" applyBorder="0" applyAlignment="0" applyProtection="0"/>
    <xf numFmtId="235" fontId="103" fillId="0" borderId="0" applyFill="0" applyBorder="0" applyAlignment="0" applyProtection="0"/>
    <xf numFmtId="0" fontId="79" fillId="0" borderId="10" applyNumberFormat="0" applyFont="0" applyAlignment="0" applyProtection="0"/>
    <xf numFmtId="0" fontId="79" fillId="0" borderId="11" applyNumberFormat="0" applyFont="0" applyAlignment="0" applyProtection="0"/>
    <xf numFmtId="0" fontId="79" fillId="4" borderId="0" applyNumberFormat="0" applyFont="0" applyBorder="0" applyAlignment="0" applyProtection="0"/>
    <xf numFmtId="2" fontId="3" fillId="0" borderId="0" applyFont="0" applyFill="0" applyBorder="0" applyAlignment="0" applyProtection="0"/>
    <xf numFmtId="0" fontId="107" fillId="0" borderId="0"/>
    <xf numFmtId="0" fontId="108" fillId="0" borderId="0" applyFill="0" applyBorder="0" applyProtection="0">
      <alignment horizontal="left"/>
    </xf>
    <xf numFmtId="4" fontId="109" fillId="0" borderId="0">
      <protection locked="0"/>
    </xf>
    <xf numFmtId="10" fontId="110" fillId="30" borderId="2" applyNumberFormat="0" applyFill="0" applyBorder="0" applyAlignment="0" applyProtection="0">
      <protection locked="0"/>
    </xf>
    <xf numFmtId="0" fontId="28" fillId="20" borderId="0" applyFont="0" applyFill="0" applyBorder="0" applyAlignment="0" applyProtection="0"/>
    <xf numFmtId="38" fontId="1" fillId="22" borderId="0" applyNumberFormat="0" applyBorder="0" applyAlignment="0" applyProtection="0"/>
    <xf numFmtId="0" fontId="95" fillId="0" borderId="0" applyFont="0" applyFill="0" applyBorder="0" applyAlignment="0" applyProtection="0">
      <alignment horizontal="right"/>
    </xf>
    <xf numFmtId="0" fontId="111" fillId="0" borderId="0" applyProtection="0">
      <alignment horizontal="right"/>
    </xf>
    <xf numFmtId="0" fontId="5" fillId="0" borderId="12" applyNumberFormat="0" applyAlignment="0" applyProtection="0">
      <alignment horizontal="left" vertical="center"/>
    </xf>
    <xf numFmtId="0" fontId="5" fillId="0" borderId="8">
      <alignment horizontal="left" vertical="center"/>
    </xf>
    <xf numFmtId="0" fontId="19" fillId="0" borderId="0" applyFont="0" applyFill="0" applyBorder="0" applyAlignment="0" applyProtection="0"/>
    <xf numFmtId="0" fontId="20" fillId="0" borderId="0" applyFont="0" applyFill="0" applyBorder="0" applyAlignment="0" applyProtection="0"/>
    <xf numFmtId="0" fontId="21" fillId="0" borderId="13"/>
    <xf numFmtId="0" fontId="22" fillId="0" borderId="0"/>
    <xf numFmtId="236" fontId="112" fillId="0" borderId="0">
      <alignment horizontal="right"/>
    </xf>
    <xf numFmtId="0" fontId="51" fillId="0" borderId="14" applyNumberFormat="0" applyFill="0" applyAlignment="0" applyProtection="0"/>
    <xf numFmtId="174" fontId="164" fillId="0" borderId="0" applyNumberFormat="0" applyFill="0" applyBorder="0" applyAlignment="0" applyProtection="0"/>
    <xf numFmtId="0" fontId="49" fillId="0" borderId="0">
      <alignment wrapText="1"/>
    </xf>
    <xf numFmtId="10" fontId="1" fillId="31" borderId="2" applyNumberFormat="0" applyBorder="0" applyAlignment="0" applyProtection="0"/>
    <xf numFmtId="0" fontId="51" fillId="0" borderId="0" applyNumberFormat="0" applyFill="0" applyBorder="0" applyAlignment="0">
      <protection locked="0"/>
    </xf>
    <xf numFmtId="0" fontId="113" fillId="32" borderId="0"/>
    <xf numFmtId="215" fontId="28" fillId="33" borderId="0">
      <protection locked="0"/>
    </xf>
    <xf numFmtId="237" fontId="79" fillId="0" borderId="0"/>
    <xf numFmtId="40" fontId="114" fillId="0" borderId="0">
      <alignment horizontal="right"/>
    </xf>
    <xf numFmtId="37" fontId="2" fillId="0" borderId="0"/>
    <xf numFmtId="0" fontId="115" fillId="0" borderId="0">
      <alignment vertical="center"/>
    </xf>
    <xf numFmtId="0" fontId="78" fillId="0" borderId="0" applyNumberFormat="0" applyFill="0" applyBorder="0" applyAlignment="0" applyProtection="0"/>
    <xf numFmtId="0" fontId="116" fillId="0" borderId="13"/>
    <xf numFmtId="238" fontId="79" fillId="0" borderId="0" applyFill="0" applyBorder="0" applyProtection="0">
      <alignment horizontal="center"/>
    </xf>
    <xf numFmtId="239" fontId="40" fillId="0" borderId="0" applyFont="0" applyFill="0" applyBorder="0" applyAlignment="0" applyProtection="0">
      <alignment horizontal="centerContinuous"/>
      <protection locked="0"/>
    </xf>
    <xf numFmtId="240" fontId="1" fillId="0" borderId="0" applyFont="0" applyFill="0" applyBorder="0" applyAlignment="0" applyProtection="0">
      <alignment horizontal="right"/>
    </xf>
    <xf numFmtId="233" fontId="3" fillId="24" borderId="0"/>
    <xf numFmtId="233" fontId="101" fillId="0" borderId="0"/>
    <xf numFmtId="231" fontId="102" fillId="0" borderId="0"/>
    <xf numFmtId="15" fontId="103" fillId="0" borderId="0">
      <alignment horizontal="center"/>
    </xf>
    <xf numFmtId="233" fontId="3" fillId="2" borderId="0"/>
    <xf numFmtId="232" fontId="104" fillId="23" borderId="8"/>
    <xf numFmtId="233" fontId="105" fillId="0" borderId="0"/>
    <xf numFmtId="233" fontId="106" fillId="0" borderId="0"/>
    <xf numFmtId="15" fontId="51" fillId="29" borderId="9">
      <alignment horizontal="center"/>
      <protection locked="0"/>
    </xf>
    <xf numFmtId="234" fontId="51" fillId="29" borderId="9">
      <protection locked="0"/>
    </xf>
    <xf numFmtId="233" fontId="51" fillId="29" borderId="9">
      <protection locked="0"/>
    </xf>
    <xf numFmtId="233" fontId="103" fillId="0" borderId="0"/>
    <xf numFmtId="234" fontId="103" fillId="0" borderId="0"/>
    <xf numFmtId="235" fontId="103" fillId="0" borderId="0"/>
    <xf numFmtId="233" fontId="3" fillId="0" borderId="10"/>
    <xf numFmtId="233" fontId="3" fillId="0" borderId="11"/>
    <xf numFmtId="233" fontId="3" fillId="4" borderId="0"/>
    <xf numFmtId="37" fontId="117" fillId="0" borderId="0"/>
    <xf numFmtId="0" fontId="78" fillId="0" borderId="0"/>
    <xf numFmtId="241" fontId="67" fillId="0" borderId="0"/>
    <xf numFmtId="241" fontId="67" fillId="0" borderId="3"/>
    <xf numFmtId="241" fontId="67" fillId="0" borderId="15"/>
    <xf numFmtId="242" fontId="86" fillId="0" borderId="0"/>
    <xf numFmtId="243" fontId="86" fillId="0" borderId="0"/>
    <xf numFmtId="244" fontId="86" fillId="0" borderId="0"/>
    <xf numFmtId="0" fontId="3" fillId="0" borderId="0"/>
    <xf numFmtId="174" fontId="23" fillId="0" borderId="0" applyProtection="0"/>
    <xf numFmtId="0" fontId="3" fillId="0" borderId="0"/>
    <xf numFmtId="0" fontId="13" fillId="0" borderId="0"/>
    <xf numFmtId="0" fontId="3" fillId="0" borderId="0"/>
    <xf numFmtId="0" fontId="3" fillId="0" borderId="0"/>
    <xf numFmtId="0" fontId="57" fillId="0" borderId="0"/>
    <xf numFmtId="0" fontId="3" fillId="0" borderId="0"/>
    <xf numFmtId="0" fontId="78" fillId="0" borderId="0"/>
    <xf numFmtId="174" fontId="23" fillId="0" borderId="0" applyProtection="0"/>
    <xf numFmtId="0" fontId="163" fillId="0" borderId="0"/>
    <xf numFmtId="0" fontId="163" fillId="0" borderId="0"/>
    <xf numFmtId="0" fontId="163" fillId="0" borderId="0"/>
    <xf numFmtId="0" fontId="3" fillId="0" borderId="0"/>
    <xf numFmtId="174" fontId="23" fillId="0" borderId="0" applyProtection="0"/>
    <xf numFmtId="0" fontId="163" fillId="0" borderId="0"/>
    <xf numFmtId="217" fontId="84" fillId="0" borderId="15"/>
    <xf numFmtId="0" fontId="51" fillId="0" borderId="0" applyFill="0" applyBorder="0">
      <protection locked="0"/>
    </xf>
    <xf numFmtId="0" fontId="23" fillId="0" borderId="0" applyProtection="0"/>
    <xf numFmtId="0" fontId="3" fillId="0" borderId="0"/>
    <xf numFmtId="174" fontId="23" fillId="0" borderId="0" applyProtection="0"/>
    <xf numFmtId="0" fontId="3" fillId="0" borderId="0"/>
    <xf numFmtId="245" fontId="10" fillId="0" borderId="0" applyFont="0" applyFill="0" applyBorder="0" applyAlignment="0" applyProtection="0"/>
    <xf numFmtId="0" fontId="118" fillId="0" borderId="0"/>
    <xf numFmtId="0" fontId="78" fillId="0" borderId="0"/>
    <xf numFmtId="40" fontId="103" fillId="34" borderId="0">
      <alignment horizontal="right"/>
    </xf>
    <xf numFmtId="0" fontId="119" fillId="35" borderId="0">
      <alignment horizontal="center"/>
    </xf>
    <xf numFmtId="0" fontId="120" fillId="36" borderId="0"/>
    <xf numFmtId="0" fontId="121" fillId="34" borderId="0" applyBorder="0">
      <alignment horizontal="centerContinuous"/>
    </xf>
    <xf numFmtId="0" fontId="122" fillId="36" borderId="0" applyBorder="0">
      <alignment horizontal="centerContinuous"/>
    </xf>
    <xf numFmtId="0" fontId="40" fillId="37" borderId="0" applyNumberFormat="0" applyFont="0" applyBorder="0" applyAlignment="0"/>
    <xf numFmtId="1" fontId="123" fillId="0" borderId="0" applyProtection="0">
      <alignment horizontal="right" vertical="center"/>
    </xf>
    <xf numFmtId="184" fontId="38" fillId="0" borderId="0">
      <alignment horizontal="left"/>
    </xf>
    <xf numFmtId="9" fontId="3" fillId="0" borderId="0" applyFont="0" applyFill="0" applyBorder="0" applyAlignment="0" applyProtection="0"/>
    <xf numFmtId="10" fontId="78"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246" fontId="86" fillId="0" borderId="0"/>
    <xf numFmtId="9" fontId="5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8" fillId="0" borderId="0" applyFont="0" applyFill="0" applyBorder="0" applyAlignment="0" applyProtection="0"/>
    <xf numFmtId="247" fontId="28" fillId="25" borderId="0" applyBorder="0" applyAlignment="0">
      <protection locked="0"/>
    </xf>
    <xf numFmtId="9" fontId="86" fillId="0" borderId="0"/>
    <xf numFmtId="171" fontId="86" fillId="0" borderId="0"/>
    <xf numFmtId="10" fontId="86" fillId="0" borderId="0"/>
    <xf numFmtId="248" fontId="78" fillId="0" borderId="0" applyFont="0" applyFill="0" applyBorder="0" applyAlignment="0" applyProtection="0"/>
    <xf numFmtId="249" fontId="84" fillId="0" borderId="0"/>
    <xf numFmtId="250" fontId="84" fillId="0" borderId="0"/>
    <xf numFmtId="250" fontId="86" fillId="0" borderId="0"/>
    <xf numFmtId="40" fontId="78" fillId="0" borderId="0"/>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3" fontId="3" fillId="0" borderId="0">
      <alignment horizontal="left" vertical="top"/>
    </xf>
    <xf numFmtId="0" fontId="25" fillId="0" borderId="13">
      <alignment horizontal="center"/>
    </xf>
    <xf numFmtId="3" fontId="24" fillId="0" borderId="0" applyFont="0" applyFill="0" applyBorder="0" applyAlignment="0" applyProtection="0"/>
    <xf numFmtId="0" fontId="24" fillId="38" borderId="0" applyNumberFormat="0" applyFont="0" applyBorder="0" applyAlignment="0" applyProtection="0"/>
    <xf numFmtId="3" fontId="3" fillId="0" borderId="0">
      <alignment horizontal="right" vertical="top"/>
    </xf>
    <xf numFmtId="41" fontId="10" fillId="22" borderId="17" applyFill="0"/>
    <xf numFmtId="0" fontId="26" fillId="0" borderId="0">
      <alignment horizontal="left" indent="7"/>
    </xf>
    <xf numFmtId="41" fontId="10" fillId="0" borderId="17" applyFill="0">
      <alignment horizontal="left" indent="2"/>
    </xf>
    <xf numFmtId="174" fontId="27" fillId="0" borderId="3" applyFill="0">
      <alignment horizontal="right"/>
    </xf>
    <xf numFmtId="0" fontId="28" fillId="0" borderId="2" applyNumberFormat="0" applyFont="0" applyBorder="0">
      <alignment horizontal="right"/>
    </xf>
    <xf numFmtId="0" fontId="29" fillId="0" borderId="0" applyFill="0"/>
    <xf numFmtId="0" fontId="5" fillId="0" borderId="0" applyFill="0"/>
    <xf numFmtId="4" fontId="27" fillId="0" borderId="3" applyFill="0"/>
    <xf numFmtId="0" fontId="3" fillId="0" borderId="0" applyNumberFormat="0" applyFont="0" applyBorder="0" applyAlignment="0"/>
    <xf numFmtId="0" fontId="8" fillId="0" borderId="0" applyFill="0">
      <alignment horizontal="left" indent="1"/>
    </xf>
    <xf numFmtId="0" fontId="30" fillId="0" borderId="0" applyFill="0">
      <alignment horizontal="left" indent="1"/>
    </xf>
    <xf numFmtId="4" fontId="11" fillId="0" borderId="0" applyFill="0"/>
    <xf numFmtId="0" fontId="3" fillId="0" borderId="0" applyNumberFormat="0" applyFont="0" applyFill="0" applyBorder="0" applyAlignment="0"/>
    <xf numFmtId="0" fontId="8" fillId="0" borderId="0" applyFill="0">
      <alignment horizontal="left" indent="2"/>
    </xf>
    <xf numFmtId="0" fontId="5" fillId="0" borderId="0" applyFill="0">
      <alignment horizontal="left" indent="2"/>
    </xf>
    <xf numFmtId="4" fontId="11" fillId="0" borderId="0" applyFill="0"/>
    <xf numFmtId="0" fontId="3" fillId="0" borderId="0" applyNumberFormat="0" applyFont="0" applyBorder="0" applyAlignment="0"/>
    <xf numFmtId="0" fontId="31" fillId="0" borderId="0">
      <alignment horizontal="left" indent="3"/>
    </xf>
    <xf numFmtId="0" fontId="32" fillId="0" borderId="0" applyFill="0">
      <alignment horizontal="left" indent="3"/>
    </xf>
    <xf numFmtId="4" fontId="11" fillId="0" borderId="0" applyFill="0"/>
    <xf numFmtId="0" fontId="3" fillId="0" borderId="0" applyNumberFormat="0" applyFont="0" applyBorder="0" applyAlignment="0"/>
    <xf numFmtId="0" fontId="12" fillId="0" borderId="0">
      <alignment horizontal="left" indent="4"/>
    </xf>
    <xf numFmtId="0" fontId="13" fillId="0" borderId="0" applyFill="0">
      <alignment horizontal="left" indent="4"/>
    </xf>
    <xf numFmtId="4" fontId="14" fillId="0" borderId="0" applyFill="0"/>
    <xf numFmtId="0" fontId="3" fillId="0" borderId="0" applyNumberFormat="0" applyFont="0" applyBorder="0" applyAlignment="0"/>
    <xf numFmtId="0" fontId="15" fillId="0" borderId="0">
      <alignment horizontal="left" indent="5"/>
    </xf>
    <xf numFmtId="0" fontId="16" fillId="0" borderId="0" applyFill="0">
      <alignment horizontal="left" indent="5"/>
    </xf>
    <xf numFmtId="4" fontId="17" fillId="0" borderId="0" applyFill="0"/>
    <xf numFmtId="0" fontId="3" fillId="0" borderId="0" applyNumberFormat="0" applyFont="0" applyFill="0" applyBorder="0" applyAlignment="0"/>
    <xf numFmtId="0" fontId="18" fillId="0" borderId="0" applyFill="0">
      <alignment horizontal="left" indent="6"/>
    </xf>
    <xf numFmtId="0" fontId="14" fillId="0" borderId="0" applyFill="0">
      <alignment horizontal="left" indent="6"/>
    </xf>
    <xf numFmtId="0" fontId="124" fillId="0" borderId="0"/>
    <xf numFmtId="14" fontId="125" fillId="0" borderId="0" applyNumberFormat="0" applyFill="0" applyBorder="0" applyAlignment="0" applyProtection="0">
      <alignment horizontal="left"/>
    </xf>
    <xf numFmtId="184" fontId="126" fillId="0" borderId="0"/>
    <xf numFmtId="0" fontId="126" fillId="0" borderId="18">
      <alignment horizontal="centerContinuous"/>
    </xf>
    <xf numFmtId="0" fontId="126" fillId="0" borderId="18">
      <protection locked="0"/>
    </xf>
    <xf numFmtId="0" fontId="126" fillId="0" borderId="18">
      <alignment horizontal="centerContinuous"/>
    </xf>
    <xf numFmtId="184" fontId="126" fillId="0" borderId="0"/>
    <xf numFmtId="0" fontId="126" fillId="0" borderId="18">
      <protection locked="0"/>
    </xf>
    <xf numFmtId="184" fontId="126" fillId="0" borderId="0"/>
    <xf numFmtId="0" fontId="126" fillId="0" borderId="18">
      <alignment horizontal="centerContinuous"/>
    </xf>
    <xf numFmtId="0" fontId="126" fillId="0" borderId="18">
      <alignment horizontal="centerContinuous"/>
    </xf>
    <xf numFmtId="184" fontId="126" fillId="0" borderId="0"/>
    <xf numFmtId="0" fontId="126" fillId="0" borderId="18">
      <protection locked="0"/>
    </xf>
    <xf numFmtId="184" fontId="126" fillId="0" borderId="0"/>
    <xf numFmtId="0" fontId="126" fillId="0" borderId="18">
      <protection locked="0"/>
    </xf>
    <xf numFmtId="0" fontId="126" fillId="0" borderId="18">
      <alignment horizontal="centerContinuous"/>
    </xf>
    <xf numFmtId="184" fontId="126" fillId="0" borderId="0"/>
    <xf numFmtId="0" fontId="126" fillId="0" borderId="18">
      <protection locked="0"/>
    </xf>
    <xf numFmtId="0" fontId="126" fillId="0" borderId="18">
      <alignment horizontal="centerContinuous"/>
    </xf>
    <xf numFmtId="0" fontId="126" fillId="0" borderId="18">
      <alignment horizontal="centerContinuous"/>
    </xf>
    <xf numFmtId="184" fontId="126" fillId="0" borderId="0"/>
    <xf numFmtId="0" fontId="126" fillId="0" borderId="18">
      <alignment horizontal="centerContinuous"/>
    </xf>
    <xf numFmtId="0" fontId="126" fillId="0" borderId="18">
      <protection locked="0"/>
    </xf>
    <xf numFmtId="184" fontId="126" fillId="0" borderId="0"/>
    <xf numFmtId="0" fontId="126" fillId="0" borderId="0"/>
    <xf numFmtId="184" fontId="126" fillId="0" borderId="0"/>
    <xf numFmtId="0" fontId="126" fillId="0" borderId="18">
      <alignment horizontal="centerContinuous"/>
    </xf>
    <xf numFmtId="0" fontId="126" fillId="0" borderId="18">
      <protection locked="0"/>
    </xf>
    <xf numFmtId="184" fontId="126" fillId="0" borderId="0"/>
    <xf numFmtId="0" fontId="126" fillId="0" borderId="18">
      <alignment horizontal="centerContinuous"/>
    </xf>
    <xf numFmtId="0" fontId="126" fillId="0" borderId="18">
      <protection locked="0"/>
    </xf>
    <xf numFmtId="0" fontId="126" fillId="0" borderId="18">
      <alignment horizontal="centerContinuous"/>
    </xf>
    <xf numFmtId="0" fontId="126" fillId="0" borderId="18">
      <protection locked="0"/>
    </xf>
    <xf numFmtId="0" fontId="126" fillId="0" borderId="18">
      <protection locked="0"/>
    </xf>
    <xf numFmtId="184" fontId="126" fillId="0" borderId="0"/>
    <xf numFmtId="0" fontId="126" fillId="0" borderId="18">
      <protection locked="0"/>
    </xf>
    <xf numFmtId="0" fontId="126" fillId="0" borderId="18">
      <alignment horizontal="centerContinuous"/>
    </xf>
    <xf numFmtId="0" fontId="126" fillId="0" borderId="18">
      <alignment horizontal="centerContinuous"/>
    </xf>
    <xf numFmtId="0" fontId="126" fillId="0" borderId="18">
      <protection locked="0"/>
    </xf>
    <xf numFmtId="184" fontId="126" fillId="0" borderId="0"/>
    <xf numFmtId="0" fontId="126" fillId="0" borderId="18">
      <alignment horizontal="centerContinuous"/>
    </xf>
    <xf numFmtId="0" fontId="126" fillId="0" borderId="18">
      <alignment horizontal="centerContinuous"/>
    </xf>
    <xf numFmtId="184" fontId="126" fillId="0" borderId="0"/>
    <xf numFmtId="0" fontId="126" fillId="0" borderId="18">
      <alignment horizontal="centerContinuous"/>
    </xf>
    <xf numFmtId="184" fontId="126" fillId="0" borderId="0"/>
    <xf numFmtId="0" fontId="126" fillId="0" borderId="18">
      <alignment horizontal="centerContinuous"/>
    </xf>
    <xf numFmtId="184" fontId="126" fillId="0" borderId="0"/>
    <xf numFmtId="0" fontId="126" fillId="0" borderId="18">
      <protection locked="0"/>
    </xf>
    <xf numFmtId="0" fontId="126" fillId="0" borderId="18">
      <alignment horizontal="centerContinuous"/>
    </xf>
    <xf numFmtId="184" fontId="126" fillId="0" borderId="0"/>
    <xf numFmtId="0" fontId="127" fillId="0" borderId="19">
      <alignment vertical="center"/>
    </xf>
    <xf numFmtId="4" fontId="128" fillId="21" borderId="20" applyNumberFormat="0" applyProtection="0">
      <alignment vertical="center"/>
    </xf>
    <xf numFmtId="4" fontId="129" fillId="21" borderId="20" applyNumberFormat="0" applyProtection="0">
      <alignment vertical="center"/>
    </xf>
    <xf numFmtId="4" fontId="130" fillId="21" borderId="20" applyNumberFormat="0" applyProtection="0">
      <alignment horizontal="left" vertical="center" indent="1"/>
    </xf>
    <xf numFmtId="0" fontId="131" fillId="29" borderId="20" applyNumberFormat="0" applyProtection="0">
      <alignment horizontal="left" vertical="top" indent="1"/>
    </xf>
    <xf numFmtId="4" fontId="130" fillId="39" borderId="0" applyNumberFormat="0" applyProtection="0">
      <alignment horizontal="left" vertical="center" indent="1"/>
    </xf>
    <xf numFmtId="4" fontId="130" fillId="40" borderId="20" applyNumberFormat="0" applyProtection="0">
      <alignment horizontal="right" vertical="center"/>
    </xf>
    <xf numFmtId="4" fontId="130" fillId="41" borderId="20" applyNumberFormat="0" applyProtection="0">
      <alignment horizontal="right" vertical="center"/>
    </xf>
    <xf numFmtId="4" fontId="130" fillId="33" borderId="20" applyNumberFormat="0" applyProtection="0">
      <alignment horizontal="right" vertical="center"/>
    </xf>
    <xf numFmtId="4" fontId="130" fillId="42" borderId="20" applyNumberFormat="0" applyProtection="0">
      <alignment horizontal="right" vertical="center"/>
    </xf>
    <xf numFmtId="4" fontId="130" fillId="43" borderId="20" applyNumberFormat="0" applyProtection="0">
      <alignment horizontal="right" vertical="center"/>
    </xf>
    <xf numFmtId="4" fontId="130" fillId="44" borderId="20" applyNumberFormat="0" applyProtection="0">
      <alignment horizontal="right" vertical="center"/>
    </xf>
    <xf numFmtId="4" fontId="130" fillId="45" borderId="20" applyNumberFormat="0" applyProtection="0">
      <alignment horizontal="right" vertical="center"/>
    </xf>
    <xf numFmtId="4" fontId="130" fillId="46" borderId="20" applyNumberFormat="0" applyProtection="0">
      <alignment horizontal="right" vertical="center"/>
    </xf>
    <xf numFmtId="4" fontId="130" fillId="47" borderId="20" applyNumberFormat="0" applyProtection="0">
      <alignment horizontal="right" vertical="center"/>
    </xf>
    <xf numFmtId="4" fontId="128" fillId="48" borderId="21" applyNumberFormat="0" applyProtection="0">
      <alignment horizontal="left" vertical="center" indent="1"/>
    </xf>
    <xf numFmtId="4" fontId="128" fillId="20" borderId="0" applyNumberFormat="0" applyProtection="0">
      <alignment horizontal="left" vertical="center" indent="1"/>
    </xf>
    <xf numFmtId="4" fontId="128" fillId="39" borderId="0" applyNumberFormat="0" applyProtection="0">
      <alignment horizontal="left" vertical="center" indent="1"/>
    </xf>
    <xf numFmtId="4" fontId="130" fillId="20" borderId="20" applyNumberFormat="0" applyProtection="0">
      <alignment horizontal="right" vertical="center"/>
    </xf>
    <xf numFmtId="4" fontId="132" fillId="20" borderId="0" applyNumberFormat="0" applyProtection="0">
      <alignment horizontal="left" vertical="center" indent="1"/>
    </xf>
    <xf numFmtId="4" fontId="132" fillId="39" borderId="0" applyNumberFormat="0" applyProtection="0">
      <alignment horizontal="left" vertical="center" indent="1"/>
    </xf>
    <xf numFmtId="0" fontId="1" fillId="23" borderId="22" applyNumberFormat="0" applyProtection="0">
      <alignment horizontal="left" vertical="center" indent="1"/>
    </xf>
    <xf numFmtId="0" fontId="100" fillId="49" borderId="20" applyNumberFormat="0" applyProtection="0">
      <alignment horizontal="left" vertical="top" indent="1"/>
    </xf>
    <xf numFmtId="0" fontId="1" fillId="50" borderId="22" applyNumberFormat="0" applyProtection="0">
      <alignment horizontal="left" vertical="center" indent="1"/>
    </xf>
    <xf numFmtId="0" fontId="100" fillId="51" borderId="20" applyNumberFormat="0" applyProtection="0">
      <alignment horizontal="left" vertical="top" indent="1"/>
    </xf>
    <xf numFmtId="0" fontId="1" fillId="3" borderId="22" applyNumberFormat="0" applyProtection="0">
      <alignment horizontal="left" vertical="center" indent="1"/>
    </xf>
    <xf numFmtId="0" fontId="100" fillId="3" borderId="20" applyNumberFormat="0" applyProtection="0">
      <alignment horizontal="left" vertical="top" indent="1"/>
    </xf>
    <xf numFmtId="0" fontId="1" fillId="52" borderId="22" applyNumberFormat="0" applyProtection="0">
      <alignment horizontal="left" vertical="center" indent="1"/>
    </xf>
    <xf numFmtId="0" fontId="100" fillId="52" borderId="20" applyNumberFormat="0" applyProtection="0">
      <alignment horizontal="left" vertical="top" indent="1"/>
    </xf>
    <xf numFmtId="0" fontId="100" fillId="34" borderId="23" applyNumberFormat="0">
      <protection locked="0"/>
    </xf>
    <xf numFmtId="0" fontId="133" fillId="49" borderId="24" applyBorder="0"/>
    <xf numFmtId="4" fontId="130" fillId="53" borderId="20" applyNumberFormat="0" applyProtection="0">
      <alignment vertical="center"/>
    </xf>
    <xf numFmtId="4" fontId="134" fillId="53" borderId="20" applyNumberFormat="0" applyProtection="0">
      <alignment vertical="center"/>
    </xf>
    <xf numFmtId="4" fontId="128" fillId="20" borderId="25" applyNumberFormat="0" applyProtection="0">
      <alignment horizontal="left" vertical="center" indent="1"/>
    </xf>
    <xf numFmtId="0" fontId="135" fillId="32" borderId="20" applyNumberFormat="0" applyProtection="0">
      <alignment horizontal="left" vertical="top" indent="1"/>
    </xf>
    <xf numFmtId="4" fontId="130" fillId="53" borderId="20" applyNumberFormat="0" applyProtection="0">
      <alignment horizontal="right" vertical="center"/>
    </xf>
    <xf numFmtId="4" fontId="134" fillId="53" borderId="20" applyNumberFormat="0" applyProtection="0">
      <alignment horizontal="right" vertical="center"/>
    </xf>
    <xf numFmtId="4" fontId="128" fillId="20" borderId="20" applyNumberFormat="0" applyProtection="0">
      <alignment horizontal="left" vertical="center" indent="1"/>
    </xf>
    <xf numFmtId="0" fontId="135" fillId="51" borderId="20" applyNumberFormat="0" applyProtection="0">
      <alignment horizontal="left" vertical="top" indent="1"/>
    </xf>
    <xf numFmtId="4" fontId="136" fillId="54" borderId="25" applyNumberFormat="0" applyProtection="0">
      <alignment horizontal="left" vertical="center" indent="1"/>
    </xf>
    <xf numFmtId="0" fontId="1" fillId="55" borderId="2"/>
    <xf numFmtId="4" fontId="137" fillId="53" borderId="20" applyNumberFormat="0" applyProtection="0">
      <alignment horizontal="right" vertical="center"/>
    </xf>
    <xf numFmtId="0" fontId="138" fillId="56" borderId="0"/>
    <xf numFmtId="0" fontId="2" fillId="57" borderId="0"/>
    <xf numFmtId="0" fontId="5" fillId="0" borderId="0"/>
    <xf numFmtId="40" fontId="139" fillId="0" borderId="0" applyFont="0" applyFill="0" applyBorder="0" applyAlignment="0" applyProtection="0"/>
    <xf numFmtId="217" fontId="84" fillId="58" borderId="0" applyFont="0"/>
    <xf numFmtId="0" fontId="19" fillId="0" borderId="0"/>
    <xf numFmtId="0" fontId="140" fillId="0" borderId="0" applyNumberFormat="0" applyFill="0" applyBorder="0" applyAlignment="0" applyProtection="0"/>
    <xf numFmtId="1" fontId="78" fillId="0" borderId="0"/>
    <xf numFmtId="0" fontId="141" fillId="0" borderId="0">
      <alignment textRotation="90"/>
    </xf>
    <xf numFmtId="251" fontId="142" fillId="0" borderId="0">
      <alignment vertical="center"/>
    </xf>
    <xf numFmtId="0" fontId="132" fillId="0" borderId="0"/>
    <xf numFmtId="0" fontId="78" fillId="59" borderId="0"/>
    <xf numFmtId="0" fontId="78" fillId="0" borderId="0"/>
    <xf numFmtId="0" fontId="78" fillId="0" borderId="0">
      <alignment vertical="top"/>
    </xf>
    <xf numFmtId="0" fontId="78" fillId="0" borderId="0">
      <alignment vertical="top"/>
    </xf>
    <xf numFmtId="0" fontId="143" fillId="20" borderId="0"/>
    <xf numFmtId="0" fontId="144" fillId="0" borderId="0">
      <alignment horizontal="left" vertical="center"/>
    </xf>
    <xf numFmtId="40" fontId="145" fillId="0" borderId="0" applyBorder="0">
      <alignment horizontal="right"/>
    </xf>
    <xf numFmtId="37" fontId="28" fillId="0" borderId="5" applyNumberFormat="0"/>
    <xf numFmtId="0" fontId="146" fillId="0" borderId="26" applyNumberFormat="0" applyAlignment="0" applyProtection="0"/>
    <xf numFmtId="0" fontId="3" fillId="22" borderId="6" applyNumberFormat="0" applyFont="0" applyAlignment="0"/>
    <xf numFmtId="0" fontId="147" fillId="0" borderId="0" applyBorder="0" applyProtection="0">
      <alignment vertical="center"/>
    </xf>
    <xf numFmtId="0" fontId="147" fillId="0" borderId="3" applyBorder="0" applyProtection="0">
      <alignment horizontal="right" vertical="center"/>
    </xf>
    <xf numFmtId="0" fontId="148" fillId="60" borderId="0" applyBorder="0" applyProtection="0">
      <alignment horizontal="centerContinuous" vertical="center"/>
    </xf>
    <xf numFmtId="0" fontId="148" fillId="61" borderId="3" applyBorder="0" applyProtection="0">
      <alignment horizontal="centerContinuous" vertical="center"/>
    </xf>
    <xf numFmtId="0" fontId="149" fillId="0" borderId="0"/>
    <xf numFmtId="0" fontId="118" fillId="0" borderId="0"/>
    <xf numFmtId="0" fontId="150" fillId="0" borderId="0" applyFill="0" applyBorder="0" applyProtection="0">
      <alignment horizontal="left"/>
    </xf>
    <xf numFmtId="0" fontId="108" fillId="0" borderId="27" applyFill="0" applyBorder="0" applyProtection="0">
      <alignment horizontal="left" vertical="top"/>
    </xf>
    <xf numFmtId="0" fontId="77" fillId="0" borderId="0">
      <alignment horizontal="centerContinuous"/>
    </xf>
    <xf numFmtId="49" fontId="79" fillId="0" borderId="0" applyFont="0" applyFill="0" applyBorder="0" applyAlignment="0" applyProtection="0"/>
    <xf numFmtId="0" fontId="151" fillId="0" borderId="0"/>
    <xf numFmtId="0" fontId="152" fillId="0" borderId="0"/>
    <xf numFmtId="0" fontId="36" fillId="31" borderId="0">
      <alignment horizontal="right"/>
    </xf>
    <xf numFmtId="252" fontId="55" fillId="0" borderId="0"/>
    <xf numFmtId="0" fontId="3" fillId="0" borderId="0" applyFont="0" applyFill="0" applyBorder="0" applyAlignment="0" applyProtection="0"/>
    <xf numFmtId="201" fontId="28" fillId="0" borderId="8" applyFill="0"/>
    <xf numFmtId="37" fontId="28" fillId="0" borderId="28" applyNumberFormat="0" applyFill="0"/>
    <xf numFmtId="0" fontId="153" fillId="0" borderId="0">
      <alignment horizontal="fill"/>
    </xf>
    <xf numFmtId="37" fontId="1" fillId="21" borderId="0" applyNumberFormat="0" applyBorder="0" applyAlignment="0" applyProtection="0"/>
    <xf numFmtId="37" fontId="100" fillId="0" borderId="0"/>
    <xf numFmtId="37" fontId="100" fillId="22" borderId="0" applyNumberFormat="0" applyBorder="0" applyAlignment="0" applyProtection="0"/>
    <xf numFmtId="3" fontId="154" fillId="0" borderId="14" applyProtection="0"/>
    <xf numFmtId="4" fontId="82" fillId="0" borderId="0">
      <protection locked="0"/>
    </xf>
    <xf numFmtId="253" fontId="78" fillId="0" borderId="0" applyFont="0" applyFill="0" applyBorder="0" applyAlignment="0" applyProtection="0"/>
    <xf numFmtId="254" fontId="78" fillId="0" borderId="0" applyFont="0" applyFill="0" applyBorder="0" applyAlignment="0" applyProtection="0"/>
    <xf numFmtId="0" fontId="78" fillId="0" borderId="0" applyFont="0" applyFill="0" applyBorder="0">
      <alignment horizontal="right" vertical="center" wrapText="1"/>
    </xf>
    <xf numFmtId="236" fontId="11" fillId="0" borderId="0"/>
    <xf numFmtId="1" fontId="155" fillId="0" borderId="0">
      <alignment horizontal="center"/>
    </xf>
    <xf numFmtId="1" fontId="156" fillId="0" borderId="0">
      <alignment horizontal="centerContinuous"/>
    </xf>
  </cellStyleXfs>
  <cellXfs count="1413">
    <xf numFmtId="174" fontId="0" fillId="0" borderId="0" xfId="0"/>
    <xf numFmtId="0" fontId="23" fillId="0" borderId="0" xfId="318"/>
    <xf numFmtId="0" fontId="10" fillId="0" borderId="0" xfId="318" applyFont="1" applyProtection="1">
      <protection locked="0"/>
    </xf>
    <xf numFmtId="0" fontId="10" fillId="0" borderId="0" xfId="318" applyFont="1" applyAlignment="1" applyProtection="1">
      <alignment horizontal="left"/>
      <protection locked="0"/>
    </xf>
    <xf numFmtId="0" fontId="10" fillId="0" borderId="0" xfId="318" applyFont="1" applyAlignment="1" applyProtection="1">
      <alignment horizontal="center"/>
      <protection locked="0"/>
    </xf>
    <xf numFmtId="0" fontId="10" fillId="0" borderId="0" xfId="318" applyFont="1" applyAlignment="1" applyProtection="1">
      <alignment horizontal="right"/>
      <protection locked="0"/>
    </xf>
    <xf numFmtId="0" fontId="10" fillId="0" borderId="0" xfId="318" applyFont="1" applyAlignment="1">
      <alignment horizontal="right"/>
    </xf>
    <xf numFmtId="0" fontId="10" fillId="0" borderId="0" xfId="318" applyFont="1"/>
    <xf numFmtId="3" fontId="10" fillId="0" borderId="0" xfId="318" applyNumberFormat="1" applyFont="1"/>
    <xf numFmtId="0" fontId="23" fillId="0" borderId="0" xfId="318" applyAlignment="1" applyProtection="1">
      <alignment horizontal="center"/>
      <protection locked="0"/>
    </xf>
    <xf numFmtId="49" fontId="10" fillId="0" borderId="0" xfId="318" quotePrefix="1" applyNumberFormat="1" applyFont="1" applyAlignment="1">
      <alignment horizontal="center"/>
    </xf>
    <xf numFmtId="49" fontId="10" fillId="0" borderId="0" xfId="318" applyNumberFormat="1" applyFont="1"/>
    <xf numFmtId="0" fontId="23" fillId="0" borderId="13" xfId="318" applyBorder="1" applyAlignment="1" applyProtection="1">
      <alignment horizontal="center"/>
      <protection locked="0"/>
    </xf>
    <xf numFmtId="0" fontId="10" fillId="0" borderId="13" xfId="318" applyFont="1" applyBorder="1" applyAlignment="1" applyProtection="1">
      <alignment horizontal="center"/>
      <protection locked="0"/>
    </xf>
    <xf numFmtId="0" fontId="10" fillId="0" borderId="13" xfId="318" applyFont="1" applyBorder="1" applyAlignment="1" applyProtection="1">
      <alignment horizontal="centerContinuous"/>
      <protection locked="0"/>
    </xf>
    <xf numFmtId="166" fontId="10" fillId="0" borderId="0" xfId="318" applyNumberFormat="1" applyFont="1"/>
    <xf numFmtId="0" fontId="34" fillId="0" borderId="0" xfId="318" applyFont="1" applyAlignment="1">
      <alignment horizontal="left"/>
    </xf>
    <xf numFmtId="3" fontId="10" fillId="0" borderId="13" xfId="318" applyNumberFormat="1" applyFont="1" applyBorder="1"/>
    <xf numFmtId="3" fontId="10" fillId="0" borderId="0" xfId="318" applyNumberFormat="1" applyFont="1" applyAlignment="1">
      <alignment horizontal="fill"/>
    </xf>
    <xf numFmtId="0" fontId="10" fillId="0" borderId="0" xfId="318" applyFont="1" applyAlignment="1">
      <alignment horizontal="left"/>
    </xf>
    <xf numFmtId="0" fontId="33" fillId="0" borderId="0" xfId="318" quotePrefix="1" applyFont="1" applyAlignment="1">
      <alignment horizontal="left"/>
    </xf>
    <xf numFmtId="0" fontId="34" fillId="0" borderId="0" xfId="318" quotePrefix="1" applyFont="1" applyAlignment="1">
      <alignment horizontal="left" indent="1"/>
    </xf>
    <xf numFmtId="169" fontId="10" fillId="0" borderId="0" xfId="318" applyNumberFormat="1" applyFont="1"/>
    <xf numFmtId="3" fontId="23" fillId="0" borderId="0" xfId="318" applyNumberFormat="1"/>
    <xf numFmtId="0" fontId="10" fillId="0" borderId="0" xfId="318" applyFont="1" applyAlignment="1">
      <alignment horizontal="center"/>
    </xf>
    <xf numFmtId="49" fontId="10" fillId="0" borderId="0" xfId="318" applyNumberFormat="1" applyFont="1" applyAlignment="1">
      <alignment horizontal="left"/>
    </xf>
    <xf numFmtId="49" fontId="10" fillId="0" borderId="0" xfId="318" applyNumberFormat="1" applyFont="1" applyAlignment="1">
      <alignment horizontal="center"/>
    </xf>
    <xf numFmtId="3" fontId="5" fillId="0" borderId="0" xfId="318" applyNumberFormat="1" applyFont="1" applyAlignment="1">
      <alignment horizontal="center"/>
    </xf>
    <xf numFmtId="0" fontId="5" fillId="0" borderId="0" xfId="318" applyFont="1" applyAlignment="1" applyProtection="1">
      <alignment horizontal="center"/>
      <protection locked="0"/>
    </xf>
    <xf numFmtId="0" fontId="23" fillId="0" borderId="0" xfId="318" applyAlignment="1">
      <alignment horizontal="center"/>
    </xf>
    <xf numFmtId="0" fontId="5" fillId="0" borderId="0" xfId="318" applyFont="1" applyAlignment="1">
      <alignment horizontal="center"/>
    </xf>
    <xf numFmtId="3" fontId="5" fillId="0" borderId="0" xfId="318" applyNumberFormat="1" applyFont="1"/>
    <xf numFmtId="0" fontId="32" fillId="0" borderId="0" xfId="318" applyFont="1" applyAlignment="1" applyProtection="1">
      <alignment horizontal="center"/>
      <protection locked="0"/>
    </xf>
    <xf numFmtId="0" fontId="5" fillId="0" borderId="0" xfId="318" applyFont="1"/>
    <xf numFmtId="0" fontId="34" fillId="0" borderId="0" xfId="318" quotePrefix="1" applyFont="1" applyAlignment="1">
      <alignment horizontal="left"/>
    </xf>
    <xf numFmtId="164" fontId="10" fillId="0" borderId="0" xfId="318" applyNumberFormat="1" applyFont="1" applyAlignment="1">
      <alignment horizontal="center"/>
    </xf>
    <xf numFmtId="165" fontId="10" fillId="0" borderId="0" xfId="318" applyNumberFormat="1" applyFont="1" applyAlignment="1">
      <alignment horizontal="right"/>
    </xf>
    <xf numFmtId="0" fontId="23" fillId="0" borderId="0" xfId="318" applyProtection="1">
      <protection locked="0"/>
    </xf>
    <xf numFmtId="0" fontId="36" fillId="0" borderId="0" xfId="318" applyFont="1" applyAlignment="1">
      <alignment horizontal="center"/>
    </xf>
    <xf numFmtId="3" fontId="36" fillId="0" borderId="0" xfId="318" applyNumberFormat="1" applyFont="1"/>
    <xf numFmtId="3" fontId="34" fillId="0" borderId="0" xfId="318" quotePrefix="1" applyNumberFormat="1" applyFont="1" applyAlignment="1">
      <alignment horizontal="left"/>
    </xf>
    <xf numFmtId="172" fontId="10" fillId="0" borderId="0" xfId="318" applyNumberFormat="1" applyFont="1" applyAlignment="1">
      <alignment horizontal="left"/>
    </xf>
    <xf numFmtId="3" fontId="37" fillId="0" borderId="0" xfId="0" applyNumberFormat="1" applyFont="1"/>
    <xf numFmtId="166" fontId="10" fillId="0" borderId="0" xfId="318" applyNumberFormat="1" applyFont="1" applyAlignment="1">
      <alignment horizontal="center"/>
    </xf>
    <xf numFmtId="164" fontId="10" fillId="0" borderId="0" xfId="318" applyNumberFormat="1" applyFont="1" applyAlignment="1">
      <alignment horizontal="left"/>
    </xf>
    <xf numFmtId="10" fontId="10" fillId="0" borderId="0" xfId="318" applyNumberFormat="1" applyFont="1" applyAlignment="1">
      <alignment horizontal="left"/>
    </xf>
    <xf numFmtId="164" fontId="10" fillId="0" borderId="0" xfId="318" applyNumberFormat="1" applyFont="1" applyAlignment="1" applyProtection="1">
      <alignment horizontal="left"/>
      <protection locked="0"/>
    </xf>
    <xf numFmtId="3" fontId="10" fillId="0" borderId="0" xfId="318" applyNumberFormat="1" applyFont="1" applyAlignment="1">
      <alignment horizontal="right"/>
    </xf>
    <xf numFmtId="167" fontId="10" fillId="0" borderId="0" xfId="318" applyNumberFormat="1" applyFont="1"/>
    <xf numFmtId="0" fontId="38" fillId="0" borderId="0" xfId="318" applyFont="1"/>
    <xf numFmtId="0" fontId="33" fillId="0" borderId="0" xfId="318" applyFont="1" applyAlignment="1">
      <alignment horizontal="left" indent="1"/>
    </xf>
    <xf numFmtId="0" fontId="23" fillId="0" borderId="0" xfId="318" applyAlignment="1">
      <alignment horizontal="right"/>
    </xf>
    <xf numFmtId="3" fontId="23" fillId="0" borderId="0" xfId="318" applyNumberFormat="1" applyAlignment="1">
      <alignment horizontal="right"/>
    </xf>
    <xf numFmtId="0" fontId="10" fillId="0" borderId="13" xfId="318" applyFont="1" applyBorder="1" applyProtection="1">
      <protection locked="0"/>
    </xf>
    <xf numFmtId="0" fontId="10" fillId="0" borderId="13" xfId="318" applyFont="1" applyBorder="1"/>
    <xf numFmtId="3" fontId="10" fillId="0" borderId="0" xfId="318" applyNumberFormat="1" applyFont="1" applyAlignment="1">
      <alignment horizontal="center"/>
    </xf>
    <xf numFmtId="3" fontId="10" fillId="0" borderId="13" xfId="318" applyNumberFormat="1" applyFont="1" applyBorder="1" applyAlignment="1">
      <alignment horizontal="center"/>
    </xf>
    <xf numFmtId="4" fontId="10" fillId="0" borderId="0" xfId="318" applyNumberFormat="1" applyFont="1"/>
    <xf numFmtId="3" fontId="10" fillId="0" borderId="0" xfId="318" quotePrefix="1" applyNumberFormat="1" applyFont="1"/>
    <xf numFmtId="0" fontId="23" fillId="0" borderId="0" xfId="318" applyProtection="1"/>
    <xf numFmtId="174" fontId="10" fillId="0" borderId="0" xfId="318" applyNumberFormat="1" applyFont="1" applyProtection="1">
      <protection locked="0"/>
    </xf>
    <xf numFmtId="0" fontId="39" fillId="0" borderId="0" xfId="318" applyFont="1"/>
    <xf numFmtId="3" fontId="23" fillId="0" borderId="0" xfId="318" applyNumberFormat="1" applyProtection="1"/>
    <xf numFmtId="0" fontId="40" fillId="0" borderId="0" xfId="318" applyFont="1" applyAlignment="1" applyProtection="1">
      <alignment horizontal="center"/>
      <protection locked="0"/>
    </xf>
    <xf numFmtId="0" fontId="39" fillId="0" borderId="0" xfId="318" applyFont="1" applyAlignment="1" applyProtection="1">
      <alignment horizontal="center"/>
      <protection locked="0"/>
    </xf>
    <xf numFmtId="0" fontId="39" fillId="0" borderId="0" xfId="318" applyFont="1" applyProtection="1">
      <protection locked="0"/>
    </xf>
    <xf numFmtId="3" fontId="39" fillId="0" borderId="0" xfId="318" applyNumberFormat="1" applyFont="1"/>
    <xf numFmtId="0" fontId="41" fillId="0" borderId="0" xfId="318" applyFont="1" applyAlignment="1" applyProtection="1">
      <alignment horizontal="center"/>
      <protection locked="0"/>
    </xf>
    <xf numFmtId="0" fontId="39" fillId="0" borderId="13" xfId="318" applyFont="1" applyBorder="1" applyAlignment="1" applyProtection="1">
      <alignment horizontal="center"/>
      <protection locked="0"/>
    </xf>
    <xf numFmtId="0" fontId="42" fillId="0" borderId="0" xfId="318" quotePrefix="1" applyFont="1" applyAlignment="1">
      <alignment horizontal="left"/>
    </xf>
    <xf numFmtId="0" fontId="42" fillId="0" borderId="0" xfId="318" applyFont="1" applyAlignment="1">
      <alignment horizontal="left"/>
    </xf>
    <xf numFmtId="0" fontId="10" fillId="0" borderId="0" xfId="318" quotePrefix="1" applyFont="1" applyAlignment="1">
      <alignment horizontal="left"/>
    </xf>
    <xf numFmtId="0" fontId="10" fillId="0" borderId="0" xfId="318" quotePrefix="1" applyFont="1" applyAlignment="1">
      <alignment horizontal="left" indent="1"/>
    </xf>
    <xf numFmtId="0" fontId="10" fillId="0" borderId="0" xfId="318" quotePrefix="1" applyFont="1" applyAlignment="1" applyProtection="1">
      <alignment horizontal="left"/>
      <protection locked="0"/>
    </xf>
    <xf numFmtId="175" fontId="10" fillId="0" borderId="0" xfId="154" applyNumberFormat="1" applyFont="1" applyFill="1" applyAlignment="1"/>
    <xf numFmtId="0" fontId="35" fillId="0" borderId="0" xfId="318" applyFont="1"/>
    <xf numFmtId="3" fontId="33" fillId="0" borderId="0" xfId="318" applyNumberFormat="1" applyFont="1" applyAlignment="1">
      <alignment horizontal="right"/>
    </xf>
    <xf numFmtId="3" fontId="43" fillId="0" borderId="0" xfId="318" applyNumberFormat="1" applyFont="1" applyAlignment="1">
      <alignment horizontal="right"/>
    </xf>
    <xf numFmtId="168" fontId="10" fillId="0" borderId="0" xfId="318" applyNumberFormat="1" applyFont="1"/>
    <xf numFmtId="168" fontId="10" fillId="0" borderId="0" xfId="318" applyNumberFormat="1" applyFont="1" applyAlignment="1">
      <alignment horizontal="center"/>
    </xf>
    <xf numFmtId="3" fontId="42" fillId="0" borderId="0" xfId="318" quotePrefix="1" applyNumberFormat="1" applyFont="1" applyAlignment="1">
      <alignment horizontal="right"/>
    </xf>
    <xf numFmtId="3" fontId="34" fillId="0" borderId="0" xfId="318" applyNumberFormat="1" applyFont="1"/>
    <xf numFmtId="3" fontId="42" fillId="0" borderId="0" xfId="318" applyNumberFormat="1" applyFont="1" applyAlignment="1">
      <alignment horizontal="right"/>
    </xf>
    <xf numFmtId="3" fontId="43" fillId="0" borderId="0" xfId="318" applyNumberFormat="1" applyFont="1"/>
    <xf numFmtId="42" fontId="10" fillId="0" borderId="0" xfId="318" applyNumberFormat="1" applyFont="1"/>
    <xf numFmtId="42" fontId="10" fillId="0" borderId="0" xfId="318" applyNumberFormat="1" applyFont="1" applyAlignment="1" applyProtection="1">
      <alignment horizontal="right"/>
      <protection locked="0"/>
    </xf>
    <xf numFmtId="3" fontId="42" fillId="0" borderId="0" xfId="318" applyNumberFormat="1" applyFont="1"/>
    <xf numFmtId="175" fontId="10" fillId="0" borderId="0" xfId="154" applyNumberFormat="1" applyFont="1" applyFill="1" applyBorder="1" applyAlignment="1"/>
    <xf numFmtId="0" fontId="0" fillId="0" borderId="0" xfId="0" applyNumberFormat="1"/>
    <xf numFmtId="0" fontId="0" fillId="0" borderId="0" xfId="318" applyFont="1"/>
    <xf numFmtId="165" fontId="10" fillId="0" borderId="0" xfId="318" applyNumberFormat="1" applyFont="1"/>
    <xf numFmtId="175" fontId="46" fillId="0" borderId="0" xfId="154" applyNumberFormat="1" applyFont="1" applyFill="1" applyBorder="1"/>
    <xf numFmtId="0" fontId="51" fillId="0" borderId="29" xfId="318" applyFont="1" applyBorder="1"/>
    <xf numFmtId="175" fontId="10" fillId="0" borderId="0" xfId="154" applyNumberFormat="1" applyFont="1" applyFill="1" applyBorder="1"/>
    <xf numFmtId="42" fontId="23" fillId="0" borderId="0" xfId="318" applyNumberFormat="1"/>
    <xf numFmtId="42" fontId="10" fillId="0" borderId="0" xfId="318" applyNumberFormat="1" applyFont="1" applyProtection="1">
      <protection locked="0"/>
    </xf>
    <xf numFmtId="175" fontId="23" fillId="0" borderId="0" xfId="154" applyNumberFormat="1" applyFont="1" applyAlignment="1"/>
    <xf numFmtId="175" fontId="23" fillId="0" borderId="13" xfId="154" applyNumberFormat="1" applyFont="1" applyBorder="1" applyAlignment="1"/>
    <xf numFmtId="0" fontId="3" fillId="0" borderId="0" xfId="304"/>
    <xf numFmtId="0" fontId="11" fillId="0" borderId="0" xfId="304" applyFont="1"/>
    <xf numFmtId="173" fontId="10" fillId="0" borderId="0" xfId="318" applyNumberFormat="1" applyFont="1"/>
    <xf numFmtId="3" fontId="10" fillId="0" borderId="0" xfId="318" applyNumberFormat="1" applyFont="1" applyAlignment="1">
      <alignment horizontal="left"/>
    </xf>
    <xf numFmtId="175" fontId="10" fillId="0" borderId="0" xfId="154" quotePrefix="1" applyNumberFormat="1" applyFont="1" applyFill="1" applyBorder="1" applyAlignment="1"/>
    <xf numFmtId="175" fontId="10" fillId="0" borderId="0" xfId="154" quotePrefix="1" applyNumberFormat="1" applyFont="1" applyFill="1" applyBorder="1" applyAlignment="1" applyProtection="1">
      <protection locked="0"/>
    </xf>
    <xf numFmtId="173" fontId="10" fillId="0" borderId="0" xfId="318" applyNumberFormat="1" applyFont="1" applyProtection="1">
      <protection locked="0"/>
    </xf>
    <xf numFmtId="175" fontId="10" fillId="0" borderId="0" xfId="154" quotePrefix="1" applyNumberFormat="1" applyFont="1" applyFill="1" applyBorder="1" applyProtection="1">
      <protection locked="0"/>
    </xf>
    <xf numFmtId="175" fontId="23" fillId="0" borderId="0" xfId="318" applyNumberFormat="1"/>
    <xf numFmtId="173" fontId="23" fillId="0" borderId="0" xfId="318" applyNumberFormat="1"/>
    <xf numFmtId="175" fontId="10" fillId="0" borderId="0" xfId="154" applyNumberFormat="1" applyFont="1"/>
    <xf numFmtId="175" fontId="10" fillId="0" borderId="0" xfId="154" applyNumberFormat="1" applyFont="1" applyAlignment="1"/>
    <xf numFmtId="175" fontId="10" fillId="0" borderId="30" xfId="154" applyNumberFormat="1" applyFont="1" applyBorder="1" applyAlignment="1"/>
    <xf numFmtId="175" fontId="10" fillId="0" borderId="0" xfId="154" applyNumberFormat="1" applyFont="1" applyAlignment="1" applyProtection="1">
      <protection locked="0"/>
    </xf>
    <xf numFmtId="175" fontId="10" fillId="0" borderId="0" xfId="154" applyNumberFormat="1" applyFont="1" applyAlignment="1" applyProtection="1">
      <alignment horizontal="right"/>
      <protection locked="0"/>
    </xf>
    <xf numFmtId="175" fontId="10" fillId="0" borderId="0" xfId="154" applyNumberFormat="1" applyFont="1" applyAlignment="1">
      <alignment horizontal="right"/>
    </xf>
    <xf numFmtId="175" fontId="10" fillId="0" borderId="0" xfId="154" applyNumberFormat="1" applyFont="1" applyProtection="1">
      <protection locked="0"/>
    </xf>
    <xf numFmtId="175" fontId="10" fillId="0" borderId="0" xfId="154" applyNumberFormat="1" applyFont="1" applyAlignment="1">
      <alignment horizontal="center"/>
    </xf>
    <xf numFmtId="175" fontId="23" fillId="0" borderId="0" xfId="154" applyNumberFormat="1" applyFont="1" applyProtection="1">
      <protection locked="0"/>
    </xf>
    <xf numFmtId="175" fontId="5" fillId="0" borderId="0" xfId="154" applyNumberFormat="1" applyFont="1" applyAlignment="1" applyProtection="1">
      <alignment horizontal="center"/>
      <protection locked="0"/>
    </xf>
    <xf numFmtId="175" fontId="32" fillId="0" borderId="0" xfId="154" applyNumberFormat="1" applyFont="1" applyAlignment="1" applyProtection="1">
      <alignment horizontal="center"/>
      <protection locked="0"/>
    </xf>
    <xf numFmtId="175" fontId="10" fillId="0" borderId="0" xfId="154" applyNumberFormat="1" applyFont="1" applyFill="1" applyAlignment="1">
      <alignment horizontal="right"/>
    </xf>
    <xf numFmtId="175" fontId="10" fillId="21" borderId="0" xfId="154" applyNumberFormat="1" applyFont="1" applyFill="1" applyAlignment="1"/>
    <xf numFmtId="0" fontId="28" fillId="0" borderId="31" xfId="304" applyFont="1" applyBorder="1" applyAlignment="1">
      <alignment horizontal="center"/>
    </xf>
    <xf numFmtId="175" fontId="3" fillId="0" borderId="0" xfId="304" applyNumberFormat="1"/>
    <xf numFmtId="9" fontId="11" fillId="0" borderId="0" xfId="304" applyNumberFormat="1" applyFont="1"/>
    <xf numFmtId="0" fontId="46" fillId="0" borderId="0" xfId="304" applyFont="1"/>
    <xf numFmtId="175" fontId="46" fillId="0" borderId="0" xfId="172" applyNumberFormat="1" applyFont="1" applyAlignment="1"/>
    <xf numFmtId="0" fontId="50" fillId="0" borderId="0" xfId="304" applyFont="1"/>
    <xf numFmtId="0" fontId="3" fillId="0" borderId="0" xfId="304" applyAlignment="1">
      <alignment horizontal="center"/>
    </xf>
    <xf numFmtId="175" fontId="46" fillId="0" borderId="0" xfId="172" applyNumberFormat="1" applyFont="1" applyFill="1" applyAlignment="1"/>
    <xf numFmtId="175" fontId="46" fillId="21" borderId="0" xfId="172" applyNumberFormat="1" applyFont="1" applyFill="1" applyAlignment="1"/>
    <xf numFmtId="175" fontId="46" fillId="0" borderId="0" xfId="172" applyNumberFormat="1" applyFont="1" applyFill="1" applyBorder="1" applyAlignment="1"/>
    <xf numFmtId="175" fontId="3" fillId="0" borderId="0" xfId="172" applyNumberFormat="1" applyFill="1" applyAlignment="1"/>
    <xf numFmtId="175" fontId="3" fillId="0" borderId="0" xfId="172" applyNumberFormat="1" applyAlignment="1"/>
    <xf numFmtId="0" fontId="45" fillId="0" borderId="0" xfId="304" applyFont="1"/>
    <xf numFmtId="175" fontId="46" fillId="0" borderId="0" xfId="172" applyNumberFormat="1" applyFont="1" applyFill="1" applyBorder="1" applyAlignment="1">
      <alignment wrapText="1"/>
    </xf>
    <xf numFmtId="0" fontId="3" fillId="0" borderId="0" xfId="0" applyNumberFormat="1" applyFont="1"/>
    <xf numFmtId="175" fontId="3" fillId="0" borderId="0" xfId="172" applyNumberFormat="1" applyFont="1" applyFill="1" applyBorder="1"/>
    <xf numFmtId="0" fontId="3" fillId="0" borderId="32" xfId="304" applyBorder="1"/>
    <xf numFmtId="0" fontId="3" fillId="0" borderId="13" xfId="304" applyBorder="1"/>
    <xf numFmtId="0" fontId="3" fillId="0" borderId="33" xfId="304" applyBorder="1" applyAlignment="1">
      <alignment horizontal="center"/>
    </xf>
    <xf numFmtId="0" fontId="3" fillId="0" borderId="29" xfId="304" applyBorder="1"/>
    <xf numFmtId="0" fontId="3" fillId="0" borderId="0" xfId="304" applyAlignment="1">
      <alignment horizontal="center" wrapText="1"/>
    </xf>
    <xf numFmtId="3" fontId="3" fillId="0" borderId="0" xfId="304" applyNumberFormat="1" applyAlignment="1">
      <alignment horizontal="center"/>
    </xf>
    <xf numFmtId="175" fontId="3" fillId="0" borderId="0" xfId="172" applyNumberFormat="1" applyFont="1" applyFill="1" applyBorder="1" applyAlignment="1">
      <alignment horizontal="right"/>
    </xf>
    <xf numFmtId="0" fontId="3" fillId="0" borderId="0" xfId="304" applyAlignment="1">
      <alignment horizontal="right"/>
    </xf>
    <xf numFmtId="0" fontId="49" fillId="0" borderId="0" xfId="304" applyFont="1" applyAlignment="1">
      <alignment horizontal="left"/>
    </xf>
    <xf numFmtId="0" fontId="3" fillId="0" borderId="33" xfId="304" applyBorder="1"/>
    <xf numFmtId="0" fontId="3" fillId="0" borderId="3" xfId="304" applyBorder="1" applyAlignment="1">
      <alignment horizontal="left"/>
    </xf>
    <xf numFmtId="175" fontId="3" fillId="21" borderId="0" xfId="172" applyNumberFormat="1" applyFont="1" applyFill="1" applyBorder="1" applyAlignment="1">
      <alignment horizontal="right"/>
    </xf>
    <xf numFmtId="0" fontId="3" fillId="0" borderId="0" xfId="304" applyAlignment="1">
      <alignment horizontal="left"/>
    </xf>
    <xf numFmtId="0" fontId="3" fillId="0" borderId="31" xfId="304" applyBorder="1" applyAlignment="1">
      <alignment horizontal="center"/>
    </xf>
    <xf numFmtId="175" fontId="3" fillId="0" borderId="0" xfId="172" applyNumberFormat="1" applyFont="1" applyFill="1" applyBorder="1" applyAlignment="1">
      <alignment horizontal="center"/>
    </xf>
    <xf numFmtId="0" fontId="49" fillId="56" borderId="34" xfId="304" applyFont="1" applyFill="1" applyBorder="1" applyAlignment="1">
      <alignment horizontal="center" wrapText="1"/>
    </xf>
    <xf numFmtId="175" fontId="28" fillId="0" borderId="0" xfId="172" applyNumberFormat="1" applyFont="1" applyBorder="1" applyAlignment="1"/>
    <xf numFmtId="175" fontId="3" fillId="0" borderId="0" xfId="172" applyNumberFormat="1" applyFont="1" applyBorder="1"/>
    <xf numFmtId="175" fontId="45" fillId="0" borderId="0" xfId="172" applyNumberFormat="1" applyFont="1" applyBorder="1" applyAlignment="1"/>
    <xf numFmtId="0" fontId="3" fillId="0" borderId="13" xfId="304" applyBorder="1" applyAlignment="1">
      <alignment horizontal="center"/>
    </xf>
    <xf numFmtId="0" fontId="3" fillId="0" borderId="29" xfId="304" applyBorder="1" applyAlignment="1">
      <alignment horizontal="center"/>
    </xf>
    <xf numFmtId="175" fontId="3" fillId="0" borderId="0" xfId="172" applyNumberFormat="1" applyFont="1" applyFill="1" applyBorder="1" applyAlignment="1">
      <alignment horizontal="left"/>
    </xf>
    <xf numFmtId="164" fontId="3" fillId="0" borderId="0" xfId="336" applyNumberFormat="1" applyFont="1" applyFill="1" applyBorder="1" applyAlignment="1"/>
    <xf numFmtId="0" fontId="28" fillId="0" borderId="0" xfId="304" applyFont="1" applyAlignment="1">
      <alignment horizontal="center"/>
    </xf>
    <xf numFmtId="3" fontId="3" fillId="0" borderId="0" xfId="304" applyNumberFormat="1"/>
    <xf numFmtId="3" fontId="51" fillId="0" borderId="0" xfId="304" applyNumberFormat="1" applyFont="1" applyAlignment="1">
      <alignment horizontal="center"/>
    </xf>
    <xf numFmtId="0" fontId="28" fillId="0" borderId="0" xfId="304" applyFont="1"/>
    <xf numFmtId="0" fontId="28" fillId="0" borderId="0" xfId="304" applyFont="1" applyAlignment="1">
      <alignment horizontal="left"/>
    </xf>
    <xf numFmtId="0" fontId="3" fillId="56" borderId="34" xfId="304" applyFill="1" applyBorder="1"/>
    <xf numFmtId="0" fontId="49" fillId="56" borderId="35" xfId="304" applyFont="1" applyFill="1" applyBorder="1" applyAlignment="1">
      <alignment horizontal="left"/>
    </xf>
    <xf numFmtId="0" fontId="46" fillId="0" borderId="13" xfId="304" applyFont="1" applyBorder="1"/>
    <xf numFmtId="0" fontId="52" fillId="0" borderId="0" xfId="304" applyFont="1" applyAlignment="1">
      <alignment horizontal="center" wrapText="1"/>
    </xf>
    <xf numFmtId="0" fontId="49" fillId="56" borderId="35" xfId="304" applyFont="1" applyFill="1" applyBorder="1" applyAlignment="1">
      <alignment horizontal="center" wrapText="1"/>
    </xf>
    <xf numFmtId="0" fontId="49" fillId="0" borderId="0" xfId="304" applyFont="1"/>
    <xf numFmtId="0" fontId="51" fillId="0" borderId="0" xfId="304" applyFont="1" applyAlignment="1">
      <alignment horizontal="center"/>
    </xf>
    <xf numFmtId="0" fontId="49" fillId="0" borderId="13" xfId="304" applyFont="1" applyBorder="1"/>
    <xf numFmtId="0" fontId="3" fillId="0" borderId="31" xfId="304" applyBorder="1"/>
    <xf numFmtId="3" fontId="28" fillId="0" borderId="0" xfId="304" applyNumberFormat="1" applyFont="1"/>
    <xf numFmtId="3" fontId="28" fillId="0" borderId="0" xfId="304" applyNumberFormat="1" applyFont="1" applyAlignment="1">
      <alignment horizontal="center"/>
    </xf>
    <xf numFmtId="0" fontId="51" fillId="0" borderId="13" xfId="304" applyFont="1" applyBorder="1" applyAlignment="1">
      <alignment horizontal="center"/>
    </xf>
    <xf numFmtId="42" fontId="3" fillId="0" borderId="0" xfId="304" applyNumberFormat="1"/>
    <xf numFmtId="171" fontId="3" fillId="0" borderId="32" xfId="333" applyNumberFormat="1" applyFont="1" applyFill="1" applyBorder="1" applyAlignment="1">
      <alignment horizontal="center"/>
    </xf>
    <xf numFmtId="0" fontId="3" fillId="0" borderId="32" xfId="304" applyBorder="1" applyAlignment="1">
      <alignment horizontal="left"/>
    </xf>
    <xf numFmtId="174" fontId="3" fillId="0" borderId="13" xfId="304" applyNumberFormat="1" applyBorder="1"/>
    <xf numFmtId="0" fontId="28" fillId="0" borderId="29" xfId="304" applyFont="1" applyBorder="1" applyAlignment="1">
      <alignment horizontal="center"/>
    </xf>
    <xf numFmtId="3" fontId="3" fillId="0" borderId="29" xfId="304" applyNumberFormat="1" applyBorder="1"/>
    <xf numFmtId="164" fontId="28" fillId="0" borderId="0" xfId="304" applyNumberFormat="1" applyFont="1" applyAlignment="1">
      <alignment horizontal="left"/>
    </xf>
    <xf numFmtId="0" fontId="3" fillId="0" borderId="0" xfId="304" applyAlignment="1">
      <alignment horizontal="left" indent="1"/>
    </xf>
    <xf numFmtId="0" fontId="3" fillId="0" borderId="13" xfId="304" applyBorder="1" applyAlignment="1">
      <alignment horizontal="left"/>
    </xf>
    <xf numFmtId="0" fontId="51" fillId="0" borderId="0" xfId="304" applyFont="1"/>
    <xf numFmtId="175" fontId="28" fillId="0" borderId="13" xfId="172" applyNumberFormat="1" applyFont="1" applyFill="1" applyBorder="1"/>
    <xf numFmtId="0" fontId="49" fillId="0" borderId="0" xfId="304" applyFont="1" applyAlignment="1">
      <alignment horizontal="center" wrapText="1"/>
    </xf>
    <xf numFmtId="175" fontId="28" fillId="0" borderId="0" xfId="172" applyNumberFormat="1" applyFont="1" applyFill="1" applyBorder="1"/>
    <xf numFmtId="0" fontId="3" fillId="0" borderId="0" xfId="304" applyAlignment="1">
      <alignment horizontal="left" wrapText="1"/>
    </xf>
    <xf numFmtId="0" fontId="49" fillId="0" borderId="0" xfId="304" applyFont="1" applyAlignment="1">
      <alignment horizontal="center"/>
    </xf>
    <xf numFmtId="175" fontId="3" fillId="0" borderId="13" xfId="172" applyNumberFormat="1" applyFont="1" applyFill="1" applyBorder="1" applyAlignment="1">
      <alignment horizontal="center"/>
    </xf>
    <xf numFmtId="3" fontId="3" fillId="0" borderId="0" xfId="318" applyNumberFormat="1" applyFont="1" applyAlignment="1">
      <alignment horizontal="right"/>
    </xf>
    <xf numFmtId="3" fontId="3" fillId="0" borderId="0" xfId="318" applyNumberFormat="1" applyFont="1"/>
    <xf numFmtId="165" fontId="3" fillId="0" borderId="0" xfId="318" applyNumberFormat="1" applyFont="1"/>
    <xf numFmtId="3" fontId="3" fillId="0" borderId="31" xfId="318" applyNumberFormat="1" applyFont="1" applyBorder="1"/>
    <xf numFmtId="0" fontId="3" fillId="0" borderId="0" xfId="318" applyFont="1"/>
    <xf numFmtId="0" fontId="3" fillId="0" borderId="31" xfId="318" applyFont="1" applyBorder="1" applyAlignment="1" applyProtection="1">
      <alignment horizontal="center"/>
      <protection locked="0"/>
    </xf>
    <xf numFmtId="0" fontId="49" fillId="0" borderId="34" xfId="304" applyFont="1" applyBorder="1" applyAlignment="1">
      <alignment horizontal="center" wrapText="1"/>
    </xf>
    <xf numFmtId="175" fontId="28" fillId="0" borderId="34" xfId="172" applyNumberFormat="1" applyFont="1" applyFill="1" applyBorder="1"/>
    <xf numFmtId="175" fontId="3" fillId="0" borderId="34" xfId="172" applyNumberFormat="1" applyFont="1" applyFill="1" applyBorder="1" applyAlignment="1">
      <alignment horizontal="center"/>
    </xf>
    <xf numFmtId="175" fontId="3" fillId="0" borderId="35" xfId="172" applyNumberFormat="1" applyFont="1" applyFill="1" applyBorder="1"/>
    <xf numFmtId="0" fontId="3" fillId="0" borderId="34" xfId="304" applyBorder="1" applyAlignment="1">
      <alignment horizontal="center"/>
    </xf>
    <xf numFmtId="0" fontId="51" fillId="0" borderId="34" xfId="304" applyFont="1" applyBorder="1"/>
    <xf numFmtId="0" fontId="28" fillId="0" borderId="34" xfId="304" applyFont="1" applyBorder="1" applyAlignment="1">
      <alignment horizontal="left"/>
    </xf>
    <xf numFmtId="0" fontId="49" fillId="56" borderId="12" xfId="304" applyFont="1" applyFill="1" applyBorder="1" applyAlignment="1">
      <alignment horizontal="center" wrapText="1"/>
    </xf>
    <xf numFmtId="175" fontId="3" fillId="0" borderId="0" xfId="172" applyNumberFormat="1" applyFont="1" applyBorder="1" applyAlignment="1"/>
    <xf numFmtId="0" fontId="10" fillId="21" borderId="0" xfId="318" quotePrefix="1" applyFont="1" applyFill="1" applyAlignment="1" applyProtection="1">
      <alignment horizontal="right"/>
      <protection locked="0"/>
    </xf>
    <xf numFmtId="0" fontId="10" fillId="21" borderId="0" xfId="318" applyFont="1" applyFill="1"/>
    <xf numFmtId="0" fontId="23" fillId="21" borderId="0" xfId="318" applyFill="1"/>
    <xf numFmtId="174" fontId="5" fillId="0" borderId="0" xfId="0" applyFont="1" applyAlignment="1">
      <alignment horizontal="center"/>
    </xf>
    <xf numFmtId="174" fontId="59" fillId="0" borderId="0" xfId="0" applyFont="1"/>
    <xf numFmtId="175" fontId="0" fillId="0" borderId="0" xfId="0" applyNumberFormat="1"/>
    <xf numFmtId="174" fontId="60" fillId="0" borderId="0" xfId="0" applyFont="1" applyProtection="1">
      <protection locked="0"/>
    </xf>
    <xf numFmtId="180" fontId="0" fillId="0" borderId="0" xfId="0" applyNumberFormat="1"/>
    <xf numFmtId="176" fontId="0" fillId="0" borderId="0" xfId="191" applyNumberFormat="1" applyFont="1"/>
    <xf numFmtId="176" fontId="0" fillId="0" borderId="0" xfId="0" applyNumberFormat="1"/>
    <xf numFmtId="0" fontId="48" fillId="0" borderId="0" xfId="304" applyFont="1"/>
    <xf numFmtId="0" fontId="44" fillId="0" borderId="0" xfId="304" applyFont="1"/>
    <xf numFmtId="174" fontId="10" fillId="0" borderId="0" xfId="0" applyFont="1"/>
    <xf numFmtId="174" fontId="5" fillId="0" borderId="0" xfId="0" applyFont="1" applyAlignment="1" applyProtection="1">
      <alignment horizontal="center"/>
      <protection locked="0"/>
    </xf>
    <xf numFmtId="174" fontId="10" fillId="0" borderId="0" xfId="0" applyFont="1" applyProtection="1">
      <protection locked="0"/>
    </xf>
    <xf numFmtId="174" fontId="0" fillId="0" borderId="0" xfId="0" applyProtection="1">
      <protection locked="0"/>
    </xf>
    <xf numFmtId="174" fontId="62" fillId="0" borderId="0" xfId="0" applyFont="1" applyProtection="1">
      <protection locked="0"/>
    </xf>
    <xf numFmtId="174" fontId="46" fillId="0" borderId="0" xfId="0" applyFont="1" applyProtection="1">
      <protection locked="0"/>
    </xf>
    <xf numFmtId="174" fontId="46" fillId="0" borderId="0" xfId="0" applyFont="1" applyAlignment="1" applyProtection="1">
      <alignment horizontal="center"/>
      <protection locked="0"/>
    </xf>
    <xf numFmtId="175" fontId="46" fillId="0" borderId="0" xfId="0" applyNumberFormat="1" applyFont="1" applyProtection="1">
      <protection locked="0"/>
    </xf>
    <xf numFmtId="174" fontId="45" fillId="0" borderId="0" xfId="0" applyFont="1" applyAlignment="1" applyProtection="1">
      <alignment horizontal="center"/>
      <protection locked="0"/>
    </xf>
    <xf numFmtId="175" fontId="46" fillId="0" borderId="13" xfId="0" applyNumberFormat="1" applyFont="1" applyBorder="1" applyProtection="1">
      <protection locked="0"/>
    </xf>
    <xf numFmtId="174" fontId="46" fillId="0" borderId="13" xfId="0" applyFont="1" applyBorder="1" applyAlignment="1" applyProtection="1">
      <alignment horizontal="center"/>
      <protection locked="0"/>
    </xf>
    <xf numFmtId="174" fontId="10" fillId="0" borderId="13" xfId="0" applyFont="1" applyBorder="1" applyProtection="1">
      <protection locked="0"/>
    </xf>
    <xf numFmtId="0" fontId="45" fillId="0" borderId="0" xfId="0" applyNumberFormat="1" applyFont="1" applyAlignment="1" applyProtection="1">
      <alignment horizontal="left"/>
      <protection locked="0"/>
    </xf>
    <xf numFmtId="174" fontId="45" fillId="0" borderId="0" xfId="0" applyFont="1" applyAlignment="1" applyProtection="1">
      <alignment horizontal="center" wrapText="1"/>
      <protection locked="0"/>
    </xf>
    <xf numFmtId="175" fontId="45" fillId="0" borderId="0" xfId="0" applyNumberFormat="1" applyFont="1" applyAlignment="1" applyProtection="1">
      <alignment horizontal="center" wrapText="1"/>
      <protection locked="0"/>
    </xf>
    <xf numFmtId="175" fontId="45" fillId="0" borderId="0" xfId="0" applyNumberFormat="1" applyFont="1" applyAlignment="1" applyProtection="1">
      <alignment horizontal="center"/>
      <protection locked="0"/>
    </xf>
    <xf numFmtId="180" fontId="46" fillId="0" borderId="0" xfId="333" applyNumberFormat="1" applyFont="1" applyFill="1" applyProtection="1">
      <protection locked="0"/>
    </xf>
    <xf numFmtId="175" fontId="46" fillId="0" borderId="0" xfId="0" applyNumberFormat="1" applyFont="1" applyAlignment="1" applyProtection="1">
      <alignment horizontal="center"/>
      <protection locked="0"/>
    </xf>
    <xf numFmtId="175" fontId="46" fillId="0" borderId="3" xfId="154" applyNumberFormat="1" applyFont="1" applyFill="1" applyBorder="1" applyProtection="1">
      <protection locked="0"/>
    </xf>
    <xf numFmtId="175" fontId="46" fillId="0" borderId="0" xfId="154" applyNumberFormat="1" applyFont="1" applyFill="1" applyBorder="1" applyProtection="1">
      <protection locked="0"/>
    </xf>
    <xf numFmtId="174" fontId="63" fillId="0" borderId="36" xfId="0" applyFont="1" applyBorder="1" applyAlignment="1" applyProtection="1">
      <alignment horizontal="left"/>
      <protection locked="0"/>
    </xf>
    <xf numFmtId="174" fontId="53" fillId="0" borderId="5" xfId="0" applyFont="1" applyBorder="1" applyAlignment="1" applyProtection="1">
      <alignment horizontal="center"/>
      <protection locked="0"/>
    </xf>
    <xf numFmtId="174" fontId="46" fillId="0" borderId="5" xfId="0" applyFont="1" applyBorder="1" applyAlignment="1" applyProtection="1">
      <alignment horizontal="center"/>
      <protection locked="0"/>
    </xf>
    <xf numFmtId="174" fontId="10" fillId="0" borderId="5" xfId="0" applyFont="1" applyBorder="1" applyProtection="1">
      <protection locked="0"/>
    </xf>
    <xf numFmtId="174" fontId="45" fillId="0" borderId="5" xfId="0" applyFont="1" applyBorder="1" applyAlignment="1" applyProtection="1">
      <alignment horizontal="center"/>
      <protection locked="0"/>
    </xf>
    <xf numFmtId="174" fontId="46" fillId="0" borderId="37" xfId="0" applyFont="1" applyBorder="1" applyAlignment="1" applyProtection="1">
      <alignment horizontal="center"/>
      <protection locked="0"/>
    </xf>
    <xf numFmtId="0" fontId="45" fillId="0" borderId="27" xfId="0" applyNumberFormat="1" applyFont="1" applyBorder="1" applyAlignment="1" applyProtection="1">
      <alignment horizontal="left"/>
      <protection locked="0"/>
    </xf>
    <xf numFmtId="174" fontId="53" fillId="0" borderId="0" xfId="0" applyFont="1" applyAlignment="1" applyProtection="1">
      <alignment horizontal="center"/>
      <protection locked="0"/>
    </xf>
    <xf numFmtId="174" fontId="46" fillId="0" borderId="38" xfId="0" applyFont="1" applyBorder="1" applyAlignment="1" applyProtection="1">
      <alignment horizontal="center"/>
      <protection locked="0"/>
    </xf>
    <xf numFmtId="174" fontId="63" fillId="0" borderId="27" xfId="0" applyFont="1" applyBorder="1" applyAlignment="1" applyProtection="1">
      <alignment horizontal="left"/>
      <protection locked="0"/>
    </xf>
    <xf numFmtId="174" fontId="46" fillId="0" borderId="27" xfId="0" applyFont="1" applyBorder="1" applyProtection="1">
      <protection locked="0"/>
    </xf>
    <xf numFmtId="180" fontId="46" fillId="0" borderId="0" xfId="0" applyNumberFormat="1" applyFont="1" applyProtection="1">
      <protection locked="0"/>
    </xf>
    <xf numFmtId="175" fontId="46" fillId="0" borderId="38" xfId="154" applyNumberFormat="1" applyFont="1" applyFill="1" applyBorder="1" applyProtection="1">
      <protection locked="0"/>
    </xf>
    <xf numFmtId="174" fontId="46" fillId="0" borderId="0" xfId="0" applyFont="1"/>
    <xf numFmtId="175" fontId="45" fillId="0" borderId="38" xfId="154" applyNumberFormat="1" applyFont="1" applyFill="1" applyBorder="1" applyProtection="1">
      <protection locked="0"/>
    </xf>
    <xf numFmtId="175" fontId="45" fillId="0" borderId="0" xfId="154" applyNumberFormat="1" applyFont="1" applyFill="1" applyBorder="1" applyAlignment="1" applyProtection="1">
      <alignment horizontal="center"/>
      <protection locked="0"/>
    </xf>
    <xf numFmtId="174" fontId="53" fillId="0" borderId="27" xfId="0" applyFont="1" applyBorder="1" applyProtection="1">
      <protection locked="0"/>
    </xf>
    <xf numFmtId="174" fontId="53" fillId="0" borderId="0" xfId="0" applyFont="1" applyProtection="1">
      <protection locked="0"/>
    </xf>
    <xf numFmtId="175" fontId="45" fillId="0" borderId="0" xfId="0" applyNumberFormat="1" applyFont="1" applyProtection="1">
      <protection locked="0"/>
    </xf>
    <xf numFmtId="174" fontId="10" fillId="0" borderId="27" xfId="0" applyFont="1" applyBorder="1"/>
    <xf numFmtId="174" fontId="10" fillId="0" borderId="38" xfId="0" applyFont="1" applyBorder="1"/>
    <xf numFmtId="176" fontId="10" fillId="0" borderId="0" xfId="191" applyNumberFormat="1" applyFont="1" applyFill="1" applyBorder="1"/>
    <xf numFmtId="174" fontId="46" fillId="0" borderId="39" xfId="0" applyFont="1" applyBorder="1" applyProtection="1">
      <protection locked="0"/>
    </xf>
    <xf numFmtId="174" fontId="46" fillId="0" borderId="3" xfId="0" applyFont="1" applyBorder="1" applyProtection="1">
      <protection locked="0"/>
    </xf>
    <xf numFmtId="174" fontId="10" fillId="0" borderId="3" xfId="0" applyFont="1" applyBorder="1"/>
    <xf numFmtId="176" fontId="10" fillId="0" borderId="3" xfId="191" applyNumberFormat="1" applyFont="1" applyFill="1" applyBorder="1"/>
    <xf numFmtId="174" fontId="10" fillId="0" borderId="40" xfId="0" applyFont="1" applyBorder="1"/>
    <xf numFmtId="174" fontId="0" fillId="0" borderId="29" xfId="0" applyBorder="1" applyProtection="1">
      <protection locked="0"/>
    </xf>
    <xf numFmtId="174" fontId="62" fillId="0" borderId="0" xfId="0" applyFont="1" applyAlignment="1" applyProtection="1">
      <alignment horizontal="center"/>
      <protection locked="0"/>
    </xf>
    <xf numFmtId="174" fontId="62" fillId="0" borderId="0" xfId="0" applyFont="1" applyAlignment="1" applyProtection="1">
      <alignment horizontal="center" wrapText="1"/>
      <protection locked="0"/>
    </xf>
    <xf numFmtId="164" fontId="0" fillId="0" borderId="0" xfId="0" applyNumberFormat="1" applyProtection="1">
      <protection locked="0"/>
    </xf>
    <xf numFmtId="174" fontId="46" fillId="0" borderId="31" xfId="0" applyFont="1" applyBorder="1" applyAlignment="1" applyProtection="1">
      <alignment horizontal="left"/>
      <protection locked="0"/>
    </xf>
    <xf numFmtId="174" fontId="46" fillId="0" borderId="0" xfId="0" applyFont="1" applyAlignment="1" applyProtection="1">
      <alignment horizontal="left"/>
      <protection locked="0"/>
    </xf>
    <xf numFmtId="174" fontId="46" fillId="0" borderId="29" xfId="0" applyFont="1" applyBorder="1" applyProtection="1">
      <protection locked="0"/>
    </xf>
    <xf numFmtId="175" fontId="46" fillId="0" borderId="31" xfId="0" applyNumberFormat="1" applyFont="1" applyBorder="1" applyProtection="1">
      <protection locked="0"/>
    </xf>
    <xf numFmtId="174" fontId="10" fillId="0" borderId="29" xfId="0" applyFont="1" applyBorder="1" applyProtection="1">
      <protection locked="0"/>
    </xf>
    <xf numFmtId="175" fontId="46" fillId="0" borderId="33" xfId="0" applyNumberFormat="1" applyFont="1" applyBorder="1" applyProtection="1">
      <protection locked="0"/>
    </xf>
    <xf numFmtId="174" fontId="10" fillId="0" borderId="32" xfId="0" applyFont="1" applyBorder="1" applyProtection="1">
      <protection locked="0"/>
    </xf>
    <xf numFmtId="174" fontId="8" fillId="0" borderId="0" xfId="0" applyFont="1" applyAlignment="1" applyProtection="1">
      <alignment horizontal="left"/>
      <protection locked="0"/>
    </xf>
    <xf numFmtId="174" fontId="65" fillId="0" borderId="31" xfId="0" applyFont="1" applyBorder="1" applyProtection="1">
      <protection locked="0"/>
    </xf>
    <xf numFmtId="174" fontId="65" fillId="0" borderId="31" xfId="0" applyFont="1" applyBorder="1"/>
    <xf numFmtId="43" fontId="3" fillId="0" borderId="0" xfId="154" applyFill="1"/>
    <xf numFmtId="0" fontId="28" fillId="0" borderId="0" xfId="304" applyFont="1" applyAlignment="1">
      <alignment horizontal="center" wrapText="1"/>
    </xf>
    <xf numFmtId="175" fontId="10" fillId="0" borderId="0" xfId="0" applyNumberFormat="1" applyFont="1" applyProtection="1">
      <protection locked="0"/>
    </xf>
    <xf numFmtId="174" fontId="46" fillId="0" borderId="41" xfId="0" applyFont="1" applyBorder="1" applyAlignment="1" applyProtection="1">
      <alignment horizontal="center" wrapText="1"/>
      <protection locked="0"/>
    </xf>
    <xf numFmtId="174" fontId="46" fillId="0" borderId="41" xfId="0" applyFont="1" applyBorder="1" applyProtection="1">
      <protection locked="0"/>
    </xf>
    <xf numFmtId="175" fontId="46" fillId="0" borderId="0" xfId="0" applyNumberFormat="1" applyFont="1" applyAlignment="1" applyProtection="1">
      <alignment horizontal="left"/>
      <protection locked="0"/>
    </xf>
    <xf numFmtId="175" fontId="46" fillId="0" borderId="0" xfId="154" applyNumberFormat="1" applyFont="1" applyFill="1" applyProtection="1">
      <protection locked="0"/>
    </xf>
    <xf numFmtId="175" fontId="45" fillId="0" borderId="0" xfId="154" applyNumberFormat="1" applyFont="1" applyFill="1" applyProtection="1">
      <protection locked="0"/>
    </xf>
    <xf numFmtId="175" fontId="45" fillId="0" borderId="0" xfId="154" applyNumberFormat="1" applyFont="1" applyFill="1" applyAlignment="1" applyProtection="1">
      <alignment horizontal="center"/>
      <protection locked="0"/>
    </xf>
    <xf numFmtId="0" fontId="5" fillId="0" borderId="0" xfId="304" applyFont="1"/>
    <xf numFmtId="0" fontId="27" fillId="0" borderId="0" xfId="304" applyFont="1"/>
    <xf numFmtId="43" fontId="11" fillId="0" borderId="0" xfId="304" applyNumberFormat="1" applyFont="1"/>
    <xf numFmtId="0" fontId="6" fillId="0" borderId="35" xfId="304" applyFont="1" applyBorder="1"/>
    <xf numFmtId="0" fontId="32" fillId="0" borderId="34" xfId="304" applyFont="1" applyBorder="1"/>
    <xf numFmtId="0" fontId="32" fillId="0" borderId="42" xfId="304" applyFont="1" applyBorder="1"/>
    <xf numFmtId="0" fontId="6" fillId="0" borderId="33" xfId="304" applyFont="1" applyBorder="1"/>
    <xf numFmtId="0" fontId="32" fillId="0" borderId="13" xfId="304" applyFont="1" applyBorder="1"/>
    <xf numFmtId="0" fontId="32" fillId="0" borderId="0" xfId="304" applyFont="1"/>
    <xf numFmtId="176" fontId="6" fillId="0" borderId="0" xfId="195" applyNumberFormat="1" applyFont="1" applyFill="1" applyBorder="1"/>
    <xf numFmtId="164" fontId="11" fillId="0" borderId="0" xfId="304" applyNumberFormat="1" applyFont="1"/>
    <xf numFmtId="180" fontId="58" fillId="0" borderId="0" xfId="333" applyNumberFormat="1" applyFont="1" applyFill="1" applyBorder="1"/>
    <xf numFmtId="0" fontId="6" fillId="0" borderId="31" xfId="304" applyFont="1" applyBorder="1"/>
    <xf numFmtId="9" fontId="6" fillId="0" borderId="29" xfId="333" applyFont="1" applyFill="1" applyBorder="1"/>
    <xf numFmtId="0" fontId="27" fillId="0" borderId="31" xfId="304" applyFont="1" applyBorder="1"/>
    <xf numFmtId="10" fontId="27" fillId="0" borderId="29" xfId="336" applyNumberFormat="1" applyFont="1" applyFill="1" applyBorder="1"/>
    <xf numFmtId="0" fontId="19" fillId="0" borderId="31" xfId="304" applyFont="1" applyBorder="1"/>
    <xf numFmtId="0" fontId="55" fillId="0" borderId="0" xfId="304" applyFont="1"/>
    <xf numFmtId="176" fontId="11" fillId="0" borderId="0" xfId="191" applyNumberFormat="1" applyFont="1" applyFill="1" applyBorder="1"/>
    <xf numFmtId="0" fontId="56" fillId="0" borderId="0" xfId="304" applyFont="1" applyAlignment="1">
      <alignment horizontal="center"/>
    </xf>
    <xf numFmtId="0" fontId="27" fillId="0" borderId="33" xfId="304" applyFont="1" applyBorder="1"/>
    <xf numFmtId="0" fontId="11" fillId="0" borderId="13" xfId="304" applyFont="1" applyBorder="1"/>
    <xf numFmtId="10" fontId="27" fillId="0" borderId="32" xfId="336" applyNumberFormat="1" applyFont="1" applyFill="1" applyBorder="1"/>
    <xf numFmtId="10" fontId="27" fillId="0" borderId="0" xfId="336" applyNumberFormat="1" applyFont="1" applyFill="1" applyBorder="1"/>
    <xf numFmtId="176" fontId="11" fillId="0" borderId="0" xfId="195" applyNumberFormat="1" applyFont="1" applyFill="1" applyBorder="1"/>
    <xf numFmtId="0" fontId="11" fillId="0" borderId="35" xfId="304" applyFont="1" applyBorder="1"/>
    <xf numFmtId="0" fontId="3" fillId="0" borderId="34" xfId="304" applyBorder="1"/>
    <xf numFmtId="0" fontId="11" fillId="0" borderId="34" xfId="304" applyFont="1" applyBorder="1"/>
    <xf numFmtId="176" fontId="11" fillId="0" borderId="42" xfId="195" applyNumberFormat="1" applyFont="1" applyFill="1" applyBorder="1"/>
    <xf numFmtId="176" fontId="11" fillId="0" borderId="29" xfId="195" applyNumberFormat="1" applyFont="1" applyFill="1" applyBorder="1"/>
    <xf numFmtId="0" fontId="11" fillId="0" borderId="31" xfId="304" applyFont="1" applyBorder="1"/>
    <xf numFmtId="175" fontId="11" fillId="0" borderId="0" xfId="172" applyNumberFormat="1" applyFont="1" applyFill="1" applyBorder="1"/>
    <xf numFmtId="175" fontId="27" fillId="0" borderId="43" xfId="172" applyNumberFormat="1" applyFont="1" applyFill="1" applyBorder="1"/>
    <xf numFmtId="0" fontId="11" fillId="0" borderId="44" xfId="304" applyFont="1" applyBorder="1"/>
    <xf numFmtId="175" fontId="11" fillId="0" borderId="3" xfId="172" applyNumberFormat="1" applyFont="1" applyFill="1" applyBorder="1"/>
    <xf numFmtId="0" fontId="11" fillId="0" borderId="3" xfId="304" applyFont="1" applyBorder="1"/>
    <xf numFmtId="175" fontId="11" fillId="0" borderId="45" xfId="172" applyNumberFormat="1" applyFont="1" applyFill="1" applyBorder="1"/>
    <xf numFmtId="175" fontId="11" fillId="0" borderId="34" xfId="172" applyNumberFormat="1" applyFont="1" applyFill="1" applyBorder="1"/>
    <xf numFmtId="175" fontId="11" fillId="0" borderId="42" xfId="172" applyNumberFormat="1" applyFont="1" applyFill="1" applyBorder="1"/>
    <xf numFmtId="164" fontId="11" fillId="0" borderId="0" xfId="333" applyNumberFormat="1" applyFont="1" applyFill="1" applyBorder="1"/>
    <xf numFmtId="175" fontId="11" fillId="0" borderId="13" xfId="172" applyNumberFormat="1" applyFont="1" applyFill="1" applyBorder="1"/>
    <xf numFmtId="182" fontId="11" fillId="0" borderId="0" xfId="304" applyNumberFormat="1" applyFont="1"/>
    <xf numFmtId="0" fontId="3" fillId="0" borderId="46" xfId="304" applyBorder="1"/>
    <xf numFmtId="0" fontId="28" fillId="0" borderId="6" xfId="304" applyFont="1" applyBorder="1"/>
    <xf numFmtId="0" fontId="28" fillId="0" borderId="33" xfId="304" applyFont="1" applyBorder="1"/>
    <xf numFmtId="10" fontId="3" fillId="0" borderId="47" xfId="304" applyNumberFormat="1" applyBorder="1"/>
    <xf numFmtId="0" fontId="3" fillId="0" borderId="35" xfId="304" applyBorder="1" applyAlignment="1">
      <alignment horizontal="center"/>
    </xf>
    <xf numFmtId="0" fontId="3" fillId="0" borderId="42" xfId="304" applyBorder="1" applyAlignment="1">
      <alignment horizontal="center"/>
    </xf>
    <xf numFmtId="0" fontId="28" fillId="0" borderId="29" xfId="304" applyFont="1" applyBorder="1" applyAlignment="1">
      <alignment horizontal="center" wrapText="1"/>
    </xf>
    <xf numFmtId="0" fontId="28" fillId="0" borderId="33" xfId="304" applyFont="1" applyBorder="1" applyAlignment="1">
      <alignment horizontal="center"/>
    </xf>
    <xf numFmtId="0" fontId="3" fillId="0" borderId="42" xfId="304" applyBorder="1"/>
    <xf numFmtId="175" fontId="0" fillId="0" borderId="0" xfId="172" applyNumberFormat="1" applyFont="1" applyFill="1" applyBorder="1"/>
    <xf numFmtId="175" fontId="0" fillId="0" borderId="0" xfId="154" applyNumberFormat="1" applyFont="1" applyFill="1" applyBorder="1"/>
    <xf numFmtId="175" fontId="0" fillId="0" borderId="29" xfId="172" applyNumberFormat="1" applyFont="1" applyFill="1" applyBorder="1"/>
    <xf numFmtId="175" fontId="0" fillId="0" borderId="13" xfId="172" applyNumberFormat="1" applyFont="1" applyFill="1" applyBorder="1"/>
    <xf numFmtId="175" fontId="0" fillId="0" borderId="13" xfId="154" applyNumberFormat="1" applyFont="1" applyFill="1" applyBorder="1"/>
    <xf numFmtId="175" fontId="0" fillId="0" borderId="32" xfId="172" applyNumberFormat="1" applyFont="1" applyFill="1" applyBorder="1"/>
    <xf numFmtId="175" fontId="23" fillId="0" borderId="0" xfId="154" applyNumberFormat="1" applyFont="1" applyFill="1" applyAlignment="1"/>
    <xf numFmtId="0" fontId="10" fillId="0" borderId="3" xfId="318" applyFont="1" applyBorder="1"/>
    <xf numFmtId="3" fontId="10" fillId="0" borderId="3" xfId="318" applyNumberFormat="1" applyFont="1" applyBorder="1"/>
    <xf numFmtId="175" fontId="10" fillId="0" borderId="3" xfId="154" applyNumberFormat="1" applyFont="1" applyFill="1" applyBorder="1" applyAlignment="1"/>
    <xf numFmtId="175" fontId="10" fillId="0" borderId="3" xfId="154" applyNumberFormat="1" applyFont="1" applyBorder="1" applyAlignment="1"/>
    <xf numFmtId="175" fontId="23" fillId="0" borderId="3" xfId="154" applyNumberFormat="1" applyFont="1" applyBorder="1" applyAlignment="1"/>
    <xf numFmtId="0" fontId="23" fillId="0" borderId="3" xfId="318" applyBorder="1"/>
    <xf numFmtId="10" fontId="10" fillId="0" borderId="3" xfId="318" applyNumberFormat="1" applyFont="1" applyBorder="1" applyAlignment="1">
      <alignment horizontal="left"/>
    </xf>
    <xf numFmtId="0" fontId="10" fillId="21" borderId="0" xfId="318" applyFont="1" applyFill="1" applyAlignment="1">
      <alignment horizontal="left"/>
    </xf>
    <xf numFmtId="3" fontId="0" fillId="0" borderId="0" xfId="318" applyNumberFormat="1" applyFont="1" applyAlignment="1">
      <alignment horizontal="right"/>
    </xf>
    <xf numFmtId="175" fontId="10" fillId="0" borderId="0" xfId="154" applyNumberFormat="1" applyFont="1" applyFill="1"/>
    <xf numFmtId="0" fontId="3" fillId="21" borderId="0" xfId="304" applyFill="1" applyAlignment="1">
      <alignment horizontal="center"/>
    </xf>
    <xf numFmtId="0" fontId="46" fillId="0" borderId="0" xfId="304" applyFont="1" applyAlignment="1">
      <alignment vertical="top"/>
    </xf>
    <xf numFmtId="181" fontId="10" fillId="0" borderId="0" xfId="154" applyNumberFormat="1" applyFont="1" applyFill="1" applyAlignment="1">
      <alignment horizontal="right"/>
    </xf>
    <xf numFmtId="10" fontId="10" fillId="0" borderId="0" xfId="333" applyNumberFormat="1" applyFont="1" applyBorder="1" applyAlignment="1"/>
    <xf numFmtId="174" fontId="46" fillId="21" borderId="0" xfId="0" applyFont="1" applyFill="1" applyProtection="1">
      <protection locked="0"/>
    </xf>
    <xf numFmtId="0" fontId="46" fillId="21" borderId="0" xfId="0" applyNumberFormat="1" applyFont="1" applyFill="1" applyAlignment="1" applyProtection="1">
      <alignment horizontal="center"/>
      <protection locked="0"/>
    </xf>
    <xf numFmtId="0" fontId="46" fillId="0" borderId="0" xfId="0" applyNumberFormat="1" applyFont="1" applyAlignment="1" applyProtection="1">
      <alignment horizontal="center"/>
      <protection locked="0"/>
    </xf>
    <xf numFmtId="175" fontId="46" fillId="0" borderId="0" xfId="154" applyNumberFormat="1" applyFont="1" applyFill="1"/>
    <xf numFmtId="180" fontId="46" fillId="21" borderId="0" xfId="333" applyNumberFormat="1" applyFont="1" applyFill="1" applyProtection="1">
      <protection locked="0"/>
    </xf>
    <xf numFmtId="0" fontId="0" fillId="0" borderId="0" xfId="0" applyNumberFormat="1" applyAlignment="1">
      <alignment horizontal="center"/>
    </xf>
    <xf numFmtId="0" fontId="58" fillId="0" borderId="0" xfId="304" applyFont="1"/>
    <xf numFmtId="0" fontId="28" fillId="0" borderId="46" xfId="304" applyFont="1" applyBorder="1"/>
    <xf numFmtId="175" fontId="58" fillId="0" borderId="0" xfId="304" applyNumberFormat="1" applyFont="1"/>
    <xf numFmtId="9" fontId="3" fillId="21" borderId="0" xfId="336" applyFont="1" applyFill="1" applyBorder="1" applyAlignment="1">
      <alignment horizontal="center"/>
    </xf>
    <xf numFmtId="0" fontId="3" fillId="0" borderId="0" xfId="0" applyNumberFormat="1" applyFont="1" applyAlignment="1">
      <alignment horizontal="center"/>
    </xf>
    <xf numFmtId="174" fontId="5" fillId="0" borderId="0" xfId="0" applyFont="1" applyProtection="1">
      <protection locked="0"/>
    </xf>
    <xf numFmtId="174" fontId="3" fillId="0" borderId="0" xfId="0" applyFont="1"/>
    <xf numFmtId="174" fontId="3" fillId="0" borderId="0" xfId="0" applyFont="1" applyAlignment="1">
      <alignment horizontal="centerContinuous"/>
    </xf>
    <xf numFmtId="0" fontId="68" fillId="0" borderId="0" xfId="300" applyFont="1"/>
    <xf numFmtId="0" fontId="10" fillId="0" borderId="0" xfId="300" applyFont="1"/>
    <xf numFmtId="0" fontId="10" fillId="0" borderId="0" xfId="300" applyFont="1" applyAlignment="1">
      <alignment horizontal="center"/>
    </xf>
    <xf numFmtId="41" fontId="5" fillId="0" borderId="0" xfId="300" applyNumberFormat="1" applyFont="1" applyAlignment="1">
      <alignment horizontal="center"/>
    </xf>
    <xf numFmtId="0" fontId="10" fillId="0" borderId="0" xfId="300" applyFont="1" applyAlignment="1">
      <alignment horizontal="left"/>
    </xf>
    <xf numFmtId="0" fontId="46" fillId="0" borderId="0" xfId="300" applyFont="1" applyAlignment="1">
      <alignment horizontal="left"/>
    </xf>
    <xf numFmtId="0" fontId="46" fillId="0" borderId="0" xfId="300" applyFont="1"/>
    <xf numFmtId="0" fontId="46" fillId="0" borderId="0" xfId="300" applyFont="1" applyAlignment="1">
      <alignment horizontal="right"/>
    </xf>
    <xf numFmtId="37" fontId="46" fillId="0" borderId="0" xfId="300" applyNumberFormat="1" applyFont="1"/>
    <xf numFmtId="37" fontId="46" fillId="0" borderId="0" xfId="300" applyNumberFormat="1" applyFont="1" applyAlignment="1">
      <alignment horizontal="left"/>
    </xf>
    <xf numFmtId="43" fontId="46" fillId="0" borderId="0" xfId="300" applyNumberFormat="1" applyFont="1"/>
    <xf numFmtId="41" fontId="46" fillId="21" borderId="2" xfId="300" applyNumberFormat="1" applyFont="1" applyFill="1" applyBorder="1"/>
    <xf numFmtId="41" fontId="46" fillId="21" borderId="2" xfId="164" applyFont="1" applyFill="1" applyBorder="1"/>
    <xf numFmtId="0" fontId="46" fillId="21" borderId="48" xfId="300" applyFont="1" applyFill="1" applyBorder="1" applyAlignment="1">
      <alignment wrapText="1"/>
    </xf>
    <xf numFmtId="0" fontId="46" fillId="21" borderId="49" xfId="300" applyFont="1" applyFill="1" applyBorder="1" applyAlignment="1">
      <alignment wrapText="1"/>
    </xf>
    <xf numFmtId="0" fontId="46" fillId="21" borderId="2" xfId="300" applyFont="1" applyFill="1" applyBorder="1"/>
    <xf numFmtId="37" fontId="46" fillId="0" borderId="48" xfId="300" applyNumberFormat="1" applyFont="1" applyBorder="1" applyAlignment="1">
      <alignment wrapText="1"/>
    </xf>
    <xf numFmtId="175" fontId="46" fillId="21" borderId="2" xfId="154" applyNumberFormat="1" applyFont="1" applyFill="1" applyBorder="1"/>
    <xf numFmtId="175" fontId="46" fillId="21" borderId="2" xfId="154" applyNumberFormat="1" applyFont="1" applyFill="1" applyBorder="1" applyAlignment="1">
      <alignment horizontal="right"/>
    </xf>
    <xf numFmtId="175" fontId="46" fillId="21" borderId="2" xfId="154" applyNumberFormat="1" applyFont="1" applyFill="1" applyBorder="1" applyAlignment="1">
      <alignment horizontal="center"/>
    </xf>
    <xf numFmtId="175" fontId="46" fillId="21" borderId="50" xfId="154" applyNumberFormat="1" applyFont="1" applyFill="1" applyBorder="1"/>
    <xf numFmtId="0" fontId="46" fillId="21" borderId="51" xfId="300" applyFont="1" applyFill="1" applyBorder="1" applyAlignment="1">
      <alignment wrapText="1"/>
    </xf>
    <xf numFmtId="0" fontId="46" fillId="0" borderId="0" xfId="300" applyFont="1" applyAlignment="1">
      <alignment wrapText="1"/>
    </xf>
    <xf numFmtId="37" fontId="46" fillId="21" borderId="52" xfId="300" applyNumberFormat="1" applyFont="1" applyFill="1" applyBorder="1" applyAlignment="1">
      <alignment horizontal="center"/>
    </xf>
    <xf numFmtId="37" fontId="46" fillId="21" borderId="2" xfId="300" applyNumberFormat="1" applyFont="1" applyFill="1" applyBorder="1"/>
    <xf numFmtId="0" fontId="46" fillId="21" borderId="52" xfId="300" applyFont="1" applyFill="1" applyBorder="1" applyAlignment="1">
      <alignment horizontal="center"/>
    </xf>
    <xf numFmtId="175" fontId="46" fillId="0" borderId="2" xfId="154" applyNumberFormat="1" applyFont="1" applyFill="1" applyBorder="1"/>
    <xf numFmtId="0" fontId="46" fillId="0" borderId="0" xfId="300" applyFont="1" applyAlignment="1">
      <alignment horizontal="center"/>
    </xf>
    <xf numFmtId="37" fontId="46" fillId="0" borderId="0" xfId="300" applyNumberFormat="1" applyFont="1" applyAlignment="1">
      <alignment horizontal="center"/>
    </xf>
    <xf numFmtId="0" fontId="46" fillId="21" borderId="49" xfId="319" applyFont="1" applyFill="1" applyBorder="1"/>
    <xf numFmtId="175" fontId="46" fillId="21" borderId="50" xfId="154" applyNumberFormat="1" applyFont="1" applyFill="1" applyBorder="1" applyAlignment="1">
      <alignment horizontal="right"/>
    </xf>
    <xf numFmtId="175" fontId="46" fillId="0" borderId="0" xfId="300" applyNumberFormat="1" applyFont="1" applyAlignment="1">
      <alignment wrapText="1"/>
    </xf>
    <xf numFmtId="0" fontId="46" fillId="0" borderId="0" xfId="300" applyFont="1" applyAlignment="1">
      <alignment horizontal="centerContinuous"/>
    </xf>
    <xf numFmtId="0" fontId="70" fillId="0" borderId="0" xfId="300" applyFont="1" applyAlignment="1">
      <alignment horizontal="center"/>
    </xf>
    <xf numFmtId="0" fontId="46" fillId="0" borderId="52" xfId="300" applyFont="1" applyBorder="1"/>
    <xf numFmtId="175" fontId="46" fillId="0" borderId="2" xfId="154" applyNumberFormat="1" applyFont="1" applyBorder="1"/>
    <xf numFmtId="0" fontId="46" fillId="0" borderId="53" xfId="300" applyFont="1" applyBorder="1"/>
    <xf numFmtId="0" fontId="46" fillId="0" borderId="54" xfId="300" applyFont="1" applyBorder="1"/>
    <xf numFmtId="0" fontId="46" fillId="0" borderId="55" xfId="300" applyFont="1" applyBorder="1"/>
    <xf numFmtId="175" fontId="46" fillId="0" borderId="56" xfId="154" applyNumberFormat="1" applyFont="1" applyFill="1" applyBorder="1"/>
    <xf numFmtId="0" fontId="46" fillId="0" borderId="57" xfId="300" applyFont="1" applyBorder="1" applyAlignment="1">
      <alignment wrapText="1"/>
    </xf>
    <xf numFmtId="37" fontId="46" fillId="0" borderId="0" xfId="300" applyNumberFormat="1" applyFont="1" applyAlignment="1">
      <alignment wrapText="1"/>
    </xf>
    <xf numFmtId="0" fontId="46" fillId="0" borderId="49" xfId="300" applyFont="1" applyBorder="1"/>
    <xf numFmtId="0" fontId="46" fillId="0" borderId="58" xfId="300" applyFont="1" applyBorder="1"/>
    <xf numFmtId="0" fontId="46" fillId="0" borderId="59" xfId="300" applyFont="1" applyBorder="1"/>
    <xf numFmtId="175" fontId="46" fillId="0" borderId="56" xfId="154" applyNumberFormat="1" applyFont="1" applyFill="1" applyBorder="1" applyAlignment="1">
      <alignment horizontal="right"/>
    </xf>
    <xf numFmtId="0" fontId="44" fillId="0" borderId="0" xfId="300" applyFont="1"/>
    <xf numFmtId="41" fontId="46" fillId="0" borderId="0" xfId="300" applyNumberFormat="1" applyFont="1" applyAlignment="1">
      <alignment horizontal="center"/>
    </xf>
    <xf numFmtId="0" fontId="70" fillId="0" borderId="0" xfId="300" applyFont="1" applyAlignment="1">
      <alignment horizontal="left"/>
    </xf>
    <xf numFmtId="0" fontId="70" fillId="0" borderId="0" xfId="300" applyFont="1"/>
    <xf numFmtId="175" fontId="70" fillId="0" borderId="0" xfId="154" applyNumberFormat="1" applyFont="1" applyFill="1"/>
    <xf numFmtId="37" fontId="70" fillId="0" borderId="0" xfId="300" applyNumberFormat="1" applyFont="1"/>
    <xf numFmtId="37" fontId="70" fillId="0" borderId="0" xfId="300" applyNumberFormat="1" applyFont="1" applyAlignment="1">
      <alignment horizontal="left"/>
    </xf>
    <xf numFmtId="43" fontId="70" fillId="0" borderId="0" xfId="300" applyNumberFormat="1" applyFont="1"/>
    <xf numFmtId="0" fontId="70" fillId="21" borderId="49" xfId="300" applyFont="1" applyFill="1" applyBorder="1"/>
    <xf numFmtId="41" fontId="70" fillId="21" borderId="2" xfId="300" applyNumberFormat="1" applyFont="1" applyFill="1" applyBorder="1"/>
    <xf numFmtId="41" fontId="70" fillId="21" borderId="2" xfId="164" applyFont="1" applyFill="1" applyBorder="1"/>
    <xf numFmtId="0" fontId="70" fillId="21" borderId="48" xfId="300" applyFont="1" applyFill="1" applyBorder="1" applyAlignment="1">
      <alignment wrapText="1"/>
    </xf>
    <xf numFmtId="0" fontId="70" fillId="21" borderId="49" xfId="300" applyFont="1" applyFill="1" applyBorder="1" applyAlignment="1">
      <alignment wrapText="1"/>
    </xf>
    <xf numFmtId="0" fontId="70" fillId="21" borderId="2" xfId="300" applyFont="1" applyFill="1" applyBorder="1"/>
    <xf numFmtId="37" fontId="70" fillId="0" borderId="48" xfId="300" applyNumberFormat="1" applyFont="1" applyBorder="1" applyAlignment="1">
      <alignment wrapText="1"/>
    </xf>
    <xf numFmtId="175" fontId="70" fillId="21" borderId="2" xfId="154" applyNumberFormat="1" applyFont="1" applyFill="1" applyBorder="1"/>
    <xf numFmtId="175" fontId="70" fillId="21" borderId="2" xfId="154" applyNumberFormat="1" applyFont="1" applyFill="1" applyBorder="1" applyAlignment="1">
      <alignment horizontal="right"/>
    </xf>
    <xf numFmtId="175" fontId="70" fillId="21" borderId="2" xfId="154" applyNumberFormat="1" applyFont="1" applyFill="1" applyBorder="1" applyAlignment="1">
      <alignment horizontal="center"/>
    </xf>
    <xf numFmtId="175" fontId="70" fillId="21" borderId="50" xfId="154" applyNumberFormat="1" applyFont="1" applyFill="1" applyBorder="1"/>
    <xf numFmtId="0" fontId="70" fillId="21" borderId="51" xfId="300" applyFont="1" applyFill="1" applyBorder="1" applyAlignment="1">
      <alignment wrapText="1"/>
    </xf>
    <xf numFmtId="0" fontId="70" fillId="0" borderId="0" xfId="300" applyFont="1" applyAlignment="1">
      <alignment wrapText="1"/>
    </xf>
    <xf numFmtId="37" fontId="70" fillId="21" borderId="52" xfId="300" applyNumberFormat="1" applyFont="1" applyFill="1" applyBorder="1" applyAlignment="1">
      <alignment horizontal="center"/>
    </xf>
    <xf numFmtId="37" fontId="70" fillId="21" borderId="2" xfId="300" applyNumberFormat="1" applyFont="1" applyFill="1" applyBorder="1"/>
    <xf numFmtId="0" fontId="70" fillId="21" borderId="52" xfId="300" applyFont="1" applyFill="1" applyBorder="1" applyAlignment="1">
      <alignment horizontal="center"/>
    </xf>
    <xf numFmtId="175" fontId="70" fillId="0" borderId="2" xfId="154" applyNumberFormat="1" applyFont="1" applyFill="1" applyBorder="1"/>
    <xf numFmtId="37" fontId="70" fillId="0" borderId="0" xfId="300" applyNumberFormat="1" applyFont="1" applyAlignment="1">
      <alignment horizontal="center"/>
    </xf>
    <xf numFmtId="0" fontId="70" fillId="21" borderId="49" xfId="319" applyFont="1" applyFill="1" applyBorder="1"/>
    <xf numFmtId="175" fontId="70" fillId="21" borderId="50" xfId="154" applyNumberFormat="1" applyFont="1" applyFill="1" applyBorder="1" applyAlignment="1">
      <alignment horizontal="right"/>
    </xf>
    <xf numFmtId="175" fontId="70" fillId="0" borderId="0" xfId="300" applyNumberFormat="1" applyFont="1" applyAlignment="1">
      <alignment wrapText="1"/>
    </xf>
    <xf numFmtId="0" fontId="70" fillId="0" borderId="0" xfId="300" applyFont="1" applyAlignment="1">
      <alignment horizontal="centerContinuous"/>
    </xf>
    <xf numFmtId="175" fontId="70" fillId="0" borderId="0" xfId="154" applyNumberFormat="1" applyFont="1" applyFill="1" applyBorder="1"/>
    <xf numFmtId="0" fontId="70" fillId="0" borderId="52" xfId="300" applyFont="1" applyBorder="1"/>
    <xf numFmtId="175" fontId="70" fillId="0" borderId="2" xfId="154" applyNumberFormat="1" applyFont="1" applyBorder="1"/>
    <xf numFmtId="0" fontId="70" fillId="0" borderId="53" xfId="300" applyFont="1" applyBorder="1"/>
    <xf numFmtId="0" fontId="70" fillId="0" borderId="54" xfId="300" applyFont="1" applyBorder="1"/>
    <xf numFmtId="0" fontId="70" fillId="0" borderId="55" xfId="300" applyFont="1" applyBorder="1"/>
    <xf numFmtId="175" fontId="70" fillId="0" borderId="56" xfId="154" applyNumberFormat="1" applyFont="1" applyFill="1" applyBorder="1"/>
    <xf numFmtId="0" fontId="70" fillId="0" borderId="57" xfId="300" applyFont="1" applyBorder="1" applyAlignment="1">
      <alignment wrapText="1"/>
    </xf>
    <xf numFmtId="37" fontId="70" fillId="0" borderId="0" xfId="300" applyNumberFormat="1" applyFont="1" applyAlignment="1">
      <alignment wrapText="1"/>
    </xf>
    <xf numFmtId="0" fontId="70" fillId="0" borderId="49" xfId="300" applyFont="1" applyBorder="1"/>
    <xf numFmtId="0" fontId="70" fillId="0" borderId="58" xfId="300" applyFont="1" applyBorder="1"/>
    <xf numFmtId="0" fontId="70" fillId="0" borderId="59" xfId="300" applyFont="1" applyBorder="1"/>
    <xf numFmtId="175" fontId="70" fillId="0" borderId="56" xfId="154" applyNumberFormat="1" applyFont="1" applyFill="1" applyBorder="1" applyAlignment="1">
      <alignment horizontal="right"/>
    </xf>
    <xf numFmtId="41" fontId="70" fillId="0" borderId="0" xfId="300" applyNumberFormat="1" applyFont="1" applyAlignment="1">
      <alignment horizontal="center"/>
    </xf>
    <xf numFmtId="0" fontId="70" fillId="0" borderId="0" xfId="300" applyFont="1" applyAlignment="1">
      <alignment horizontal="right"/>
    </xf>
    <xf numFmtId="0" fontId="70" fillId="0" borderId="0" xfId="318" applyFont="1" applyProtection="1">
      <protection locked="0"/>
    </xf>
    <xf numFmtId="0" fontId="70" fillId="0" borderId="0" xfId="318" applyFont="1"/>
    <xf numFmtId="0" fontId="5" fillId="0" borderId="0" xfId="0" applyNumberFormat="1" applyFont="1" applyAlignment="1">
      <alignment horizontal="left"/>
    </xf>
    <xf numFmtId="2" fontId="0" fillId="0" borderId="0" xfId="0" applyNumberFormat="1" applyAlignment="1">
      <alignment horizontal="center" wrapText="1"/>
    </xf>
    <xf numFmtId="2" fontId="0" fillId="0" borderId="0" xfId="0" applyNumberFormat="1"/>
    <xf numFmtId="0" fontId="10" fillId="0" borderId="0" xfId="0" applyNumberFormat="1" applyFont="1" applyAlignment="1">
      <alignment horizontal="left"/>
    </xf>
    <xf numFmtId="0" fontId="10" fillId="0" borderId="0" xfId="0" applyNumberFormat="1" applyFont="1"/>
    <xf numFmtId="0" fontId="71" fillId="0" borderId="0" xfId="0" applyNumberFormat="1" applyFont="1"/>
    <xf numFmtId="175" fontId="3" fillId="0" borderId="31" xfId="154" applyNumberFormat="1" applyFont="1" applyFill="1" applyBorder="1" applyAlignment="1"/>
    <xf numFmtId="175" fontId="10" fillId="0" borderId="31" xfId="154" applyNumberFormat="1" applyFont="1" applyFill="1" applyBorder="1" applyAlignment="1"/>
    <xf numFmtId="0" fontId="70" fillId="62" borderId="0" xfId="318" applyFont="1" applyFill="1" applyProtection="1">
      <protection locked="0"/>
    </xf>
    <xf numFmtId="3" fontId="46" fillId="0" borderId="0" xfId="304" applyNumberFormat="1" applyFont="1"/>
    <xf numFmtId="0" fontId="46" fillId="0" borderId="0" xfId="304" applyFont="1" applyAlignment="1">
      <alignment horizontal="center"/>
    </xf>
    <xf numFmtId="0" fontId="47" fillId="0" borderId="0" xfId="304" applyFont="1" applyAlignment="1">
      <alignment horizontal="left"/>
    </xf>
    <xf numFmtId="0" fontId="46" fillId="0" borderId="31" xfId="304" applyFont="1" applyBorder="1" applyAlignment="1">
      <alignment horizontal="center"/>
    </xf>
    <xf numFmtId="0" fontId="53" fillId="0" borderId="0" xfId="304" applyFont="1" applyAlignment="1">
      <alignment horizontal="left"/>
    </xf>
    <xf numFmtId="0" fontId="46" fillId="0" borderId="0" xfId="304" applyFont="1" applyAlignment="1">
      <alignment horizontal="right"/>
    </xf>
    <xf numFmtId="0" fontId="47" fillId="0" borderId="0" xfId="304" applyFont="1"/>
    <xf numFmtId="0" fontId="46" fillId="0" borderId="0" xfId="304" applyFont="1" applyAlignment="1">
      <alignment horizontal="center" wrapText="1"/>
    </xf>
    <xf numFmtId="0" fontId="46" fillId="0" borderId="29" xfId="304" applyFont="1" applyBorder="1" applyAlignment="1">
      <alignment horizontal="center" wrapText="1"/>
    </xf>
    <xf numFmtId="0" fontId="46" fillId="0" borderId="29" xfId="304" applyFont="1" applyBorder="1"/>
    <xf numFmtId="1" fontId="73" fillId="0" borderId="0" xfId="304" applyNumberFormat="1" applyFont="1" applyAlignment="1">
      <alignment horizontal="center"/>
    </xf>
    <xf numFmtId="173" fontId="46" fillId="0" borderId="0" xfId="0" applyNumberFormat="1" applyFont="1"/>
    <xf numFmtId="175" fontId="46" fillId="21" borderId="0" xfId="154" applyNumberFormat="1" applyFont="1" applyFill="1" applyBorder="1" applyAlignment="1">
      <alignment horizontal="right"/>
    </xf>
    <xf numFmtId="174" fontId="45" fillId="0" borderId="0" xfId="0" applyFont="1"/>
    <xf numFmtId="0" fontId="46" fillId="0" borderId="32" xfId="304" applyFont="1" applyBorder="1"/>
    <xf numFmtId="3" fontId="10" fillId="0" borderId="0" xfId="318" applyNumberFormat="1" applyFont="1" applyAlignment="1">
      <alignment horizontal="center" wrapText="1"/>
    </xf>
    <xf numFmtId="164" fontId="74" fillId="0" borderId="42" xfId="333" applyNumberFormat="1" applyFont="1" applyBorder="1" applyAlignment="1"/>
    <xf numFmtId="175" fontId="51" fillId="21" borderId="0" xfId="154" applyNumberFormat="1" applyFont="1" applyFill="1" applyBorder="1" applyAlignment="1">
      <alignment horizontal="center"/>
    </xf>
    <xf numFmtId="175" fontId="51" fillId="0" borderId="0" xfId="154" applyNumberFormat="1" applyFont="1" applyFill="1" applyBorder="1" applyAlignment="1">
      <alignment horizontal="center"/>
    </xf>
    <xf numFmtId="43" fontId="46" fillId="21" borderId="0" xfId="154" applyFont="1" applyFill="1" applyBorder="1" applyAlignment="1">
      <alignment horizontal="right"/>
    </xf>
    <xf numFmtId="43" fontId="46" fillId="0" borderId="0" xfId="154" applyFont="1" applyBorder="1" applyAlignment="1"/>
    <xf numFmtId="43" fontId="46" fillId="0" borderId="13" xfId="154" applyFont="1" applyBorder="1"/>
    <xf numFmtId="0" fontId="28" fillId="0" borderId="0" xfId="0" applyNumberFormat="1" applyFont="1" applyAlignment="1">
      <alignment horizontal="center"/>
    </xf>
    <xf numFmtId="0" fontId="0" fillId="0" borderId="0" xfId="0" applyNumberFormat="1" applyAlignment="1">
      <alignment horizontal="left"/>
    </xf>
    <xf numFmtId="37" fontId="0" fillId="0" borderId="0" xfId="0" applyNumberFormat="1"/>
    <xf numFmtId="0" fontId="49" fillId="56" borderId="0" xfId="304" applyFont="1" applyFill="1" applyAlignment="1">
      <alignment horizontal="center" wrapText="1"/>
    </xf>
    <xf numFmtId="43" fontId="3" fillId="0" borderId="0" xfId="304" applyNumberFormat="1" applyAlignment="1">
      <alignment horizontal="center"/>
    </xf>
    <xf numFmtId="0" fontId="165" fillId="0" borderId="0" xfId="304" applyFont="1"/>
    <xf numFmtId="0" fontId="49" fillId="0" borderId="35" xfId="304" applyFont="1" applyBorder="1" applyAlignment="1">
      <alignment horizontal="left"/>
    </xf>
    <xf numFmtId="0" fontId="3" fillId="63" borderId="0" xfId="304" applyFill="1"/>
    <xf numFmtId="0" fontId="49" fillId="0" borderId="35" xfId="304" applyFont="1" applyBorder="1" applyAlignment="1">
      <alignment horizontal="center" wrapText="1"/>
    </xf>
    <xf numFmtId="0" fontId="49" fillId="64" borderId="0" xfId="304" applyFont="1" applyFill="1" applyAlignment="1">
      <alignment horizontal="left"/>
    </xf>
    <xf numFmtId="0" fontId="3" fillId="64" borderId="0" xfId="304" applyFill="1"/>
    <xf numFmtId="174" fontId="165" fillId="0" borderId="0" xfId="0" applyFont="1"/>
    <xf numFmtId="0" fontId="165" fillId="0" borderId="13" xfId="304" applyFont="1" applyBorder="1"/>
    <xf numFmtId="0" fontId="70" fillId="0" borderId="0" xfId="0" applyNumberFormat="1" applyFont="1"/>
    <xf numFmtId="0" fontId="166" fillId="0" borderId="0" xfId="304" applyFont="1" applyAlignment="1">
      <alignment horizontal="left"/>
    </xf>
    <xf numFmtId="174" fontId="167" fillId="0" borderId="0" xfId="0" applyFont="1"/>
    <xf numFmtId="175" fontId="3" fillId="65" borderId="0" xfId="172" applyNumberFormat="1" applyFont="1" applyFill="1" applyBorder="1" applyAlignment="1">
      <alignment horizontal="right"/>
    </xf>
    <xf numFmtId="175" fontId="3" fillId="65" borderId="31" xfId="172" applyNumberFormat="1" applyFont="1" applyFill="1" applyBorder="1" applyAlignment="1">
      <alignment horizontal="right"/>
    </xf>
    <xf numFmtId="43" fontId="10" fillId="0" borderId="0" xfId="154" applyFont="1" applyAlignment="1"/>
    <xf numFmtId="179" fontId="10" fillId="0" borderId="0" xfId="154" applyNumberFormat="1" applyFont="1" applyAlignment="1"/>
    <xf numFmtId="181" fontId="10" fillId="0" borderId="0" xfId="154" applyNumberFormat="1" applyFont="1" applyAlignment="1"/>
    <xf numFmtId="181" fontId="10" fillId="0" borderId="3" xfId="154" applyNumberFormat="1" applyFont="1" applyBorder="1" applyAlignment="1"/>
    <xf numFmtId="43" fontId="10" fillId="0" borderId="0" xfId="154" applyFont="1" applyFill="1" applyAlignment="1"/>
    <xf numFmtId="181" fontId="10" fillId="0" borderId="0" xfId="154" applyNumberFormat="1" applyFont="1" applyFill="1" applyAlignment="1"/>
    <xf numFmtId="181" fontId="10" fillId="0" borderId="3" xfId="154" applyNumberFormat="1" applyFont="1" applyFill="1" applyBorder="1" applyAlignment="1"/>
    <xf numFmtId="43" fontId="10" fillId="21" borderId="0" xfId="154" applyFont="1" applyFill="1" applyAlignment="1"/>
    <xf numFmtId="43" fontId="10" fillId="21" borderId="13" xfId="154" applyFont="1" applyFill="1" applyBorder="1" applyAlignment="1"/>
    <xf numFmtId="43" fontId="10" fillId="0" borderId="13" xfId="154" applyFont="1" applyBorder="1" applyAlignment="1"/>
    <xf numFmtId="43" fontId="10" fillId="0" borderId="0" xfId="154" quotePrefix="1" applyFont="1" applyFill="1" applyAlignment="1">
      <alignment horizontal="right"/>
    </xf>
    <xf numFmtId="43" fontId="10" fillId="0" borderId="13" xfId="154" quotePrefix="1" applyFont="1" applyBorder="1" applyAlignment="1">
      <alignment horizontal="right"/>
    </xf>
    <xf numFmtId="179" fontId="10" fillId="0" borderId="13" xfId="154" applyNumberFormat="1" applyFont="1" applyBorder="1" applyAlignment="1"/>
    <xf numFmtId="43" fontId="70" fillId="21" borderId="0" xfId="154" applyFont="1" applyFill="1" applyProtection="1">
      <protection locked="0"/>
    </xf>
    <xf numFmtId="181" fontId="10" fillId="0" borderId="0" xfId="154" applyNumberFormat="1" applyFont="1" applyFill="1" applyAlignment="1">
      <alignment horizontal="center"/>
    </xf>
    <xf numFmtId="181" fontId="10" fillId="0" borderId="0" xfId="154" applyNumberFormat="1" applyFont="1" applyAlignment="1">
      <alignment horizontal="center"/>
    </xf>
    <xf numFmtId="181" fontId="23" fillId="0" borderId="0" xfId="154" applyNumberFormat="1" applyFont="1" applyFill="1" applyAlignment="1"/>
    <xf numFmtId="181" fontId="10" fillId="0" borderId="0" xfId="154" applyNumberFormat="1" applyFont="1" applyFill="1" applyBorder="1" applyAlignment="1"/>
    <xf numFmtId="43" fontId="10" fillId="0" borderId="0" xfId="154" applyFont="1" applyFill="1" applyBorder="1"/>
    <xf numFmtId="43" fontId="23" fillId="0" borderId="0" xfId="154" applyFont="1" applyFill="1" applyBorder="1" applyAlignment="1"/>
    <xf numFmtId="43" fontId="10" fillId="0" borderId="31" xfId="154" applyFont="1" applyFill="1" applyBorder="1" applyAlignment="1"/>
    <xf numFmtId="43" fontId="46" fillId="0" borderId="0" xfId="154" applyFont="1" applyFill="1"/>
    <xf numFmtId="174" fontId="70" fillId="0" borderId="0" xfId="0" applyFont="1"/>
    <xf numFmtId="10" fontId="70" fillId="0" borderId="0" xfId="318" applyNumberFormat="1" applyFont="1" applyProtection="1">
      <protection locked="0"/>
    </xf>
    <xf numFmtId="0" fontId="70" fillId="0" borderId="0" xfId="0" applyNumberFormat="1" applyFont="1" applyAlignment="1">
      <alignment horizontal="left"/>
    </xf>
    <xf numFmtId="0" fontId="0" fillId="0" borderId="0" xfId="318" applyFont="1" applyAlignment="1">
      <alignment horizontal="left"/>
    </xf>
    <xf numFmtId="175" fontId="10" fillId="0" borderId="0" xfId="154" applyNumberFormat="1" applyFont="1" applyFill="1" applyAlignment="1">
      <alignment horizontal="center"/>
    </xf>
    <xf numFmtId="49" fontId="10" fillId="0" borderId="0" xfId="154" applyNumberFormat="1" applyFont="1" applyFill="1" applyAlignment="1">
      <alignment horizontal="center"/>
    </xf>
    <xf numFmtId="0" fontId="0" fillId="0" borderId="0" xfId="318" applyFont="1" applyAlignment="1">
      <alignment horizontal="center"/>
    </xf>
    <xf numFmtId="174" fontId="40" fillId="0" borderId="0" xfId="0" applyFont="1"/>
    <xf numFmtId="175" fontId="0" fillId="0" borderId="0" xfId="154" applyNumberFormat="1" applyFont="1" applyAlignment="1"/>
    <xf numFmtId="0" fontId="10" fillId="0" borderId="0" xfId="314" applyNumberFormat="1" applyFont="1" applyProtection="1">
      <protection locked="0"/>
    </xf>
    <xf numFmtId="0" fontId="10" fillId="0" borderId="0" xfId="314" applyNumberFormat="1" applyFont="1" applyAlignment="1" applyProtection="1">
      <alignment horizontal="center"/>
      <protection locked="0"/>
    </xf>
    <xf numFmtId="0" fontId="40" fillId="21" borderId="0" xfId="314" applyNumberFormat="1" applyFont="1" applyFill="1" applyAlignment="1">
      <alignment horizontal="right"/>
    </xf>
    <xf numFmtId="3" fontId="10" fillId="0" borderId="0" xfId="314" applyNumberFormat="1" applyFont="1"/>
    <xf numFmtId="3" fontId="10" fillId="0" borderId="0" xfId="314" applyNumberFormat="1" applyFont="1" applyAlignment="1">
      <alignment horizontal="center"/>
    </xf>
    <xf numFmtId="0" fontId="10" fillId="0" borderId="0" xfId="314" applyNumberFormat="1" applyFont="1"/>
    <xf numFmtId="0" fontId="40" fillId="0" borderId="0" xfId="320" applyNumberFormat="1" applyFont="1" applyAlignment="1">
      <alignment horizontal="center"/>
    </xf>
    <xf numFmtId="170" fontId="40" fillId="0" borderId="0" xfId="0" applyNumberFormat="1" applyFont="1"/>
    <xf numFmtId="43" fontId="40" fillId="0" borderId="0" xfId="154" applyFont="1" applyAlignment="1"/>
    <xf numFmtId="0" fontId="40" fillId="0" borderId="0" xfId="320" applyNumberFormat="1" applyFont="1" applyProtection="1">
      <protection locked="0"/>
    </xf>
    <xf numFmtId="3" fontId="40" fillId="0" borderId="0" xfId="320" applyNumberFormat="1" applyFont="1"/>
    <xf numFmtId="0" fontId="40" fillId="0" borderId="0" xfId="320" applyNumberFormat="1" applyFont="1"/>
    <xf numFmtId="3" fontId="40" fillId="0" borderId="0" xfId="320" applyNumberFormat="1" applyFont="1" applyAlignment="1">
      <alignment horizontal="center"/>
    </xf>
    <xf numFmtId="0" fontId="40" fillId="0" borderId="13" xfId="320" applyNumberFormat="1" applyFont="1" applyBorder="1" applyAlignment="1" applyProtection="1">
      <alignment horizontal="center"/>
      <protection locked="0"/>
    </xf>
    <xf numFmtId="174" fontId="40" fillId="0" borderId="0" xfId="320" applyFont="1"/>
    <xf numFmtId="169" fontId="40" fillId="0" borderId="0" xfId="320" applyNumberFormat="1" applyFont="1"/>
    <xf numFmtId="43" fontId="40" fillId="0" borderId="13" xfId="154" applyFont="1" applyBorder="1" applyAlignment="1">
      <alignment horizontal="center"/>
    </xf>
    <xf numFmtId="43" fontId="40" fillId="0" borderId="0" xfId="154" applyFont="1" applyFill="1" applyAlignment="1">
      <alignment horizontal="center"/>
    </xf>
    <xf numFmtId="166" fontId="40" fillId="0" borderId="0" xfId="320" applyNumberFormat="1" applyFont="1" applyAlignment="1">
      <alignment horizontal="center"/>
    </xf>
    <xf numFmtId="175" fontId="40" fillId="0" borderId="0" xfId="154" applyNumberFormat="1" applyFont="1" applyBorder="1" applyAlignment="1"/>
    <xf numFmtId="10" fontId="40" fillId="0" borderId="0" xfId="320" applyNumberFormat="1" applyFont="1" applyAlignment="1">
      <alignment horizontal="left"/>
    </xf>
    <xf numFmtId="3" fontId="40" fillId="0" borderId="0" xfId="305" applyNumberFormat="1" applyFont="1"/>
    <xf numFmtId="166" fontId="40" fillId="0" borderId="0" xfId="305" applyNumberFormat="1" applyFont="1"/>
    <xf numFmtId="43" fontId="40" fillId="0" borderId="0" xfId="154" applyFont="1" applyBorder="1" applyAlignment="1"/>
    <xf numFmtId="0" fontId="40" fillId="0" borderId="0" xfId="305" applyFont="1"/>
    <xf numFmtId="10" fontId="10" fillId="0" borderId="0" xfId="0" applyNumberFormat="1" applyFont="1" applyAlignment="1">
      <alignment horizontal="center"/>
    </xf>
    <xf numFmtId="44" fontId="10" fillId="0" borderId="0" xfId="0" applyNumberFormat="1" applyFont="1"/>
    <xf numFmtId="164" fontId="10" fillId="0" borderId="0" xfId="0" applyNumberFormat="1" applyFont="1" applyProtection="1">
      <protection locked="0"/>
    </xf>
    <xf numFmtId="44" fontId="10" fillId="0" borderId="29" xfId="191" applyFont="1" applyFill="1" applyBorder="1" applyProtection="1">
      <protection locked="0"/>
    </xf>
    <xf numFmtId="0" fontId="10" fillId="0" borderId="31" xfId="0" applyNumberFormat="1" applyFont="1" applyBorder="1" applyAlignment="1" applyProtection="1">
      <alignment horizontal="center"/>
      <protection locked="0"/>
    </xf>
    <xf numFmtId="10" fontId="10" fillId="0" borderId="0" xfId="0" applyNumberFormat="1" applyFont="1" applyAlignment="1" applyProtection="1">
      <alignment horizontal="center"/>
      <protection locked="0"/>
    </xf>
    <xf numFmtId="44" fontId="10" fillId="0" borderId="45" xfId="191" applyFont="1" applyFill="1" applyBorder="1" applyProtection="1">
      <protection locked="0"/>
    </xf>
    <xf numFmtId="174" fontId="168" fillId="0" borderId="31" xfId="0" applyFont="1" applyBorder="1" applyProtection="1">
      <protection locked="0"/>
    </xf>
    <xf numFmtId="174" fontId="75" fillId="0" borderId="31" xfId="0" applyFont="1" applyBorder="1" applyProtection="1">
      <protection locked="0"/>
    </xf>
    <xf numFmtId="4" fontId="46" fillId="0" borderId="0" xfId="0" applyNumberFormat="1" applyFont="1" applyAlignment="1" applyProtection="1">
      <alignment horizontal="center"/>
      <protection locked="0"/>
    </xf>
    <xf numFmtId="4" fontId="46" fillId="0" borderId="0" xfId="0" applyNumberFormat="1" applyFont="1" applyAlignment="1">
      <alignment horizontal="center"/>
    </xf>
    <xf numFmtId="164" fontId="40" fillId="0" borderId="0" xfId="320" applyNumberFormat="1" applyFont="1" applyAlignment="1" applyProtection="1">
      <alignment horizontal="left"/>
      <protection locked="0"/>
    </xf>
    <xf numFmtId="43" fontId="40" fillId="0" borderId="0" xfId="154" applyFont="1" applyFill="1" applyBorder="1" applyAlignment="1">
      <alignment horizontal="right"/>
    </xf>
    <xf numFmtId="175" fontId="40" fillId="0" borderId="0" xfId="154" applyNumberFormat="1" applyFont="1" applyAlignment="1"/>
    <xf numFmtId="175" fontId="10" fillId="0" borderId="0" xfId="318" applyNumberFormat="1" applyFont="1"/>
    <xf numFmtId="3" fontId="3" fillId="0" borderId="3" xfId="304" applyNumberFormat="1" applyBorder="1"/>
    <xf numFmtId="0" fontId="10" fillId="65" borderId="0" xfId="318" applyFont="1" applyFill="1"/>
    <xf numFmtId="0" fontId="10" fillId="65" borderId="0" xfId="318" applyFont="1" applyFill="1" applyAlignment="1">
      <alignment horizontal="right"/>
    </xf>
    <xf numFmtId="0" fontId="10" fillId="65" borderId="0" xfId="318" applyFont="1" applyFill="1" applyProtection="1">
      <protection locked="0"/>
    </xf>
    <xf numFmtId="0" fontId="23" fillId="65" borderId="0" xfId="318" applyFill="1"/>
    <xf numFmtId="39" fontId="23" fillId="0" borderId="0" xfId="154" applyNumberFormat="1" applyFont="1" applyFill="1" applyAlignment="1">
      <alignment horizontal="center"/>
    </xf>
    <xf numFmtId="43" fontId="23" fillId="0" borderId="0" xfId="154" applyFont="1" applyFill="1" applyAlignment="1">
      <alignment horizontal="center"/>
    </xf>
    <xf numFmtId="2" fontId="0" fillId="0" borderId="0" xfId="0" applyNumberFormat="1" applyAlignment="1">
      <alignment horizontal="center"/>
    </xf>
    <xf numFmtId="175" fontId="23" fillId="65" borderId="0" xfId="172" applyNumberFormat="1" applyFont="1" applyFill="1" applyBorder="1"/>
    <xf numFmtId="176" fontId="6" fillId="65" borderId="32" xfId="195" applyNumberFormat="1" applyFont="1" applyFill="1" applyBorder="1"/>
    <xf numFmtId="175" fontId="11" fillId="65" borderId="29" xfId="172" applyNumberFormat="1" applyFont="1" applyFill="1" applyBorder="1"/>
    <xf numFmtId="175" fontId="11" fillId="65" borderId="29" xfId="154" applyNumberFormat="1" applyFont="1" applyFill="1" applyBorder="1"/>
    <xf numFmtId="164" fontId="11" fillId="65" borderId="32" xfId="336" applyNumberFormat="1" applyFont="1" applyFill="1" applyBorder="1"/>
    <xf numFmtId="10" fontId="3" fillId="65" borderId="47" xfId="333" applyNumberFormat="1" applyFont="1" applyFill="1" applyBorder="1"/>
    <xf numFmtId="14" fontId="3" fillId="65" borderId="31" xfId="304" applyNumberFormat="1" applyFill="1" applyBorder="1" applyAlignment="1">
      <alignment horizontal="center"/>
    </xf>
    <xf numFmtId="0" fontId="3" fillId="65" borderId="0" xfId="304" applyFill="1"/>
    <xf numFmtId="43" fontId="0" fillId="0" borderId="0" xfId="154" applyFont="1" applyFill="1" applyAlignment="1">
      <alignment horizontal="center"/>
    </xf>
    <xf numFmtId="0" fontId="3" fillId="65" borderId="0" xfId="304" applyFill="1" applyAlignment="1">
      <alignment horizontal="center"/>
    </xf>
    <xf numFmtId="175" fontId="46" fillId="0" borderId="0" xfId="154" applyNumberFormat="1" applyFont="1" applyFill="1" applyBorder="1" applyAlignment="1">
      <alignment horizontal="right"/>
    </xf>
    <xf numFmtId="0" fontId="10" fillId="65" borderId="31" xfId="0" applyNumberFormat="1" applyFont="1" applyFill="1" applyBorder="1" applyAlignment="1">
      <alignment horizontal="center"/>
    </xf>
    <xf numFmtId="0" fontId="10" fillId="65" borderId="0" xfId="0" applyNumberFormat="1" applyFont="1" applyFill="1" applyAlignment="1">
      <alignment horizontal="center"/>
    </xf>
    <xf numFmtId="10" fontId="10" fillId="65" borderId="0" xfId="0" applyNumberFormat="1" applyFont="1" applyFill="1" applyAlignment="1">
      <alignment horizontal="center"/>
    </xf>
    <xf numFmtId="174" fontId="10" fillId="65" borderId="0" xfId="0" applyFont="1" applyFill="1"/>
    <xf numFmtId="174" fontId="10" fillId="65" borderId="0" xfId="0" applyFont="1" applyFill="1" applyProtection="1">
      <protection locked="0"/>
    </xf>
    <xf numFmtId="44" fontId="10" fillId="65" borderId="0" xfId="0" applyNumberFormat="1" applyFont="1" applyFill="1" applyProtection="1">
      <protection locked="0"/>
    </xf>
    <xf numFmtId="177" fontId="10" fillId="65" borderId="0" xfId="0" applyNumberFormat="1" applyFont="1" applyFill="1" applyProtection="1">
      <protection locked="0"/>
    </xf>
    <xf numFmtId="0" fontId="10" fillId="65" borderId="31" xfId="0" applyNumberFormat="1" applyFont="1" applyFill="1" applyBorder="1" applyAlignment="1" applyProtection="1">
      <alignment horizontal="center"/>
      <protection locked="0"/>
    </xf>
    <xf numFmtId="0" fontId="10" fillId="65" borderId="0" xfId="0" applyNumberFormat="1" applyFont="1" applyFill="1" applyAlignment="1" applyProtection="1">
      <alignment horizontal="center"/>
      <protection locked="0"/>
    </xf>
    <xf numFmtId="171" fontId="10" fillId="65" borderId="0" xfId="0" applyNumberFormat="1" applyFont="1" applyFill="1" applyAlignment="1" applyProtection="1">
      <alignment horizontal="center"/>
      <protection locked="0"/>
    </xf>
    <xf numFmtId="10" fontId="10" fillId="65" borderId="0" xfId="0" applyNumberFormat="1" applyFont="1" applyFill="1" applyAlignment="1" applyProtection="1">
      <alignment horizontal="center"/>
      <protection locked="0"/>
    </xf>
    <xf numFmtId="43" fontId="70" fillId="0" borderId="0" xfId="154" applyFont="1" applyFill="1"/>
    <xf numFmtId="174" fontId="0" fillId="0" borderId="0" xfId="318" applyNumberFormat="1" applyFont="1"/>
    <xf numFmtId="0" fontId="50" fillId="56" borderId="0" xfId="304" applyFont="1" applyFill="1" applyAlignment="1">
      <alignment horizontal="center" wrapText="1"/>
    </xf>
    <xf numFmtId="0" fontId="2" fillId="0" borderId="0" xfId="304" applyFont="1"/>
    <xf numFmtId="0" fontId="3" fillId="0" borderId="0" xfId="321" applyAlignment="1">
      <alignment horizontal="center"/>
    </xf>
    <xf numFmtId="0" fontId="28" fillId="0" borderId="0" xfId="321" applyFont="1" applyAlignment="1">
      <alignment horizontal="left"/>
    </xf>
    <xf numFmtId="0" fontId="3" fillId="0" borderId="0" xfId="321" applyAlignment="1">
      <alignment horizontal="left"/>
    </xf>
    <xf numFmtId="0" fontId="3" fillId="0" borderId="0" xfId="321" applyAlignment="1">
      <alignment wrapText="1"/>
    </xf>
    <xf numFmtId="0" fontId="3" fillId="0" borderId="0" xfId="321"/>
    <xf numFmtId="0" fontId="3" fillId="0" borderId="3" xfId="321" applyBorder="1"/>
    <xf numFmtId="0" fontId="28" fillId="0" borderId="0" xfId="321" applyFont="1" applyAlignment="1">
      <alignment horizontal="center" wrapText="1"/>
    </xf>
    <xf numFmtId="180" fontId="3" fillId="0" borderId="0" xfId="333" applyNumberFormat="1" applyFont="1" applyFill="1" applyBorder="1" applyAlignment="1">
      <alignment wrapText="1"/>
    </xf>
    <xf numFmtId="180" fontId="3" fillId="0" borderId="0" xfId="321" applyNumberFormat="1" applyAlignment="1">
      <alignment wrapText="1"/>
    </xf>
    <xf numFmtId="180" fontId="3" fillId="0" borderId="0" xfId="333" applyNumberFormat="1" applyFont="1" applyAlignment="1">
      <alignment wrapText="1"/>
    </xf>
    <xf numFmtId="0" fontId="28" fillId="0" borderId="0" xfId="321" applyFont="1" applyAlignment="1">
      <alignment horizontal="center"/>
    </xf>
    <xf numFmtId="174" fontId="76" fillId="0" borderId="0" xfId="0" applyFont="1"/>
    <xf numFmtId="43" fontId="3" fillId="0" borderId="0" xfId="154" applyFont="1" applyAlignment="1">
      <alignment wrapText="1"/>
    </xf>
    <xf numFmtId="0" fontId="3" fillId="0" borderId="0" xfId="321" applyAlignment="1">
      <alignment horizontal="center" vertical="center"/>
    </xf>
    <xf numFmtId="0" fontId="28" fillId="0" borderId="3" xfId="321" applyFont="1" applyBorder="1" applyAlignment="1">
      <alignment horizontal="left"/>
    </xf>
    <xf numFmtId="0" fontId="3" fillId="0" borderId="3" xfId="321" applyBorder="1" applyAlignment="1">
      <alignment wrapText="1"/>
    </xf>
    <xf numFmtId="175" fontId="10" fillId="0" borderId="0" xfId="154" applyNumberFormat="1" applyFont="1" applyBorder="1" applyAlignment="1"/>
    <xf numFmtId="9" fontId="10" fillId="0" borderId="0" xfId="333" applyFont="1" applyAlignment="1">
      <alignment horizontal="center"/>
    </xf>
    <xf numFmtId="175" fontId="28" fillId="0" borderId="13" xfId="172" applyNumberFormat="1" applyFont="1" applyBorder="1" applyAlignment="1"/>
    <xf numFmtId="0" fontId="51" fillId="0" borderId="13" xfId="304" applyFont="1" applyBorder="1"/>
    <xf numFmtId="175" fontId="3" fillId="0" borderId="33" xfId="172" applyNumberFormat="1" applyFont="1" applyFill="1" applyBorder="1"/>
    <xf numFmtId="0" fontId="49" fillId="0" borderId="13" xfId="304" applyFont="1" applyBorder="1" applyAlignment="1">
      <alignment horizontal="center" wrapText="1"/>
    </xf>
    <xf numFmtId="0" fontId="3" fillId="0" borderId="13" xfId="304" applyBorder="1" applyAlignment="1">
      <alignment horizontal="center" wrapText="1"/>
    </xf>
    <xf numFmtId="0" fontId="3" fillId="0" borderId="32" xfId="304" applyBorder="1" applyAlignment="1">
      <alignment horizontal="center" wrapText="1"/>
    </xf>
    <xf numFmtId="175" fontId="10" fillId="21" borderId="0" xfId="172" applyNumberFormat="1" applyFont="1" applyFill="1" applyBorder="1" applyAlignment="1"/>
    <xf numFmtId="174" fontId="70" fillId="0" borderId="0" xfId="0" applyFont="1" applyAlignment="1">
      <alignment wrapText="1"/>
    </xf>
    <xf numFmtId="174" fontId="70" fillId="0" borderId="0" xfId="0" applyFont="1" applyAlignment="1">
      <alignment vertical="center"/>
    </xf>
    <xf numFmtId="0" fontId="3" fillId="0" borderId="29" xfId="304" applyBorder="1" applyAlignment="1">
      <alignment horizontal="center" wrapText="1"/>
    </xf>
    <xf numFmtId="0" fontId="49" fillId="56" borderId="34" xfId="304" applyFont="1" applyFill="1" applyBorder="1" applyAlignment="1">
      <alignment horizontal="center"/>
    </xf>
    <xf numFmtId="0" fontId="50" fillId="56" borderId="42" xfId="304" applyFont="1" applyFill="1" applyBorder="1" applyAlignment="1">
      <alignment horizontal="center" wrapText="1"/>
    </xf>
    <xf numFmtId="175" fontId="10" fillId="0" borderId="0" xfId="172" applyNumberFormat="1" applyFont="1" applyFill="1" applyBorder="1" applyAlignment="1"/>
    <xf numFmtId="175" fontId="51" fillId="65" borderId="0" xfId="154" applyNumberFormat="1" applyFont="1" applyFill="1" applyBorder="1" applyAlignment="1">
      <alignment horizontal="center"/>
    </xf>
    <xf numFmtId="175" fontId="10" fillId="65" borderId="0" xfId="172" applyNumberFormat="1" applyFont="1" applyFill="1" applyBorder="1" applyAlignment="1"/>
    <xf numFmtId="175" fontId="46" fillId="0" borderId="13" xfId="304" applyNumberFormat="1" applyFont="1" applyBorder="1"/>
    <xf numFmtId="175" fontId="3" fillId="0" borderId="13" xfId="172" applyNumberFormat="1" applyFont="1" applyBorder="1"/>
    <xf numFmtId="43" fontId="10" fillId="0" borderId="0" xfId="154" applyFont="1" applyBorder="1" applyAlignment="1"/>
    <xf numFmtId="174" fontId="62" fillId="0" borderId="31" xfId="0" applyFont="1" applyBorder="1"/>
    <xf numFmtId="174" fontId="62" fillId="0" borderId="0" xfId="0" applyFont="1"/>
    <xf numFmtId="174" fontId="62" fillId="0" borderId="49" xfId="0" applyFont="1" applyBorder="1" applyAlignment="1" applyProtection="1">
      <alignment horizontal="center"/>
      <protection locked="0"/>
    </xf>
    <xf numFmtId="174" fontId="62" fillId="0" borderId="2" xfId="0" applyFont="1" applyBorder="1" applyAlignment="1" applyProtection="1">
      <alignment horizontal="center" wrapText="1"/>
      <protection locked="0"/>
    </xf>
    <xf numFmtId="174" fontId="45" fillId="0" borderId="2" xfId="0" applyFont="1" applyBorder="1" applyAlignment="1" applyProtection="1">
      <alignment horizontal="center" wrapText="1"/>
      <protection locked="0"/>
    </xf>
    <xf numFmtId="174" fontId="45" fillId="0" borderId="48" xfId="0" applyFont="1" applyBorder="1" applyAlignment="1" applyProtection="1">
      <alignment horizontal="center" wrapText="1"/>
      <protection locked="0"/>
    </xf>
    <xf numFmtId="0" fontId="169" fillId="0" borderId="0" xfId="318" applyFont="1" applyProtection="1">
      <protection locked="0"/>
    </xf>
    <xf numFmtId="179" fontId="70" fillId="21" borderId="0" xfId="154" applyNumberFormat="1" applyFont="1" applyFill="1" applyProtection="1">
      <protection locked="0"/>
    </xf>
    <xf numFmtId="43" fontId="0" fillId="0" borderId="0" xfId="154" applyFont="1"/>
    <xf numFmtId="43" fontId="23" fillId="64" borderId="0" xfId="154" applyFont="1" applyFill="1"/>
    <xf numFmtId="43" fontId="0" fillId="0" borderId="0" xfId="0" applyNumberFormat="1"/>
    <xf numFmtId="43" fontId="165" fillId="0" borderId="0" xfId="154" applyFont="1" applyFill="1" applyBorder="1" applyAlignment="1" applyProtection="1"/>
    <xf numFmtId="0" fontId="165" fillId="0" borderId="0" xfId="0" applyNumberFormat="1" applyFont="1" applyProtection="1"/>
    <xf numFmtId="43" fontId="0" fillId="0" borderId="0" xfId="154" applyFont="1" applyFill="1"/>
    <xf numFmtId="43" fontId="23" fillId="66" borderId="0" xfId="154" applyFont="1" applyFill="1"/>
    <xf numFmtId="43" fontId="23" fillId="67" borderId="0" xfId="154" applyFont="1" applyFill="1"/>
    <xf numFmtId="43" fontId="165" fillId="67" borderId="0" xfId="154" applyFont="1" applyFill="1" applyBorder="1" applyAlignment="1" applyProtection="1"/>
    <xf numFmtId="43" fontId="165" fillId="64" borderId="0" xfId="154" applyFont="1" applyFill="1" applyBorder="1" applyAlignment="1" applyProtection="1"/>
    <xf numFmtId="175" fontId="0" fillId="0" borderId="0" xfId="154" applyNumberFormat="1" applyFont="1"/>
    <xf numFmtId="175" fontId="23" fillId="64" borderId="0" xfId="154" applyNumberFormat="1" applyFont="1" applyFill="1"/>
    <xf numFmtId="175" fontId="170" fillId="0" borderId="0" xfId="154" applyNumberFormat="1" applyFont="1"/>
    <xf numFmtId="174" fontId="0" fillId="64" borderId="0" xfId="0" applyFill="1"/>
    <xf numFmtId="43" fontId="165" fillId="0" borderId="0" xfId="154" applyFont="1"/>
    <xf numFmtId="181" fontId="0" fillId="0" borderId="0" xfId="154" applyNumberFormat="1" applyFont="1"/>
    <xf numFmtId="0" fontId="53" fillId="0" borderId="0" xfId="304" applyFont="1"/>
    <xf numFmtId="175" fontId="40" fillId="0" borderId="0" xfId="154" applyNumberFormat="1" applyFont="1" applyFill="1" applyBorder="1" applyAlignment="1"/>
    <xf numFmtId="43" fontId="40" fillId="0" borderId="0" xfId="154" applyFont="1" applyFill="1" applyBorder="1" applyAlignment="1"/>
    <xf numFmtId="181" fontId="40" fillId="0" borderId="0" xfId="154" applyNumberFormat="1" applyFont="1" applyAlignment="1"/>
    <xf numFmtId="175" fontId="40" fillId="0" borderId="0" xfId="154" applyNumberFormat="1" applyFont="1" applyFill="1" applyBorder="1" applyAlignment="1" applyProtection="1">
      <alignment horizontal="left"/>
      <protection locked="0"/>
    </xf>
    <xf numFmtId="175" fontId="23" fillId="65" borderId="0" xfId="154" applyNumberFormat="1" applyFont="1" applyFill="1" applyBorder="1" applyAlignment="1"/>
    <xf numFmtId="174" fontId="0" fillId="65" borderId="0" xfId="0" applyFill="1"/>
    <xf numFmtId="3" fontId="10" fillId="65" borderId="0" xfId="318" applyNumberFormat="1" applyFont="1" applyFill="1"/>
    <xf numFmtId="181" fontId="10" fillId="65" borderId="0" xfId="154" applyNumberFormat="1" applyFont="1" applyFill="1" applyBorder="1" applyAlignment="1">
      <alignment horizontal="right"/>
    </xf>
    <xf numFmtId="175" fontId="10" fillId="65" borderId="0" xfId="154" applyNumberFormat="1" applyFont="1" applyFill="1" applyBorder="1" applyAlignment="1"/>
    <xf numFmtId="175" fontId="40" fillId="65" borderId="0" xfId="154" applyNumberFormat="1" applyFont="1" applyFill="1" applyBorder="1" applyAlignment="1"/>
    <xf numFmtId="175" fontId="10" fillId="0" borderId="0" xfId="318" applyNumberFormat="1" applyFont="1" applyAlignment="1">
      <alignment horizontal="center"/>
    </xf>
    <xf numFmtId="0" fontId="72" fillId="56" borderId="34" xfId="304" applyFont="1" applyFill="1" applyBorder="1" applyAlignment="1">
      <alignment horizontal="center" wrapText="1"/>
    </xf>
    <xf numFmtId="0" fontId="46" fillId="0" borderId="33" xfId="304" applyFont="1" applyBorder="1" applyAlignment="1">
      <alignment horizontal="center"/>
    </xf>
    <xf numFmtId="174" fontId="157" fillId="0" borderId="0" xfId="0" applyFont="1"/>
    <xf numFmtId="0" fontId="11" fillId="0" borderId="0" xfId="304" applyFont="1" applyAlignment="1">
      <alignment horizontal="center"/>
    </xf>
    <xf numFmtId="176" fontId="46" fillId="0" borderId="0" xfId="191" applyNumberFormat="1" applyFont="1" applyFill="1" applyBorder="1" applyAlignment="1">
      <alignment horizontal="right"/>
    </xf>
    <xf numFmtId="255" fontId="46" fillId="0" borderId="0" xfId="191" applyNumberFormat="1" applyFont="1" applyFill="1" applyBorder="1" applyAlignment="1"/>
    <xf numFmtId="174" fontId="0" fillId="0" borderId="0" xfId="0" applyAlignment="1">
      <alignment wrapText="1"/>
    </xf>
    <xf numFmtId="0" fontId="27" fillId="0" borderId="0" xfId="304" applyFont="1" applyAlignment="1">
      <alignment horizontal="center"/>
    </xf>
    <xf numFmtId="0" fontId="67" fillId="0" borderId="13" xfId="304" applyFont="1" applyBorder="1" applyAlignment="1">
      <alignment horizontal="center" wrapText="1"/>
    </xf>
    <xf numFmtId="0" fontId="67" fillId="0" borderId="32" xfId="304" applyFont="1" applyBorder="1" applyAlignment="1">
      <alignment horizontal="center" wrapText="1"/>
    </xf>
    <xf numFmtId="175" fontId="23" fillId="0" borderId="29" xfId="172" applyNumberFormat="1" applyFont="1" applyFill="1" applyBorder="1"/>
    <xf numFmtId="175" fontId="23" fillId="0" borderId="0" xfId="172" applyNumberFormat="1" applyFont="1" applyFill="1" applyBorder="1"/>
    <xf numFmtId="43" fontId="23" fillId="0" borderId="0" xfId="172" applyFont="1" applyFill="1" applyBorder="1"/>
    <xf numFmtId="175" fontId="23" fillId="0" borderId="0" xfId="154" applyNumberFormat="1" applyFont="1" applyFill="1" applyBorder="1"/>
    <xf numFmtId="174" fontId="171" fillId="0" borderId="0" xfId="0" applyFont="1" applyAlignment="1">
      <alignment horizontal="left" vertical="center"/>
    </xf>
    <xf numFmtId="174" fontId="0" fillId="0" borderId="0" xfId="0" applyAlignment="1">
      <alignment horizontal="left" vertical="center"/>
    </xf>
    <xf numFmtId="174" fontId="164" fillId="0" borderId="0" xfId="260" applyAlignment="1">
      <alignment horizontal="left" vertical="center"/>
    </xf>
    <xf numFmtId="0" fontId="172" fillId="0" borderId="0" xfId="304" applyFont="1" applyAlignment="1">
      <alignment horizontal="center"/>
    </xf>
    <xf numFmtId="0" fontId="172" fillId="0" borderId="0" xfId="304" applyFont="1"/>
    <xf numFmtId="10" fontId="40" fillId="0" borderId="0" xfId="154" applyNumberFormat="1" applyFont="1" applyFill="1" applyAlignment="1"/>
    <xf numFmtId="0" fontId="0" fillId="0" borderId="0" xfId="318" applyFont="1" applyAlignment="1" applyProtection="1">
      <alignment horizontal="center"/>
      <protection locked="0"/>
    </xf>
    <xf numFmtId="175" fontId="10" fillId="65" borderId="0" xfId="154" applyNumberFormat="1" applyFont="1" applyFill="1" applyAlignment="1"/>
    <xf numFmtId="10" fontId="40" fillId="0" borderId="0" xfId="333" applyNumberFormat="1" applyFont="1" applyFill="1" applyBorder="1" applyAlignment="1">
      <alignment horizontal="right"/>
    </xf>
    <xf numFmtId="0" fontId="173" fillId="0" borderId="0" xfId="318" applyFont="1" applyAlignment="1">
      <alignment horizontal="left"/>
    </xf>
    <xf numFmtId="3" fontId="174" fillId="0" borderId="0" xfId="318" applyNumberFormat="1" applyFont="1"/>
    <xf numFmtId="0" fontId="175" fillId="0" borderId="0" xfId="304" applyFont="1"/>
    <xf numFmtId="10" fontId="176" fillId="0" borderId="0" xfId="154" applyNumberFormat="1" applyFont="1" applyFill="1" applyAlignment="1"/>
    <xf numFmtId="0" fontId="174" fillId="0" borderId="0" xfId="304" applyFont="1"/>
    <xf numFmtId="0" fontId="177" fillId="0" borderId="0" xfId="304" applyFont="1"/>
    <xf numFmtId="174" fontId="67" fillId="0" borderId="0" xfId="0" applyFont="1" applyAlignment="1">
      <alignment horizontal="center"/>
    </xf>
    <xf numFmtId="0" fontId="67" fillId="0" borderId="0" xfId="304" applyFont="1" applyAlignment="1">
      <alignment horizontal="center"/>
    </xf>
    <xf numFmtId="3" fontId="67" fillId="0" borderId="0" xfId="304" applyNumberFormat="1" applyFont="1" applyAlignment="1">
      <alignment horizontal="center" wrapText="1"/>
    </xf>
    <xf numFmtId="0" fontId="67" fillId="0" borderId="0" xfId="304" applyFont="1" applyAlignment="1">
      <alignment horizontal="center" wrapText="1"/>
    </xf>
    <xf numFmtId="0" fontId="67" fillId="65" borderId="0" xfId="304" applyFont="1" applyFill="1"/>
    <xf numFmtId="175" fontId="67" fillId="65" borderId="0" xfId="154" applyNumberFormat="1" applyFont="1" applyFill="1" applyBorder="1" applyAlignment="1">
      <alignment horizontal="center"/>
    </xf>
    <xf numFmtId="175" fontId="67" fillId="0" borderId="0" xfId="154" applyNumberFormat="1" applyFont="1" applyFill="1" applyBorder="1" applyAlignment="1">
      <alignment horizontal="center" wrapText="1"/>
    </xf>
    <xf numFmtId="175" fontId="67" fillId="65" borderId="0" xfId="154" applyNumberFormat="1" applyFont="1" applyFill="1" applyBorder="1"/>
    <xf numFmtId="0" fontId="67" fillId="65" borderId="3" xfId="304" applyFont="1" applyFill="1" applyBorder="1"/>
    <xf numFmtId="175" fontId="67" fillId="65" borderId="3" xfId="154" applyNumberFormat="1" applyFont="1" applyFill="1" applyBorder="1"/>
    <xf numFmtId="175" fontId="67" fillId="0" borderId="3" xfId="154" applyNumberFormat="1" applyFont="1" applyFill="1" applyBorder="1" applyAlignment="1">
      <alignment horizontal="center" wrapText="1"/>
    </xf>
    <xf numFmtId="0" fontId="67" fillId="0" borderId="0" xfId="304" applyFont="1"/>
    <xf numFmtId="175" fontId="67" fillId="0" borderId="0" xfId="154" applyNumberFormat="1" applyFont="1" applyFill="1" applyBorder="1"/>
    <xf numFmtId="175" fontId="67" fillId="0" borderId="0" xfId="154" applyNumberFormat="1" applyFont="1" applyFill="1" applyBorder="1" applyAlignment="1">
      <alignment horizontal="center"/>
    </xf>
    <xf numFmtId="174" fontId="158" fillId="0" borderId="0" xfId="0" applyFont="1"/>
    <xf numFmtId="0" fontId="44" fillId="0" borderId="0" xfId="313" applyFont="1"/>
    <xf numFmtId="0" fontId="44" fillId="0" borderId="50" xfId="154" applyNumberFormat="1" applyFont="1" applyBorder="1" applyAlignment="1">
      <alignment horizontal="center"/>
    </xf>
    <xf numFmtId="174" fontId="44" fillId="0" borderId="5" xfId="309" applyFont="1" applyBorder="1"/>
    <xf numFmtId="1" fontId="44" fillId="0" borderId="5" xfId="309" applyNumberFormat="1" applyFont="1" applyBorder="1" applyAlignment="1">
      <alignment horizontal="center"/>
    </xf>
    <xf numFmtId="174" fontId="44" fillId="0" borderId="37" xfId="309" applyFont="1" applyBorder="1" applyAlignment="1">
      <alignment horizontal="center"/>
    </xf>
    <xf numFmtId="0" fontId="44" fillId="0" borderId="60" xfId="154" applyNumberFormat="1" applyFont="1" applyBorder="1" applyAlignment="1">
      <alignment horizontal="center"/>
    </xf>
    <xf numFmtId="174" fontId="44" fillId="0" borderId="3" xfId="309" applyFont="1" applyBorder="1"/>
    <xf numFmtId="174" fontId="44" fillId="0" borderId="3" xfId="309" applyFont="1" applyBorder="1" applyAlignment="1">
      <alignment horizontal="center" wrapText="1"/>
    </xf>
    <xf numFmtId="174" fontId="44" fillId="0" borderId="40" xfId="309" applyFont="1" applyBorder="1" applyAlignment="1">
      <alignment horizontal="center" wrapText="1"/>
    </xf>
    <xf numFmtId="175" fontId="44" fillId="65" borderId="5" xfId="154" applyNumberFormat="1" applyFont="1" applyFill="1" applyBorder="1" applyAlignment="1">
      <alignment wrapText="1"/>
    </xf>
    <xf numFmtId="175" fontId="44" fillId="0" borderId="37" xfId="154" applyNumberFormat="1" applyFont="1" applyBorder="1" applyAlignment="1">
      <alignment wrapText="1"/>
    </xf>
    <xf numFmtId="174" fontId="44" fillId="65" borderId="0" xfId="309" applyFont="1" applyFill="1"/>
    <xf numFmtId="175" fontId="44" fillId="65" borderId="0" xfId="154" applyNumberFormat="1" applyFont="1" applyFill="1" applyBorder="1"/>
    <xf numFmtId="175" fontId="44" fillId="0" borderId="38" xfId="154" applyNumberFormat="1" applyFont="1" applyBorder="1" applyAlignment="1">
      <alignment wrapText="1"/>
    </xf>
    <xf numFmtId="174" fontId="44" fillId="65" borderId="3" xfId="309" applyFont="1" applyFill="1" applyBorder="1"/>
    <xf numFmtId="175" fontId="44" fillId="65" borderId="3" xfId="154" applyNumberFormat="1" applyFont="1" applyFill="1" applyBorder="1"/>
    <xf numFmtId="175" fontId="44" fillId="0" borderId="40" xfId="154" applyNumberFormat="1" applyFont="1" applyBorder="1" applyAlignment="1">
      <alignment wrapText="1"/>
    </xf>
    <xf numFmtId="0" fontId="44" fillId="0" borderId="0" xfId="154" applyNumberFormat="1" applyFont="1" applyAlignment="1">
      <alignment horizontal="center"/>
    </xf>
    <xf numFmtId="175" fontId="44" fillId="0" borderId="0" xfId="154" applyNumberFormat="1" applyFont="1"/>
    <xf numFmtId="174" fontId="44" fillId="0" borderId="0" xfId="0" applyFont="1"/>
    <xf numFmtId="0" fontId="44" fillId="0" borderId="0" xfId="308" applyFont="1"/>
    <xf numFmtId="0" fontId="48" fillId="0" borderId="0" xfId="308" applyFont="1"/>
    <xf numFmtId="0" fontId="44" fillId="0" borderId="0" xfId="308" applyFont="1" applyAlignment="1">
      <alignment horizontal="center"/>
    </xf>
    <xf numFmtId="0" fontId="44" fillId="0" borderId="0" xfId="308" quotePrefix="1" applyFont="1" applyAlignment="1">
      <alignment horizontal="center"/>
    </xf>
    <xf numFmtId="0" fontId="44" fillId="0" borderId="2" xfId="308" applyFont="1" applyBorder="1" applyAlignment="1">
      <alignment horizontal="center" wrapText="1"/>
    </xf>
    <xf numFmtId="0" fontId="44" fillId="0" borderId="17" xfId="308" applyFont="1" applyBorder="1"/>
    <xf numFmtId="0" fontId="44" fillId="65" borderId="36" xfId="308" applyFont="1" applyFill="1" applyBorder="1"/>
    <xf numFmtId="0" fontId="44" fillId="65" borderId="5" xfId="308" applyFont="1" applyFill="1" applyBorder="1"/>
    <xf numFmtId="0" fontId="44" fillId="0" borderId="5" xfId="308" applyFont="1" applyBorder="1"/>
    <xf numFmtId="0" fontId="44" fillId="65" borderId="5" xfId="308" applyFont="1" applyFill="1" applyBorder="1" applyAlignment="1">
      <alignment horizontal="center"/>
    </xf>
    <xf numFmtId="0" fontId="44" fillId="65" borderId="37" xfId="308" applyFont="1" applyFill="1" applyBorder="1"/>
    <xf numFmtId="0" fontId="44" fillId="65" borderId="27" xfId="308" applyFont="1" applyFill="1" applyBorder="1"/>
    <xf numFmtId="0" fontId="44" fillId="65" borderId="0" xfId="308" applyFont="1" applyFill="1"/>
    <xf numFmtId="0" fontId="44" fillId="65" borderId="0" xfId="308" applyFont="1" applyFill="1" applyAlignment="1">
      <alignment horizontal="center"/>
    </xf>
    <xf numFmtId="0" fontId="44" fillId="65" borderId="38" xfId="308" applyFont="1" applyFill="1" applyBorder="1"/>
    <xf numFmtId="0" fontId="44" fillId="0" borderId="60" xfId="308" applyFont="1" applyBorder="1" applyAlignment="1">
      <alignment horizontal="left"/>
    </xf>
    <xf numFmtId="0" fontId="44" fillId="65" borderId="39" xfId="308" applyFont="1" applyFill="1" applyBorder="1"/>
    <xf numFmtId="0" fontId="44" fillId="65" borderId="3" xfId="308" applyFont="1" applyFill="1" applyBorder="1"/>
    <xf numFmtId="0" fontId="44" fillId="65" borderId="3" xfId="308" applyFont="1" applyFill="1" applyBorder="1" applyAlignment="1">
      <alignment horizontal="center"/>
    </xf>
    <xf numFmtId="0" fontId="44" fillId="65" borderId="40" xfId="308" applyFont="1" applyFill="1" applyBorder="1" applyAlignment="1">
      <alignment horizontal="center"/>
    </xf>
    <xf numFmtId="0" fontId="44" fillId="0" borderId="5" xfId="308" applyFont="1" applyBorder="1" applyAlignment="1">
      <alignment horizontal="left"/>
    </xf>
    <xf numFmtId="174" fontId="44" fillId="0" borderId="0" xfId="309" applyFont="1"/>
    <xf numFmtId="1" fontId="44" fillId="0" borderId="0" xfId="309" applyNumberFormat="1" applyFont="1" applyAlignment="1">
      <alignment horizontal="center"/>
    </xf>
    <xf numFmtId="49" fontId="44" fillId="0" borderId="0" xfId="315" applyNumberFormat="1" applyFont="1" applyAlignment="1">
      <alignment horizontal="center" wrapText="1"/>
    </xf>
    <xf numFmtId="49" fontId="44" fillId="0" borderId="0" xfId="181" applyNumberFormat="1" applyFont="1" applyBorder="1" applyAlignment="1">
      <alignment horizontal="center" wrapText="1"/>
    </xf>
    <xf numFmtId="0" fontId="44" fillId="0" borderId="0" xfId="315" applyFont="1"/>
    <xf numFmtId="49" fontId="44" fillId="0" borderId="0" xfId="315" applyNumberFormat="1" applyFont="1"/>
    <xf numFmtId="175" fontId="44" fillId="0" borderId="0" xfId="181" applyNumberFormat="1" applyFont="1"/>
    <xf numFmtId="0" fontId="44" fillId="0" borderId="0" xfId="315" applyFont="1" applyAlignment="1">
      <alignment horizontal="center"/>
    </xf>
    <xf numFmtId="49" fontId="44" fillId="0" borderId="0" xfId="315" applyNumberFormat="1" applyFont="1" applyAlignment="1">
      <alignment horizontal="center"/>
    </xf>
    <xf numFmtId="175" fontId="44" fillId="0" borderId="0" xfId="181" applyNumberFormat="1" applyFont="1" applyAlignment="1">
      <alignment horizontal="center"/>
    </xf>
    <xf numFmtId="10" fontId="44" fillId="0" borderId="0" xfId="341" applyNumberFormat="1" applyFont="1" applyAlignment="1">
      <alignment horizontal="center"/>
    </xf>
    <xf numFmtId="49" fontId="44" fillId="0" borderId="5" xfId="315" applyNumberFormat="1" applyFont="1" applyBorder="1" applyAlignment="1">
      <alignment horizontal="center" wrapText="1"/>
    </xf>
    <xf numFmtId="49" fontId="44" fillId="0" borderId="5" xfId="181" applyNumberFormat="1" applyFont="1" applyBorder="1" applyAlignment="1">
      <alignment horizontal="center" wrapText="1"/>
    </xf>
    <xf numFmtId="49" fontId="44" fillId="65" borderId="3" xfId="315" applyNumberFormat="1" applyFont="1" applyFill="1" applyBorder="1" applyAlignment="1">
      <alignment horizontal="center" wrapText="1"/>
    </xf>
    <xf numFmtId="49" fontId="44" fillId="65" borderId="3" xfId="181" applyNumberFormat="1" applyFont="1" applyFill="1" applyBorder="1" applyAlignment="1">
      <alignment horizontal="center" wrapText="1"/>
    </xf>
    <xf numFmtId="175" fontId="44" fillId="65" borderId="0" xfId="181" applyNumberFormat="1" applyFont="1" applyFill="1" applyBorder="1"/>
    <xf numFmtId="175" fontId="44" fillId="65" borderId="3" xfId="181" applyNumberFormat="1" applyFont="1" applyFill="1" applyBorder="1"/>
    <xf numFmtId="175" fontId="44" fillId="0" borderId="0" xfId="181" applyNumberFormat="1" applyFont="1" applyBorder="1" applyAlignment="1">
      <alignment horizontal="right"/>
    </xf>
    <xf numFmtId="175" fontId="44" fillId="0" borderId="0" xfId="181" applyNumberFormat="1" applyFont="1" applyBorder="1" applyAlignment="1"/>
    <xf numFmtId="0" fontId="44" fillId="0" borderId="50" xfId="308" applyFont="1" applyBorder="1"/>
    <xf numFmtId="0" fontId="44" fillId="0" borderId="60" xfId="308" applyFont="1" applyBorder="1" applyAlignment="1">
      <alignment horizontal="center" wrapText="1"/>
    </xf>
    <xf numFmtId="174" fontId="48" fillId="0" borderId="0" xfId="0" applyFont="1"/>
    <xf numFmtId="174" fontId="44" fillId="0" borderId="0" xfId="309" applyFont="1" applyAlignment="1">
      <alignment horizontal="center"/>
    </xf>
    <xf numFmtId="174" fontId="44" fillId="0" borderId="0" xfId="309" applyFont="1" applyAlignment="1">
      <alignment horizontal="center" wrapText="1"/>
    </xf>
    <xf numFmtId="175" fontId="44" fillId="0" borderId="0" xfId="154" applyNumberFormat="1" applyFont="1" applyFill="1" applyBorder="1" applyAlignment="1">
      <alignment wrapText="1"/>
    </xf>
    <xf numFmtId="175" fontId="44" fillId="0" borderId="0" xfId="154" applyNumberFormat="1" applyFont="1" applyFill="1" applyBorder="1"/>
    <xf numFmtId="0" fontId="44" fillId="0" borderId="0" xfId="315" applyFont="1" applyAlignment="1">
      <alignment horizontal="left"/>
    </xf>
    <xf numFmtId="0" fontId="44" fillId="0" borderId="50" xfId="154" applyNumberFormat="1" applyFont="1" applyBorder="1" applyAlignment="1">
      <alignment horizontal="left"/>
    </xf>
    <xf numFmtId="0" fontId="44" fillId="0" borderId="17" xfId="154" applyNumberFormat="1" applyFont="1" applyBorder="1" applyAlignment="1">
      <alignment horizontal="left"/>
    </xf>
    <xf numFmtId="0" fontId="44" fillId="0" borderId="60" xfId="154" applyNumberFormat="1" applyFont="1" applyBorder="1" applyAlignment="1">
      <alignment horizontal="left"/>
    </xf>
    <xf numFmtId="0" fontId="44" fillId="0" borderId="0" xfId="154" applyNumberFormat="1" applyFont="1" applyAlignment="1">
      <alignment horizontal="left"/>
    </xf>
    <xf numFmtId="49" fontId="44" fillId="0" borderId="0" xfId="315" applyNumberFormat="1" applyFont="1" applyAlignment="1">
      <alignment horizontal="left"/>
    </xf>
    <xf numFmtId="0" fontId="44" fillId="0" borderId="0" xfId="154" applyNumberFormat="1" applyFont="1" applyBorder="1" applyAlignment="1">
      <alignment horizontal="center"/>
    </xf>
    <xf numFmtId="174" fontId="0" fillId="0" borderId="0" xfId="0" applyAlignment="1">
      <alignment horizontal="left"/>
    </xf>
    <xf numFmtId="174" fontId="44" fillId="0" borderId="8" xfId="309" applyFont="1" applyBorder="1" applyAlignment="1">
      <alignment horizontal="center" wrapText="1"/>
    </xf>
    <xf numFmtId="174" fontId="44" fillId="0" borderId="61" xfId="309" applyFont="1" applyBorder="1" applyAlignment="1">
      <alignment horizontal="center" wrapText="1"/>
    </xf>
    <xf numFmtId="0" fontId="44" fillId="0" borderId="2" xfId="154" applyNumberFormat="1" applyFont="1" applyBorder="1" applyAlignment="1">
      <alignment horizontal="center"/>
    </xf>
    <xf numFmtId="174" fontId="44" fillId="65" borderId="36" xfId="309" applyFont="1" applyFill="1" applyBorder="1"/>
    <xf numFmtId="175" fontId="44" fillId="65" borderId="37" xfId="154" applyNumberFormat="1" applyFont="1" applyFill="1" applyBorder="1" applyAlignment="1">
      <alignment wrapText="1"/>
    </xf>
    <xf numFmtId="174" fontId="44" fillId="65" borderId="27" xfId="309" applyFont="1" applyFill="1" applyBorder="1"/>
    <xf numFmtId="175" fontId="44" fillId="65" borderId="38" xfId="154" applyNumberFormat="1" applyFont="1" applyFill="1" applyBorder="1"/>
    <xf numFmtId="174" fontId="44" fillId="65" borderId="39" xfId="309" applyFont="1" applyFill="1" applyBorder="1"/>
    <xf numFmtId="175" fontId="44" fillId="65" borderId="40" xfId="154" applyNumberFormat="1" applyFont="1" applyFill="1" applyBorder="1"/>
    <xf numFmtId="10" fontId="10" fillId="0" borderId="0" xfId="333" applyNumberFormat="1" applyFont="1" applyFill="1" applyAlignment="1"/>
    <xf numFmtId="14" fontId="3" fillId="65" borderId="33" xfId="304" applyNumberFormat="1" applyFill="1" applyBorder="1" applyAlignment="1">
      <alignment horizontal="center"/>
    </xf>
    <xf numFmtId="0" fontId="3" fillId="65" borderId="13" xfId="304" applyFill="1" applyBorder="1" applyAlignment="1">
      <alignment horizontal="center"/>
    </xf>
    <xf numFmtId="175" fontId="23" fillId="65" borderId="13" xfId="172" applyNumberFormat="1" applyFont="1" applyFill="1" applyBorder="1"/>
    <xf numFmtId="0" fontId="67" fillId="0" borderId="0" xfId="304" applyFont="1" applyAlignment="1">
      <alignment horizontal="left"/>
    </xf>
    <xf numFmtId="175" fontId="67" fillId="0" borderId="0" xfId="172" applyNumberFormat="1" applyFont="1" applyFill="1"/>
    <xf numFmtId="0" fontId="67" fillId="0" borderId="0" xfId="304" applyFont="1" applyAlignment="1">
      <alignment horizontal="right"/>
    </xf>
    <xf numFmtId="0" fontId="178" fillId="0" borderId="0" xfId="304" applyFont="1"/>
    <xf numFmtId="174" fontId="0" fillId="0" borderId="0" xfId="0" applyAlignment="1">
      <alignment horizontal="center"/>
    </xf>
    <xf numFmtId="170" fontId="0" fillId="0" borderId="0" xfId="0" applyNumberFormat="1"/>
    <xf numFmtId="174" fontId="46" fillId="0" borderId="0" xfId="0" applyFont="1" applyAlignment="1">
      <alignment horizontal="center"/>
    </xf>
    <xf numFmtId="175" fontId="46" fillId="0" borderId="0" xfId="154" applyNumberFormat="1" applyFont="1" applyBorder="1" applyAlignment="1">
      <alignment horizontal="center"/>
    </xf>
    <xf numFmtId="175" fontId="46" fillId="0" borderId="29" xfId="154" applyNumberFormat="1" applyFont="1" applyBorder="1" applyAlignment="1">
      <alignment horizontal="center"/>
    </xf>
    <xf numFmtId="0" fontId="46" fillId="0" borderId="31" xfId="154" applyNumberFormat="1" applyFont="1" applyBorder="1" applyAlignment="1">
      <alignment horizontal="center"/>
    </xf>
    <xf numFmtId="175" fontId="46" fillId="0" borderId="0" xfId="154" applyNumberFormat="1" applyFont="1" applyFill="1" applyBorder="1" applyAlignment="1">
      <alignment horizontal="center"/>
    </xf>
    <xf numFmtId="175" fontId="46" fillId="0" borderId="29" xfId="154" applyNumberFormat="1" applyFont="1" applyFill="1" applyBorder="1" applyAlignment="1">
      <alignment horizontal="center"/>
    </xf>
    <xf numFmtId="175" fontId="46" fillId="0" borderId="0" xfId="154" applyNumberFormat="1" applyFont="1" applyBorder="1"/>
    <xf numFmtId="175" fontId="46" fillId="0" borderId="29" xfId="154" applyNumberFormat="1" applyFont="1" applyBorder="1"/>
    <xf numFmtId="174" fontId="46" fillId="0" borderId="0" xfId="0" applyFont="1" applyAlignment="1">
      <alignment horizontal="left" indent="1"/>
    </xf>
    <xf numFmtId="174" fontId="46" fillId="0" borderId="0" xfId="0" applyFont="1" applyAlignment="1">
      <alignment horizontal="left" indent="2"/>
    </xf>
    <xf numFmtId="174" fontId="46" fillId="0" borderId="0" xfId="0" applyFont="1" applyAlignment="1">
      <alignment horizontal="left"/>
    </xf>
    <xf numFmtId="175" fontId="46" fillId="21" borderId="16" xfId="154" applyNumberFormat="1" applyFont="1" applyFill="1" applyBorder="1"/>
    <xf numFmtId="175" fontId="46" fillId="21" borderId="62" xfId="154" applyNumberFormat="1" applyFont="1" applyFill="1" applyBorder="1"/>
    <xf numFmtId="175" fontId="46" fillId="21" borderId="63" xfId="154" applyNumberFormat="1" applyFont="1" applyFill="1" applyBorder="1"/>
    <xf numFmtId="175" fontId="46" fillId="0" borderId="6" xfId="154" applyNumberFormat="1" applyFont="1" applyBorder="1"/>
    <xf numFmtId="174" fontId="46" fillId="0" borderId="0" xfId="0" applyFont="1" applyAlignment="1">
      <alignment horizontal="left" wrapText="1" indent="1"/>
    </xf>
    <xf numFmtId="0" fontId="46" fillId="0" borderId="33" xfId="154" applyNumberFormat="1" applyFont="1" applyBorder="1" applyAlignment="1">
      <alignment horizontal="center"/>
    </xf>
    <xf numFmtId="174" fontId="46" fillId="0" borderId="13" xfId="0" applyFont="1" applyBorder="1"/>
    <xf numFmtId="175" fontId="46" fillId="0" borderId="13" xfId="154" applyNumberFormat="1" applyFont="1" applyBorder="1"/>
    <xf numFmtId="175" fontId="46" fillId="0" borderId="32" xfId="154" applyNumberFormat="1" applyFont="1" applyBorder="1"/>
    <xf numFmtId="175" fontId="47" fillId="56" borderId="0" xfId="154" applyNumberFormat="1" applyFont="1" applyFill="1" applyBorder="1" applyAlignment="1">
      <alignment horizontal="center" wrapText="1"/>
    </xf>
    <xf numFmtId="175" fontId="46" fillId="0" borderId="0" xfId="154" applyNumberFormat="1" applyFont="1"/>
    <xf numFmtId="0" fontId="46" fillId="0" borderId="35" xfId="154" applyNumberFormat="1" applyFont="1" applyFill="1" applyBorder="1" applyAlignment="1">
      <alignment horizontal="center"/>
    </xf>
    <xf numFmtId="3" fontId="45" fillId="0" borderId="34" xfId="304" applyNumberFormat="1" applyFont="1" applyBorder="1" applyAlignment="1">
      <alignment horizontal="left"/>
    </xf>
    <xf numFmtId="0" fontId="46" fillId="0" borderId="34" xfId="304" applyFont="1" applyBorder="1"/>
    <xf numFmtId="175" fontId="46" fillId="0" borderId="34" xfId="154" applyNumberFormat="1" applyFont="1" applyFill="1" applyBorder="1"/>
    <xf numFmtId="175" fontId="46" fillId="0" borderId="34" xfId="154" applyNumberFormat="1" applyFont="1" applyFill="1" applyBorder="1" applyAlignment="1">
      <alignment horizontal="center"/>
    </xf>
    <xf numFmtId="175" fontId="46" fillId="0" borderId="34" xfId="154" applyNumberFormat="1" applyFont="1" applyBorder="1"/>
    <xf numFmtId="175" fontId="46" fillId="0" borderId="42" xfId="154" applyNumberFormat="1" applyFont="1" applyBorder="1"/>
    <xf numFmtId="0" fontId="45" fillId="0" borderId="31" xfId="154" applyNumberFormat="1" applyFont="1" applyBorder="1" applyAlignment="1">
      <alignment horizontal="center"/>
    </xf>
    <xf numFmtId="174" fontId="45" fillId="0" borderId="0" xfId="0" applyFont="1" applyAlignment="1">
      <alignment horizontal="center"/>
    </xf>
    <xf numFmtId="0" fontId="45" fillId="0" borderId="44" xfId="154" applyNumberFormat="1" applyFont="1" applyBorder="1" applyAlignment="1">
      <alignment horizontal="center"/>
    </xf>
    <xf numFmtId="174" fontId="45" fillId="0" borderId="3" xfId="0" applyFont="1" applyBorder="1" applyAlignment="1">
      <alignment horizontal="center"/>
    </xf>
    <xf numFmtId="175" fontId="45" fillId="0" borderId="3" xfId="154" applyNumberFormat="1" applyFont="1" applyFill="1" applyBorder="1" applyAlignment="1">
      <alignment horizontal="center"/>
    </xf>
    <xf numFmtId="175" fontId="45" fillId="0" borderId="45" xfId="154" applyNumberFormat="1" applyFont="1" applyFill="1" applyBorder="1" applyAlignment="1">
      <alignment horizontal="center"/>
    </xf>
    <xf numFmtId="175" fontId="46" fillId="21" borderId="64" xfId="154" applyNumberFormat="1" applyFont="1" applyFill="1" applyBorder="1"/>
    <xf numFmtId="175" fontId="46" fillId="0" borderId="65" xfId="154" applyNumberFormat="1" applyFont="1" applyBorder="1"/>
    <xf numFmtId="175" fontId="46" fillId="0" borderId="29" xfId="154" applyNumberFormat="1" applyFont="1" applyFill="1" applyBorder="1"/>
    <xf numFmtId="175" fontId="45" fillId="0" borderId="0" xfId="154" applyNumberFormat="1" applyFont="1" applyBorder="1"/>
    <xf numFmtId="175" fontId="45" fillId="0" borderId="29" xfId="154" applyNumberFormat="1" applyFont="1" applyBorder="1"/>
    <xf numFmtId="174" fontId="46" fillId="0" borderId="0" xfId="0" applyFont="1" applyAlignment="1">
      <alignment horizontal="left" wrapText="1" indent="2"/>
    </xf>
    <xf numFmtId="175" fontId="46" fillId="21" borderId="66" xfId="154" applyNumberFormat="1" applyFont="1" applyFill="1" applyBorder="1"/>
    <xf numFmtId="43" fontId="10" fillId="65" borderId="0" xfId="154" applyFont="1" applyFill="1" applyAlignment="1"/>
    <xf numFmtId="43" fontId="46" fillId="0" borderId="0" xfId="154" applyFont="1" applyFill="1" applyBorder="1" applyAlignment="1">
      <alignment horizontal="center"/>
    </xf>
    <xf numFmtId="175" fontId="179" fillId="0" borderId="0" xfId="154" applyNumberFormat="1" applyFont="1" applyFill="1" applyBorder="1"/>
    <xf numFmtId="43" fontId="46" fillId="0" borderId="0" xfId="154" applyFont="1" applyFill="1" applyBorder="1"/>
    <xf numFmtId="181" fontId="46" fillId="0" borderId="0" xfId="154" applyNumberFormat="1" applyFont="1" applyFill="1" applyBorder="1"/>
    <xf numFmtId="174" fontId="46" fillId="0" borderId="0" xfId="0" applyFont="1" applyAlignment="1">
      <alignment vertical="center"/>
    </xf>
    <xf numFmtId="0" fontId="70" fillId="0" borderId="0" xfId="318" applyFont="1" applyAlignment="1" applyProtection="1">
      <alignment horizontal="center"/>
      <protection locked="0"/>
    </xf>
    <xf numFmtId="0" fontId="169" fillId="0" borderId="0" xfId="318" applyFont="1" applyAlignment="1" applyProtection="1">
      <alignment horizontal="center"/>
      <protection locked="0"/>
    </xf>
    <xf numFmtId="0" fontId="70" fillId="0" borderId="0" xfId="318" applyFont="1" applyAlignment="1">
      <alignment horizontal="center"/>
    </xf>
    <xf numFmtId="178" fontId="70" fillId="0" borderId="0" xfId="333" applyNumberFormat="1" applyFont="1" applyFill="1"/>
    <xf numFmtId="43" fontId="70" fillId="0" borderId="0" xfId="0" applyNumberFormat="1" applyFont="1"/>
    <xf numFmtId="174" fontId="68" fillId="0" borderId="0" xfId="318" applyNumberFormat="1" applyFont="1" applyProtection="1">
      <protection locked="0"/>
    </xf>
    <xf numFmtId="3" fontId="68" fillId="0" borderId="0" xfId="318" applyNumberFormat="1" applyFont="1"/>
    <xf numFmtId="0" fontId="68" fillId="0" borderId="0" xfId="318" applyFont="1" applyProtection="1">
      <protection locked="0"/>
    </xf>
    <xf numFmtId="170" fontId="39" fillId="0" borderId="0" xfId="318" applyNumberFormat="1" applyFont="1" applyProtection="1">
      <protection locked="0"/>
    </xf>
    <xf numFmtId="0" fontId="39" fillId="0" borderId="0" xfId="318" applyFont="1" applyProtection="1"/>
    <xf numFmtId="3" fontId="39" fillId="0" borderId="0" xfId="318" applyNumberFormat="1" applyFont="1" applyProtection="1"/>
    <xf numFmtId="0" fontId="68" fillId="0" borderId="0" xfId="318" applyFont="1" applyAlignment="1" applyProtection="1">
      <alignment horizontal="center"/>
      <protection locked="0"/>
    </xf>
    <xf numFmtId="3" fontId="180" fillId="0" borderId="0" xfId="318" applyNumberFormat="1" applyFont="1"/>
    <xf numFmtId="0" fontId="159" fillId="0" borderId="0" xfId="318" applyFont="1" applyAlignment="1" applyProtection="1">
      <alignment horizontal="left"/>
      <protection locked="0"/>
    </xf>
    <xf numFmtId="0" fontId="68" fillId="0" borderId="0" xfId="0" applyNumberFormat="1" applyFont="1"/>
    <xf numFmtId="0" fontId="160" fillId="0" borderId="0" xfId="0" applyNumberFormat="1" applyFont="1"/>
    <xf numFmtId="0" fontId="70" fillId="0" borderId="0" xfId="0" applyNumberFormat="1" applyFont="1" applyAlignment="1">
      <alignment horizontal="center" vertical="top"/>
    </xf>
    <xf numFmtId="0" fontId="70" fillId="0" borderId="0" xfId="0" applyNumberFormat="1" applyFont="1" applyAlignment="1">
      <alignment horizontal="center"/>
    </xf>
    <xf numFmtId="175" fontId="46" fillId="0" borderId="0" xfId="172" applyNumberFormat="1" applyFont="1" applyBorder="1" applyAlignment="1"/>
    <xf numFmtId="175" fontId="46" fillId="40" borderId="0" xfId="172" applyNumberFormat="1" applyFont="1" applyFill="1" applyAlignment="1"/>
    <xf numFmtId="175" fontId="46" fillId="0" borderId="0" xfId="304" applyNumberFormat="1" applyFont="1"/>
    <xf numFmtId="0" fontId="72" fillId="0" borderId="0" xfId="304" applyFont="1"/>
    <xf numFmtId="174" fontId="46" fillId="0" borderId="3" xfId="0" applyFont="1" applyBorder="1"/>
    <xf numFmtId="174" fontId="46" fillId="0" borderId="0" xfId="0" applyFont="1" applyAlignment="1">
      <alignment horizontal="centerContinuous"/>
    </xf>
    <xf numFmtId="0" fontId="46" fillId="0" borderId="0" xfId="0" applyNumberFormat="1" applyFont="1" applyAlignment="1">
      <alignment horizontal="center"/>
    </xf>
    <xf numFmtId="174" fontId="161" fillId="0" borderId="0" xfId="0" applyFont="1" applyAlignment="1">
      <alignment horizontal="right"/>
    </xf>
    <xf numFmtId="0" fontId="46" fillId="65" borderId="0" xfId="0" applyNumberFormat="1" applyFont="1" applyFill="1" applyAlignment="1">
      <alignment horizontal="center"/>
    </xf>
    <xf numFmtId="170" fontId="46" fillId="65" borderId="0" xfId="0" applyNumberFormat="1" applyFont="1" applyFill="1"/>
    <xf numFmtId="175" fontId="46" fillId="65" borderId="0" xfId="154" applyNumberFormat="1" applyFont="1" applyFill="1"/>
    <xf numFmtId="170" fontId="46" fillId="0" borderId="0" xfId="0" applyNumberFormat="1" applyFont="1"/>
    <xf numFmtId="175" fontId="46" fillId="0" borderId="8" xfId="154" applyNumberFormat="1" applyFont="1" applyBorder="1"/>
    <xf numFmtId="170" fontId="45" fillId="0" borderId="0" xfId="0" applyNumberFormat="1" applyFont="1"/>
    <xf numFmtId="175" fontId="46" fillId="0" borderId="0" xfId="172" applyNumberFormat="1" applyFont="1" applyFill="1" applyAlignment="1">
      <alignment horizontal="right"/>
    </xf>
    <xf numFmtId="0" fontId="46" fillId="65" borderId="0" xfId="304" applyFont="1" applyFill="1"/>
    <xf numFmtId="175" fontId="46" fillId="21" borderId="0" xfId="172" applyNumberFormat="1" applyFont="1" applyFill="1"/>
    <xf numFmtId="3" fontId="46" fillId="0" borderId="3" xfId="304" applyNumberFormat="1" applyFont="1" applyBorder="1"/>
    <xf numFmtId="0" fontId="46" fillId="0" borderId="29" xfId="304" applyFont="1" applyBorder="1" applyAlignment="1">
      <alignment horizontal="right"/>
    </xf>
    <xf numFmtId="175" fontId="46" fillId="21" borderId="29" xfId="172" applyNumberFormat="1" applyFont="1" applyFill="1" applyBorder="1" applyAlignment="1">
      <alignment horizontal="right"/>
    </xf>
    <xf numFmtId="0" fontId="46" fillId="0" borderId="0" xfId="304" applyFont="1" applyAlignment="1">
      <alignment horizontal="left"/>
    </xf>
    <xf numFmtId="0" fontId="46" fillId="0" borderId="3" xfId="304" applyFont="1" applyBorder="1" applyAlignment="1">
      <alignment horizontal="left"/>
    </xf>
    <xf numFmtId="175" fontId="46" fillId="21" borderId="45" xfId="172" applyNumberFormat="1" applyFont="1" applyFill="1" applyBorder="1" applyAlignment="1">
      <alignment horizontal="right"/>
    </xf>
    <xf numFmtId="0" fontId="45" fillId="0" borderId="0" xfId="304" applyFont="1" applyAlignment="1">
      <alignment horizontal="left"/>
    </xf>
    <xf numFmtId="3" fontId="73" fillId="0" borderId="0" xfId="304" applyNumberFormat="1" applyFont="1" applyAlignment="1">
      <alignment horizontal="center"/>
    </xf>
    <xf numFmtId="175" fontId="46" fillId="0" borderId="29" xfId="172" applyNumberFormat="1" applyFont="1" applyFill="1" applyBorder="1" applyAlignment="1">
      <alignment horizontal="right"/>
    </xf>
    <xf numFmtId="0" fontId="73" fillId="0" borderId="0" xfId="304" applyFont="1" applyAlignment="1">
      <alignment horizontal="center"/>
    </xf>
    <xf numFmtId="0" fontId="46" fillId="0" borderId="29" xfId="304" applyFont="1" applyBorder="1" applyAlignment="1">
      <alignment horizontal="left"/>
    </xf>
    <xf numFmtId="175" fontId="73" fillId="0" borderId="0" xfId="154" applyNumberFormat="1" applyFont="1" applyFill="1" applyBorder="1" applyAlignment="1">
      <alignment horizontal="center"/>
    </xf>
    <xf numFmtId="175" fontId="73" fillId="0" borderId="0" xfId="154" applyNumberFormat="1" applyFont="1" applyBorder="1" applyAlignment="1">
      <alignment horizontal="center"/>
    </xf>
    <xf numFmtId="3" fontId="46" fillId="0" borderId="29" xfId="304" applyNumberFormat="1" applyFont="1" applyBorder="1" applyAlignment="1">
      <alignment horizontal="left"/>
    </xf>
    <xf numFmtId="175" fontId="46" fillId="0" borderId="29" xfId="172" applyNumberFormat="1" applyFont="1" applyBorder="1" applyAlignment="1">
      <alignment horizontal="right"/>
    </xf>
    <xf numFmtId="0" fontId="46" fillId="0" borderId="13" xfId="304" applyFont="1" applyBorder="1" applyAlignment="1">
      <alignment horizontal="center"/>
    </xf>
    <xf numFmtId="0" fontId="46" fillId="0" borderId="13" xfId="304" applyFont="1" applyBorder="1" applyAlignment="1">
      <alignment horizontal="left"/>
    </xf>
    <xf numFmtId="0" fontId="73" fillId="0" borderId="13" xfId="304" applyFont="1" applyBorder="1" applyAlignment="1">
      <alignment horizontal="center"/>
    </xf>
    <xf numFmtId="0" fontId="46" fillId="0" borderId="32" xfId="304" applyFont="1" applyBorder="1" applyAlignment="1">
      <alignment horizontal="left"/>
    </xf>
    <xf numFmtId="0" fontId="47" fillId="0" borderId="31" xfId="304" applyFont="1" applyBorder="1" applyAlignment="1">
      <alignment horizontal="left"/>
    </xf>
    <xf numFmtId="174" fontId="23" fillId="0" borderId="0" xfId="0" applyFont="1"/>
    <xf numFmtId="9" fontId="23" fillId="0" borderId="0" xfId="318" applyNumberFormat="1"/>
    <xf numFmtId="0" fontId="3" fillId="0" borderId="34" xfId="304" applyBorder="1" applyAlignment="1">
      <alignment horizontal="center" wrapText="1"/>
    </xf>
    <xf numFmtId="0" fontId="3" fillId="0" borderId="42" xfId="304" applyBorder="1" applyAlignment="1">
      <alignment horizontal="center" wrapText="1"/>
    </xf>
    <xf numFmtId="174" fontId="44" fillId="0" borderId="67" xfId="309" applyFont="1" applyBorder="1" applyAlignment="1">
      <alignment wrapText="1"/>
    </xf>
    <xf numFmtId="174" fontId="44" fillId="0" borderId="50" xfId="309" applyFont="1" applyBorder="1" applyAlignment="1">
      <alignment horizontal="center" wrapText="1"/>
    </xf>
    <xf numFmtId="175" fontId="44" fillId="0" borderId="17" xfId="154" applyNumberFormat="1" applyFont="1" applyBorder="1" applyAlignment="1"/>
    <xf numFmtId="0" fontId="44" fillId="0" borderId="0" xfId="154" applyNumberFormat="1" applyFont="1" applyBorder="1" applyAlignment="1">
      <alignment horizontal="left"/>
    </xf>
    <xf numFmtId="175" fontId="10" fillId="0" borderId="0" xfId="314" applyNumberFormat="1" applyFont="1" applyProtection="1">
      <protection locked="0"/>
    </xf>
    <xf numFmtId="10" fontId="40" fillId="0" borderId="0" xfId="333" applyNumberFormat="1" applyFont="1" applyFill="1" applyAlignment="1"/>
    <xf numFmtId="9" fontId="40" fillId="0" borderId="0" xfId="333" applyFont="1" applyAlignment="1"/>
    <xf numFmtId="10" fontId="40" fillId="0" borderId="0" xfId="333" applyNumberFormat="1" applyFont="1" applyAlignment="1"/>
    <xf numFmtId="10" fontId="40" fillId="0" borderId="13" xfId="333" applyNumberFormat="1" applyFont="1" applyBorder="1" applyAlignment="1"/>
    <xf numFmtId="179" fontId="40" fillId="0" borderId="0" xfId="154" applyNumberFormat="1" applyFont="1" applyAlignment="1"/>
    <xf numFmtId="179" fontId="40" fillId="0" borderId="13" xfId="154" applyNumberFormat="1" applyFont="1" applyBorder="1" applyAlignment="1"/>
    <xf numFmtId="43" fontId="3" fillId="0" borderId="0" xfId="154" applyFont="1" applyFill="1" applyBorder="1" applyAlignment="1">
      <alignment horizontal="right"/>
    </xf>
    <xf numFmtId="175" fontId="3" fillId="0" borderId="29" xfId="304" applyNumberFormat="1" applyBorder="1"/>
    <xf numFmtId="43" fontId="44" fillId="0" borderId="0" xfId="154" applyFont="1" applyBorder="1" applyAlignment="1"/>
    <xf numFmtId="17" fontId="44" fillId="0" borderId="5" xfId="308" applyNumberFormat="1" applyFont="1" applyBorder="1" applyAlignment="1">
      <alignment horizontal="center" wrapText="1"/>
    </xf>
    <xf numFmtId="17" fontId="44" fillId="0" borderId="37" xfId="308" applyNumberFormat="1" applyFont="1" applyBorder="1" applyAlignment="1">
      <alignment horizontal="center" wrapText="1"/>
    </xf>
    <xf numFmtId="0" fontId="44" fillId="0" borderId="36" xfId="308" applyFont="1" applyBorder="1" applyAlignment="1">
      <alignment horizontal="center" wrapText="1"/>
    </xf>
    <xf numFmtId="0" fontId="44" fillId="0" borderId="5" xfId="308" applyFont="1" applyBorder="1" applyAlignment="1">
      <alignment horizontal="center" wrapText="1"/>
    </xf>
    <xf numFmtId="175" fontId="46" fillId="0" borderId="68" xfId="172" applyNumberFormat="1" applyFont="1" applyFill="1" applyBorder="1" applyAlignment="1">
      <alignment horizontal="right"/>
    </xf>
    <xf numFmtId="43" fontId="3" fillId="0" borderId="0" xfId="154" applyFont="1" applyFill="1" applyBorder="1" applyAlignment="1"/>
    <xf numFmtId="0" fontId="23" fillId="0" borderId="31" xfId="318" applyBorder="1"/>
    <xf numFmtId="3" fontId="3" fillId="0" borderId="33" xfId="318" applyNumberFormat="1" applyFont="1" applyBorder="1"/>
    <xf numFmtId="165" fontId="3" fillId="0" borderId="13" xfId="318" applyNumberFormat="1" applyFont="1" applyBorder="1"/>
    <xf numFmtId="3" fontId="3" fillId="0" borderId="13" xfId="318" applyNumberFormat="1" applyFont="1" applyBorder="1"/>
    <xf numFmtId="3" fontId="3" fillId="0" borderId="13" xfId="318" applyNumberFormat="1" applyFont="1" applyBorder="1" applyAlignment="1">
      <alignment horizontal="right"/>
    </xf>
    <xf numFmtId="0" fontId="51" fillId="0" borderId="32" xfId="318" applyFont="1" applyBorder="1"/>
    <xf numFmtId="43" fontId="28" fillId="65" borderId="31" xfId="154" applyFont="1" applyFill="1" applyBorder="1"/>
    <xf numFmtId="170" fontId="40" fillId="0" borderId="0" xfId="0" applyNumberFormat="1" applyFont="1" applyAlignment="1">
      <alignment horizontal="center"/>
    </xf>
    <xf numFmtId="174" fontId="40" fillId="0" borderId="0" xfId="0" applyFont="1" applyAlignment="1">
      <alignment horizontal="center"/>
    </xf>
    <xf numFmtId="175" fontId="40" fillId="0" borderId="3" xfId="154" applyNumberFormat="1" applyFont="1" applyBorder="1" applyAlignment="1"/>
    <xf numFmtId="175" fontId="10" fillId="0" borderId="0" xfId="314" applyNumberFormat="1" applyFont="1" applyAlignment="1" applyProtection="1">
      <alignment horizontal="center"/>
      <protection locked="0"/>
    </xf>
    <xf numFmtId="175" fontId="0" fillId="0" borderId="0" xfId="154" applyNumberFormat="1" applyFont="1" applyAlignment="1">
      <alignment horizontal="right"/>
    </xf>
    <xf numFmtId="175" fontId="40" fillId="0" borderId="0" xfId="154" applyNumberFormat="1" applyFont="1" applyAlignment="1" applyProtection="1">
      <alignment horizontal="right"/>
      <protection locked="0"/>
    </xf>
    <xf numFmtId="175" fontId="40" fillId="0" borderId="0" xfId="154" applyNumberFormat="1" applyFont="1" applyFill="1" applyAlignment="1" applyProtection="1">
      <alignment horizontal="right"/>
      <protection locked="0"/>
    </xf>
    <xf numFmtId="174" fontId="40" fillId="0" borderId="0" xfId="0" applyFont="1" applyAlignment="1">
      <alignment horizontal="right"/>
    </xf>
    <xf numFmtId="174" fontId="69" fillId="0" borderId="0" xfId="0" applyFont="1" applyAlignment="1">
      <alignment horizontal="right"/>
    </xf>
    <xf numFmtId="175" fontId="0" fillId="0" borderId="0" xfId="154" applyNumberFormat="1" applyFont="1" applyFill="1" applyAlignment="1">
      <alignment horizontal="right"/>
    </xf>
    <xf numFmtId="174" fontId="0" fillId="0" borderId="0" xfId="0" applyAlignment="1">
      <alignment horizontal="right"/>
    </xf>
    <xf numFmtId="174" fontId="23" fillId="0" borderId="0" xfId="0" applyFont="1" applyAlignment="1">
      <alignment horizontal="right"/>
    </xf>
    <xf numFmtId="175" fontId="69" fillId="0" borderId="0" xfId="154" applyNumberFormat="1" applyFont="1" applyFill="1" applyBorder="1" applyAlignment="1" applyProtection="1">
      <alignment horizontal="right"/>
      <protection locked="0"/>
    </xf>
    <xf numFmtId="175" fontId="40" fillId="0" borderId="0" xfId="154" applyNumberFormat="1" applyFont="1" applyFill="1" applyBorder="1" applyAlignment="1" applyProtection="1">
      <alignment horizontal="right"/>
      <protection locked="0"/>
    </xf>
    <xf numFmtId="174" fontId="69" fillId="0" borderId="0" xfId="0" applyFont="1" applyAlignment="1">
      <alignment horizontal="left"/>
    </xf>
    <xf numFmtId="175" fontId="62" fillId="0" borderId="0" xfId="154" applyNumberFormat="1" applyFont="1" applyAlignment="1">
      <alignment horizontal="left"/>
    </xf>
    <xf numFmtId="49" fontId="10" fillId="0" borderId="0" xfId="300" applyNumberFormat="1" applyFont="1" applyAlignment="1">
      <alignment horizontal="center"/>
    </xf>
    <xf numFmtId="49" fontId="68" fillId="0" borderId="0" xfId="300" applyNumberFormat="1" applyFont="1" applyAlignment="1">
      <alignment horizontal="center"/>
    </xf>
    <xf numFmtId="0" fontId="166" fillId="64" borderId="34" xfId="304" applyFont="1" applyFill="1" applyBorder="1" applyAlignment="1">
      <alignment wrapText="1"/>
    </xf>
    <xf numFmtId="43" fontId="3" fillId="65" borderId="0" xfId="154" applyFont="1" applyFill="1" applyBorder="1"/>
    <xf numFmtId="42" fontId="0" fillId="0" borderId="0" xfId="318" applyNumberFormat="1" applyFont="1" applyAlignment="1">
      <alignment horizontal="center" wrapText="1"/>
    </xf>
    <xf numFmtId="175" fontId="44" fillId="0" borderId="5" xfId="154" applyNumberFormat="1" applyFont="1" applyBorder="1"/>
    <xf numFmtId="175" fontId="44" fillId="0" borderId="0" xfId="154" applyNumberFormat="1" applyFont="1" applyBorder="1"/>
    <xf numFmtId="183" fontId="44" fillId="0" borderId="0" xfId="154" applyNumberFormat="1" applyFont="1" applyBorder="1"/>
    <xf numFmtId="175" fontId="44" fillId="0" borderId="5" xfId="154" applyNumberFormat="1" applyFont="1" applyBorder="1" applyAlignment="1">
      <alignment horizontal="center"/>
    </xf>
    <xf numFmtId="175" fontId="44" fillId="0" borderId="0" xfId="154" applyNumberFormat="1" applyFont="1" applyBorder="1" applyAlignment="1">
      <alignment horizontal="center"/>
    </xf>
    <xf numFmtId="175" fontId="44" fillId="0" borderId="5" xfId="308" applyNumberFormat="1" applyFont="1" applyBorder="1"/>
    <xf numFmtId="175" fontId="44" fillId="0" borderId="0" xfId="308" applyNumberFormat="1" applyFont="1"/>
    <xf numFmtId="49" fontId="44" fillId="65" borderId="5" xfId="315" applyNumberFormat="1" applyFont="1" applyFill="1" applyBorder="1" applyAlignment="1">
      <alignment horizontal="center" wrapText="1"/>
    </xf>
    <xf numFmtId="49" fontId="44" fillId="65" borderId="5" xfId="181" applyNumberFormat="1" applyFont="1" applyFill="1" applyBorder="1" applyAlignment="1">
      <alignment horizontal="center" wrapText="1"/>
    </xf>
    <xf numFmtId="175" fontId="44" fillId="0" borderId="3" xfId="154" applyNumberFormat="1" applyFont="1" applyBorder="1"/>
    <xf numFmtId="175" fontId="44" fillId="0" borderId="3" xfId="154" applyNumberFormat="1" applyFont="1" applyBorder="1" applyAlignment="1">
      <alignment horizontal="center"/>
    </xf>
    <xf numFmtId="175" fontId="44" fillId="0" borderId="3" xfId="308" applyNumberFormat="1" applyFont="1" applyBorder="1"/>
    <xf numFmtId="183" fontId="44" fillId="0" borderId="0" xfId="154" applyNumberFormat="1" applyFont="1" applyBorder="1" applyAlignment="1">
      <alignment horizontal="center"/>
    </xf>
    <xf numFmtId="0" fontId="44" fillId="0" borderId="36" xfId="315" applyFont="1" applyBorder="1"/>
    <xf numFmtId="0" fontId="44" fillId="0" borderId="27" xfId="315" applyFont="1" applyBorder="1"/>
    <xf numFmtId="0" fontId="44" fillId="0" borderId="39" xfId="315" applyFont="1" applyBorder="1"/>
    <xf numFmtId="49" fontId="44" fillId="65" borderId="27" xfId="181" applyNumberFormat="1" applyFont="1" applyFill="1" applyBorder="1" applyAlignment="1">
      <alignment horizontal="left"/>
    </xf>
    <xf numFmtId="175" fontId="44" fillId="0" borderId="38" xfId="181" applyNumberFormat="1" applyFont="1" applyBorder="1"/>
    <xf numFmtId="49" fontId="44" fillId="65" borderId="27" xfId="181" applyNumberFormat="1" applyFont="1" applyFill="1" applyBorder="1"/>
    <xf numFmtId="49" fontId="44" fillId="65" borderId="39" xfId="181" applyNumberFormat="1" applyFont="1" applyFill="1" applyBorder="1"/>
    <xf numFmtId="175" fontId="44" fillId="0" borderId="40" xfId="181" applyNumberFormat="1" applyFont="1" applyBorder="1"/>
    <xf numFmtId="0" fontId="3" fillId="0" borderId="35" xfId="304" applyBorder="1" applyAlignment="1">
      <alignment horizontal="left"/>
    </xf>
    <xf numFmtId="0" fontId="3" fillId="0" borderId="0" xfId="321" applyAlignment="1">
      <alignment horizontal="center" wrapText="1"/>
    </xf>
    <xf numFmtId="175" fontId="3" fillId="0" borderId="0" xfId="154" applyNumberFormat="1" applyFont="1" applyFill="1" applyAlignment="1">
      <alignment horizontal="center" wrapText="1"/>
    </xf>
    <xf numFmtId="174" fontId="48" fillId="0" borderId="0" xfId="309" applyFont="1"/>
    <xf numFmtId="174" fontId="44" fillId="0" borderId="5" xfId="309" applyFont="1" applyBorder="1" applyAlignment="1">
      <alignment horizontal="center" wrapText="1"/>
    </xf>
    <xf numFmtId="174" fontId="0" fillId="0" borderId="5" xfId="0" applyBorder="1"/>
    <xf numFmtId="174" fontId="44" fillId="0" borderId="37" xfId="309" applyFont="1" applyBorder="1" applyAlignment="1">
      <alignment horizontal="center" wrapText="1"/>
    </xf>
    <xf numFmtId="0" fontId="166" fillId="64" borderId="35" xfId="304" applyFont="1" applyFill="1" applyBorder="1" applyAlignment="1">
      <alignment horizontal="center" wrapText="1"/>
    </xf>
    <xf numFmtId="0" fontId="166" fillId="64" borderId="34" xfId="303" applyFont="1" applyFill="1" applyBorder="1" applyAlignment="1">
      <alignment horizontal="center" wrapText="1"/>
    </xf>
    <xf numFmtId="0" fontId="49" fillId="64" borderId="0" xfId="304" applyFont="1" applyFill="1" applyAlignment="1">
      <alignment horizontal="center" wrapText="1"/>
    </xf>
    <xf numFmtId="0" fontId="166" fillId="64" borderId="0" xfId="304" applyFont="1" applyFill="1" applyAlignment="1">
      <alignment horizontal="left"/>
    </xf>
    <xf numFmtId="175" fontId="0" fillId="0" borderId="0" xfId="154" applyNumberFormat="1" applyFont="1" applyFill="1" applyBorder="1" applyAlignment="1"/>
    <xf numFmtId="175" fontId="23" fillId="65" borderId="0" xfId="154" applyNumberFormat="1" applyFont="1" applyFill="1" applyBorder="1" applyAlignment="1">
      <alignment horizontal="left"/>
    </xf>
    <xf numFmtId="175" fontId="40" fillId="65" borderId="35" xfId="154" applyNumberFormat="1" applyFont="1" applyFill="1" applyBorder="1" applyAlignment="1" applyProtection="1">
      <alignment horizontal="right"/>
      <protection locked="0"/>
    </xf>
    <xf numFmtId="175" fontId="23" fillId="65" borderId="34" xfId="154" applyNumberFormat="1" applyFont="1" applyFill="1" applyBorder="1" applyAlignment="1"/>
    <xf numFmtId="10" fontId="40" fillId="0" borderId="34" xfId="320" applyNumberFormat="1" applyFont="1" applyBorder="1" applyAlignment="1" applyProtection="1">
      <alignment horizontal="right"/>
      <protection locked="0"/>
    </xf>
    <xf numFmtId="175" fontId="0" fillId="0" borderId="34" xfId="154" applyNumberFormat="1" applyFont="1" applyBorder="1" applyAlignment="1"/>
    <xf numFmtId="175" fontId="40" fillId="0" borderId="34" xfId="154" applyNumberFormat="1" applyFont="1" applyFill="1" applyBorder="1" applyAlignment="1"/>
    <xf numFmtId="175" fontId="0" fillId="0" borderId="42" xfId="154" applyNumberFormat="1" applyFont="1" applyBorder="1" applyAlignment="1"/>
    <xf numFmtId="175" fontId="40" fillId="65" borderId="31" xfId="154" applyNumberFormat="1" applyFont="1" applyFill="1" applyBorder="1" applyAlignment="1" applyProtection="1">
      <alignment horizontal="right"/>
      <protection locked="0"/>
    </xf>
    <xf numFmtId="175" fontId="0" fillId="0" borderId="0" xfId="154" applyNumberFormat="1" applyFont="1" applyBorder="1" applyAlignment="1"/>
    <xf numFmtId="175" fontId="0" fillId="0" borderId="29" xfId="154" applyNumberFormat="1" applyFont="1" applyBorder="1" applyAlignment="1"/>
    <xf numFmtId="175" fontId="23" fillId="65" borderId="33" xfId="154" applyNumberFormat="1" applyFont="1" applyFill="1" applyBorder="1" applyAlignment="1">
      <alignment horizontal="right"/>
    </xf>
    <xf numFmtId="174" fontId="0" fillId="0" borderId="13" xfId="0" applyBorder="1"/>
    <xf numFmtId="175" fontId="0" fillId="0" borderId="13" xfId="154" applyNumberFormat="1" applyFont="1" applyFill="1" applyBorder="1" applyAlignment="1"/>
    <xf numFmtId="175" fontId="0" fillId="0" borderId="13" xfId="154" applyNumberFormat="1" applyFont="1" applyBorder="1" applyAlignment="1"/>
    <xf numFmtId="175" fontId="0" fillId="0" borderId="32" xfId="154" applyNumberFormat="1" applyFont="1" applyFill="1" applyBorder="1" applyAlignment="1"/>
    <xf numFmtId="175" fontId="40" fillId="65" borderId="33" xfId="154" applyNumberFormat="1" applyFont="1" applyFill="1" applyBorder="1" applyAlignment="1" applyProtection="1">
      <alignment horizontal="right"/>
      <protection locked="0"/>
    </xf>
    <xf numFmtId="164" fontId="10" fillId="65" borderId="13" xfId="318" applyNumberFormat="1" applyFont="1" applyFill="1" applyBorder="1" applyAlignment="1" applyProtection="1">
      <alignment horizontal="left"/>
      <protection locked="0"/>
    </xf>
    <xf numFmtId="0" fontId="23" fillId="65" borderId="13" xfId="318" applyFill="1" applyBorder="1"/>
    <xf numFmtId="175" fontId="10" fillId="65" borderId="13" xfId="154" applyNumberFormat="1" applyFont="1" applyFill="1" applyBorder="1" applyAlignment="1">
      <alignment horizontal="right"/>
    </xf>
    <xf numFmtId="10" fontId="40" fillId="0" borderId="13" xfId="333" applyNumberFormat="1" applyFont="1" applyFill="1" applyBorder="1" applyAlignment="1"/>
    <xf numFmtId="175" fontId="23" fillId="65" borderId="13" xfId="154" applyNumberFormat="1" applyFont="1" applyFill="1" applyBorder="1" applyAlignment="1"/>
    <xf numFmtId="175" fontId="40" fillId="0" borderId="13" xfId="154" applyNumberFormat="1" applyFont="1" applyFill="1" applyBorder="1" applyAlignment="1"/>
    <xf numFmtId="175" fontId="0" fillId="0" borderId="32" xfId="154" applyNumberFormat="1" applyFont="1" applyBorder="1" applyAlignment="1"/>
    <xf numFmtId="175" fontId="40" fillId="0" borderId="69" xfId="154" applyNumberFormat="1" applyFont="1" applyFill="1" applyBorder="1" applyAlignment="1" applyProtection="1">
      <alignment horizontal="right"/>
      <protection locked="0"/>
    </xf>
    <xf numFmtId="174" fontId="0" fillId="0" borderId="70" xfId="0" applyBorder="1"/>
    <xf numFmtId="3" fontId="40" fillId="0" borderId="70" xfId="320" applyNumberFormat="1" applyFont="1" applyBorder="1" applyAlignment="1">
      <alignment horizontal="center" wrapText="1"/>
    </xf>
    <xf numFmtId="174" fontId="0" fillId="0" borderId="70" xfId="0" applyBorder="1" applyAlignment="1">
      <alignment horizontal="center"/>
    </xf>
    <xf numFmtId="174" fontId="0" fillId="0" borderId="70" xfId="0" applyBorder="1" applyAlignment="1">
      <alignment horizontal="center" wrapText="1"/>
    </xf>
    <xf numFmtId="170" fontId="40" fillId="0" borderId="70" xfId="0" applyNumberFormat="1" applyFont="1" applyBorder="1" applyAlignment="1">
      <alignment horizontal="center" wrapText="1"/>
    </xf>
    <xf numFmtId="174" fontId="0" fillId="0" borderId="71" xfId="0" applyBorder="1" applyAlignment="1">
      <alignment horizontal="center" wrapText="1"/>
    </xf>
    <xf numFmtId="37" fontId="70" fillId="0" borderId="0" xfId="0" applyNumberFormat="1" applyFont="1" applyAlignment="1">
      <alignment horizontal="left"/>
    </xf>
    <xf numFmtId="37" fontId="66" fillId="0" borderId="0" xfId="0" applyNumberFormat="1" applyFont="1" applyAlignment="1">
      <alignment horizontal="right"/>
    </xf>
    <xf numFmtId="10" fontId="40" fillId="0" borderId="0" xfId="154" applyNumberFormat="1" applyFont="1" applyAlignment="1"/>
    <xf numFmtId="174" fontId="48" fillId="0" borderId="0" xfId="309" applyFont="1" applyAlignment="1">
      <alignment horizontal="left"/>
    </xf>
    <xf numFmtId="3" fontId="10" fillId="65" borderId="0" xfId="0" applyNumberFormat="1" applyFont="1" applyFill="1"/>
    <xf numFmtId="256" fontId="23" fillId="0" borderId="0" xfId="154" applyNumberFormat="1" applyFont="1" applyFill="1" applyAlignment="1">
      <alignment horizontal="right"/>
    </xf>
    <xf numFmtId="0" fontId="62" fillId="0" borderId="0" xfId="0" applyNumberFormat="1" applyFont="1"/>
    <xf numFmtId="175" fontId="23" fillId="65" borderId="0" xfId="318" applyNumberFormat="1" applyFill="1"/>
    <xf numFmtId="175" fontId="23" fillId="65" borderId="0" xfId="154" applyNumberFormat="1" applyFont="1" applyFill="1" applyAlignment="1"/>
    <xf numFmtId="0" fontId="0" fillId="0" borderId="0" xfId="318" applyFont="1" applyAlignment="1">
      <alignment wrapText="1"/>
    </xf>
    <xf numFmtId="0" fontId="10" fillId="0" borderId="0" xfId="318" quotePrefix="1" applyFont="1" applyAlignment="1" applyProtection="1">
      <alignment horizontal="center"/>
      <protection locked="0"/>
    </xf>
    <xf numFmtId="175" fontId="44" fillId="0" borderId="5" xfId="308" applyNumberFormat="1" applyFont="1" applyBorder="1" applyAlignment="1">
      <alignment horizontal="center"/>
    </xf>
    <xf numFmtId="175" fontId="44" fillId="0" borderId="0" xfId="308" applyNumberFormat="1" applyFont="1" applyAlignment="1">
      <alignment horizontal="center"/>
    </xf>
    <xf numFmtId="175" fontId="44" fillId="0" borderId="3" xfId="308" applyNumberFormat="1" applyFont="1" applyBorder="1" applyAlignment="1">
      <alignment horizontal="center"/>
    </xf>
    <xf numFmtId="171" fontId="44" fillId="65" borderId="5" xfId="308" applyNumberFormat="1" applyFont="1" applyFill="1" applyBorder="1" applyAlignment="1">
      <alignment horizontal="center"/>
    </xf>
    <xf numFmtId="171" fontId="44" fillId="65" borderId="0" xfId="308" applyNumberFormat="1" applyFont="1" applyFill="1" applyAlignment="1">
      <alignment horizontal="center"/>
    </xf>
    <xf numFmtId="171" fontId="44" fillId="65" borderId="3" xfId="333" applyNumberFormat="1" applyFont="1" applyFill="1" applyBorder="1" applyAlignment="1">
      <alignment horizontal="center"/>
    </xf>
    <xf numFmtId="175" fontId="44" fillId="0" borderId="38" xfId="308" applyNumberFormat="1" applyFont="1" applyBorder="1" applyAlignment="1">
      <alignment horizontal="center"/>
    </xf>
    <xf numFmtId="175" fontId="44" fillId="0" borderId="40" xfId="308" applyNumberFormat="1" applyFont="1" applyBorder="1" applyAlignment="1">
      <alignment horizontal="center"/>
    </xf>
    <xf numFmtId="175" fontId="40" fillId="0" borderId="34" xfId="154" applyNumberFormat="1" applyFont="1" applyFill="1" applyBorder="1" applyAlignment="1" applyProtection="1">
      <alignment horizontal="center"/>
      <protection locked="0"/>
    </xf>
    <xf numFmtId="175" fontId="40" fillId="0" borderId="0" xfId="154" applyNumberFormat="1" applyFont="1" applyFill="1" applyBorder="1" applyAlignment="1">
      <alignment horizontal="center"/>
    </xf>
    <xf numFmtId="1" fontId="73" fillId="21" borderId="0" xfId="154" applyNumberFormat="1" applyFont="1" applyFill="1" applyBorder="1" applyAlignment="1">
      <alignment horizontal="center"/>
    </xf>
    <xf numFmtId="1" fontId="73" fillId="21" borderId="3" xfId="154" applyNumberFormat="1" applyFont="1" applyFill="1" applyBorder="1" applyAlignment="1">
      <alignment horizontal="center"/>
    </xf>
    <xf numFmtId="3" fontId="44" fillId="65" borderId="5" xfId="308" applyNumberFormat="1" applyFont="1" applyFill="1" applyBorder="1"/>
    <xf numFmtId="181" fontId="40" fillId="0" borderId="34" xfId="154" applyNumberFormat="1" applyFont="1" applyFill="1" applyBorder="1" applyAlignment="1" applyProtection="1">
      <alignment horizontal="center"/>
      <protection locked="0"/>
    </xf>
    <xf numFmtId="257" fontId="40" fillId="0" borderId="34" xfId="154" applyNumberFormat="1" applyFont="1" applyFill="1" applyBorder="1" applyAlignment="1"/>
    <xf numFmtId="181" fontId="40" fillId="0" borderId="0" xfId="154" applyNumberFormat="1" applyFont="1" applyFill="1" applyBorder="1" applyAlignment="1"/>
    <xf numFmtId="181" fontId="0" fillId="0" borderId="34" xfId="154" applyNumberFormat="1" applyFont="1" applyBorder="1" applyAlignment="1"/>
    <xf numFmtId="181" fontId="0" fillId="0" borderId="0" xfId="154" applyNumberFormat="1" applyFont="1" applyBorder="1" applyAlignment="1"/>
    <xf numFmtId="181" fontId="3" fillId="0" borderId="0" xfId="154" applyNumberFormat="1" applyFont="1" applyAlignment="1">
      <alignment wrapText="1"/>
    </xf>
    <xf numFmtId="10" fontId="3" fillId="65" borderId="0" xfId="333" applyNumberFormat="1" applyFont="1" applyFill="1" applyAlignment="1">
      <alignment wrapText="1"/>
    </xf>
    <xf numFmtId="10" fontId="3" fillId="0" borderId="0" xfId="333" applyNumberFormat="1" applyFont="1" applyFill="1" applyAlignment="1">
      <alignment wrapText="1"/>
    </xf>
    <xf numFmtId="257" fontId="40" fillId="0" borderId="0" xfId="154" applyNumberFormat="1" applyFont="1" applyFill="1" applyBorder="1" applyAlignment="1"/>
    <xf numFmtId="175" fontId="40" fillId="0" borderId="0" xfId="154" applyNumberFormat="1" applyFont="1" applyFill="1" applyBorder="1" applyAlignment="1" applyProtection="1">
      <alignment horizontal="center"/>
      <protection locked="0"/>
    </xf>
    <xf numFmtId="170" fontId="0" fillId="0" borderId="13" xfId="0" applyNumberFormat="1" applyBorder="1"/>
    <xf numFmtId="10" fontId="0" fillId="0" borderId="0" xfId="333" applyNumberFormat="1" applyFont="1" applyAlignment="1"/>
    <xf numFmtId="0" fontId="23" fillId="0" borderId="0" xfId="318" quotePrefix="1"/>
    <xf numFmtId="41" fontId="23" fillId="0" borderId="0" xfId="318" applyNumberFormat="1" applyAlignment="1">
      <alignment horizontal="right"/>
    </xf>
    <xf numFmtId="10" fontId="3" fillId="0" borderId="0" xfId="304" applyNumberFormat="1"/>
    <xf numFmtId="175" fontId="46" fillId="0" borderId="3" xfId="304" applyNumberFormat="1" applyFont="1" applyBorder="1"/>
    <xf numFmtId="10" fontId="46" fillId="0" borderId="0" xfId="333" applyNumberFormat="1" applyFont="1"/>
    <xf numFmtId="0" fontId="51" fillId="21" borderId="0" xfId="154" applyNumberFormat="1" applyFont="1" applyFill="1" applyBorder="1" applyAlignment="1">
      <alignment horizontal="center"/>
    </xf>
    <xf numFmtId="0" fontId="51" fillId="21" borderId="3" xfId="154" applyNumberFormat="1" applyFont="1" applyFill="1" applyBorder="1" applyAlignment="1">
      <alignment horizontal="center"/>
    </xf>
    <xf numFmtId="173" fontId="46" fillId="0" borderId="0" xfId="0" applyNumberFormat="1" applyFont="1" applyAlignment="1">
      <alignment horizontal="left" indent="1"/>
    </xf>
    <xf numFmtId="10" fontId="46" fillId="0" borderId="6" xfId="333" applyNumberFormat="1" applyFont="1" applyBorder="1"/>
    <xf numFmtId="172" fontId="10" fillId="0" borderId="0" xfId="318" applyNumberFormat="1" applyFont="1"/>
    <xf numFmtId="10" fontId="3" fillId="21" borderId="0" xfId="336" applyNumberFormat="1" applyFont="1" applyFill="1" applyBorder="1" applyAlignment="1">
      <alignment horizontal="center"/>
    </xf>
    <xf numFmtId="181" fontId="70" fillId="21" borderId="0" xfId="154" applyNumberFormat="1" applyFont="1" applyFill="1" applyProtection="1">
      <protection locked="0"/>
    </xf>
    <xf numFmtId="257" fontId="10" fillId="0" borderId="0" xfId="154" applyNumberFormat="1" applyFont="1" applyAlignment="1"/>
    <xf numFmtId="181" fontId="70" fillId="0" borderId="0" xfId="318" applyNumberFormat="1" applyFont="1" applyProtection="1">
      <protection locked="0"/>
    </xf>
    <xf numFmtId="4" fontId="23" fillId="0" borderId="0" xfId="318" applyNumberFormat="1"/>
    <xf numFmtId="175" fontId="44" fillId="0" borderId="0" xfId="154" applyNumberFormat="1" applyFont="1" applyFill="1" applyBorder="1" applyAlignment="1"/>
    <xf numFmtId="175" fontId="44" fillId="0" borderId="60" xfId="154" applyNumberFormat="1" applyFont="1" applyBorder="1" applyAlignment="1"/>
    <xf numFmtId="10" fontId="3" fillId="65" borderId="0" xfId="333" applyNumberFormat="1" applyFont="1" applyFill="1" applyBorder="1" applyAlignment="1"/>
    <xf numFmtId="0" fontId="70" fillId="0" borderId="0" xfId="318" applyFont="1" applyAlignment="1">
      <alignment horizontal="center" vertical="top"/>
    </xf>
    <xf numFmtId="10" fontId="3" fillId="0" borderId="29" xfId="333" applyNumberFormat="1" applyFont="1" applyFill="1" applyBorder="1" applyAlignment="1">
      <alignment horizontal="center"/>
    </xf>
    <xf numFmtId="174" fontId="0" fillId="0" borderId="3" xfId="0" applyBorder="1"/>
    <xf numFmtId="0" fontId="67" fillId="0" borderId="3" xfId="304" applyFont="1" applyBorder="1"/>
    <xf numFmtId="175" fontId="67" fillId="0" borderId="3" xfId="154" applyNumberFormat="1" applyFont="1" applyFill="1" applyBorder="1"/>
    <xf numFmtId="175" fontId="67" fillId="0" borderId="3" xfId="154" applyNumberFormat="1" applyFont="1" applyFill="1" applyBorder="1" applyAlignment="1">
      <alignment horizontal="center"/>
    </xf>
    <xf numFmtId="174" fontId="158" fillId="0" borderId="3" xfId="0" applyFont="1" applyBorder="1"/>
    <xf numFmtId="175" fontId="10" fillId="0" borderId="0" xfId="172" applyNumberFormat="1" applyFont="1" applyFill="1" applyBorder="1" applyAlignment="1">
      <alignment horizontal="right"/>
    </xf>
    <xf numFmtId="10" fontId="46" fillId="0" borderId="0" xfId="333" applyNumberFormat="1" applyFont="1" applyBorder="1"/>
    <xf numFmtId="175" fontId="181" fillId="0" borderId="0" xfId="154" applyNumberFormat="1" applyFont="1" applyBorder="1"/>
    <xf numFmtId="10" fontId="40" fillId="65" borderId="0" xfId="333" applyNumberFormat="1" applyFont="1" applyFill="1" applyBorder="1" applyAlignment="1">
      <alignment horizontal="right"/>
    </xf>
    <xf numFmtId="175" fontId="23" fillId="0" borderId="0" xfId="154" applyNumberFormat="1" applyFont="1" applyBorder="1" applyAlignment="1"/>
    <xf numFmtId="181" fontId="23" fillId="0" borderId="0" xfId="154" applyNumberFormat="1" applyFont="1" applyBorder="1" applyAlignment="1"/>
    <xf numFmtId="10" fontId="40" fillId="65" borderId="34" xfId="333" applyNumberFormat="1" applyFont="1" applyFill="1" applyBorder="1" applyAlignment="1">
      <alignment horizontal="right"/>
    </xf>
    <xf numFmtId="175" fontId="46" fillId="0" borderId="0" xfId="154" applyNumberFormat="1" applyFont="1" applyFill="1" applyBorder="1" applyAlignment="1"/>
    <xf numFmtId="180" fontId="46" fillId="0" borderId="0" xfId="333" applyNumberFormat="1" applyFont="1" applyFill="1" applyBorder="1" applyAlignment="1"/>
    <xf numFmtId="41" fontId="38" fillId="0" borderId="0" xfId="0" applyNumberFormat="1" applyFont="1"/>
    <xf numFmtId="3" fontId="38" fillId="0" borderId="0" xfId="0" applyNumberFormat="1" applyFont="1"/>
    <xf numFmtId="49" fontId="0" fillId="0" borderId="0" xfId="0" quotePrefix="1" applyNumberFormat="1" applyAlignment="1">
      <alignment horizontal="center"/>
    </xf>
    <xf numFmtId="174" fontId="40" fillId="0" borderId="71" xfId="0" applyFont="1" applyBorder="1" applyAlignment="1">
      <alignment horizontal="center" wrapText="1"/>
    </xf>
    <xf numFmtId="175" fontId="0" fillId="0" borderId="12" xfId="154" applyNumberFormat="1" applyFont="1" applyFill="1" applyBorder="1" applyAlignment="1"/>
    <xf numFmtId="175" fontId="23" fillId="65" borderId="0" xfId="154" quotePrefix="1" applyNumberFormat="1" applyFont="1" applyFill="1" applyBorder="1" applyAlignment="1">
      <alignment horizontal="left"/>
    </xf>
    <xf numFmtId="175" fontId="23" fillId="65" borderId="0" xfId="154" quotePrefix="1" applyNumberFormat="1" applyFont="1" applyFill="1" applyBorder="1" applyAlignment="1"/>
    <xf numFmtId="170" fontId="46" fillId="21" borderId="41" xfId="0" applyNumberFormat="1" applyFont="1" applyFill="1" applyBorder="1" applyAlignment="1" applyProtection="1">
      <alignment horizontal="center"/>
      <protection locked="0"/>
    </xf>
    <xf numFmtId="170" fontId="46" fillId="21" borderId="6" xfId="0" applyNumberFormat="1" applyFont="1" applyFill="1" applyBorder="1" applyAlignment="1" applyProtection="1">
      <alignment horizontal="center"/>
      <protection locked="0"/>
    </xf>
    <xf numFmtId="5" fontId="46" fillId="0" borderId="41" xfId="0" applyNumberFormat="1" applyFont="1" applyBorder="1" applyAlignment="1" applyProtection="1">
      <alignment horizontal="center"/>
      <protection locked="0"/>
    </xf>
    <xf numFmtId="5" fontId="46" fillId="0" borderId="6" xfId="0" applyNumberFormat="1" applyFont="1" applyBorder="1" applyAlignment="1" applyProtection="1">
      <alignment horizontal="center"/>
      <protection locked="0"/>
    </xf>
    <xf numFmtId="174" fontId="46" fillId="0" borderId="72" xfId="0" applyFont="1" applyBorder="1" applyAlignment="1" applyProtection="1">
      <alignment horizontal="center" wrapText="1"/>
      <protection locked="0"/>
    </xf>
    <xf numFmtId="0" fontId="44" fillId="65" borderId="5" xfId="308" applyFont="1" applyFill="1" applyBorder="1" applyAlignment="1">
      <alignment wrapText="1"/>
    </xf>
    <xf numFmtId="0" fontId="44" fillId="65" borderId="5" xfId="308" quotePrefix="1" applyFont="1" applyFill="1" applyBorder="1"/>
    <xf numFmtId="258" fontId="44" fillId="0" borderId="37" xfId="308" applyNumberFormat="1" applyFont="1" applyBorder="1" applyAlignment="1">
      <alignment horizontal="center"/>
    </xf>
    <xf numFmtId="0" fontId="163" fillId="0" borderId="0" xfId="310"/>
    <xf numFmtId="0" fontId="69" fillId="0" borderId="0" xfId="312" applyFont="1" applyAlignment="1">
      <alignment vertical="center"/>
    </xf>
    <xf numFmtId="43" fontId="40" fillId="0" borderId="0" xfId="181" applyFont="1"/>
    <xf numFmtId="0" fontId="40" fillId="0" borderId="0" xfId="312" applyFont="1"/>
    <xf numFmtId="0" fontId="40" fillId="0" borderId="0" xfId="312" applyFont="1" applyAlignment="1">
      <alignment horizontal="right" vertical="center"/>
    </xf>
    <xf numFmtId="0" fontId="163" fillId="0" borderId="0" xfId="311"/>
    <xf numFmtId="0" fontId="40" fillId="0" borderId="0" xfId="312" applyFont="1" applyAlignment="1">
      <alignment horizontal="right"/>
    </xf>
    <xf numFmtId="0" fontId="182" fillId="0" borderId="0" xfId="311" applyFont="1"/>
    <xf numFmtId="0" fontId="48" fillId="0" borderId="0" xfId="312" applyFont="1"/>
    <xf numFmtId="0" fontId="182" fillId="0" borderId="0" xfId="310" applyFont="1"/>
    <xf numFmtId="0" fontId="162" fillId="0" borderId="0" xfId="302" applyFont="1" applyAlignment="1">
      <alignment horizontal="center"/>
    </xf>
    <xf numFmtId="43" fontId="162" fillId="0" borderId="0" xfId="181" applyFont="1" applyAlignment="1">
      <alignment horizontal="center"/>
    </xf>
    <xf numFmtId="0" fontId="182" fillId="0" borderId="0" xfId="310" applyFont="1" applyAlignment="1">
      <alignment horizontal="center" vertical="center"/>
    </xf>
    <xf numFmtId="43" fontId="182" fillId="0" borderId="0" xfId="181" applyFont="1"/>
    <xf numFmtId="0" fontId="48" fillId="0" borderId="2" xfId="310" applyFont="1" applyBorder="1" applyAlignment="1">
      <alignment horizontal="center" vertical="center" wrapText="1"/>
    </xf>
    <xf numFmtId="43" fontId="48" fillId="0" borderId="2" xfId="181" applyFont="1" applyBorder="1" applyAlignment="1">
      <alignment horizontal="center" vertical="center" wrapText="1"/>
    </xf>
    <xf numFmtId="0" fontId="48" fillId="0" borderId="0" xfId="310" applyFont="1" applyAlignment="1">
      <alignment horizontal="center" vertical="center" wrapText="1"/>
    </xf>
    <xf numFmtId="0" fontId="48" fillId="0" borderId="0" xfId="310" applyFont="1" applyAlignment="1">
      <alignment vertical="center" wrapText="1"/>
    </xf>
    <xf numFmtId="43" fontId="48" fillId="0" borderId="0" xfId="181" applyFont="1" applyAlignment="1">
      <alignment horizontal="center" vertical="center" wrapText="1"/>
    </xf>
    <xf numFmtId="0" fontId="48" fillId="0" borderId="0" xfId="310" applyFont="1" applyAlignment="1">
      <alignment horizontal="center" wrapText="1"/>
    </xf>
    <xf numFmtId="0" fontId="182" fillId="0" borderId="0" xfId="310" applyFont="1" applyAlignment="1">
      <alignment horizontal="center"/>
    </xf>
    <xf numFmtId="0" fontId="44" fillId="21" borderId="0" xfId="302" applyFont="1" applyFill="1" applyAlignment="1">
      <alignment wrapText="1"/>
    </xf>
    <xf numFmtId="41" fontId="44" fillId="21" borderId="0" xfId="302" applyNumberFormat="1" applyFont="1" applyFill="1" applyAlignment="1">
      <alignment wrapText="1"/>
    </xf>
    <xf numFmtId="41" fontId="182" fillId="0" borderId="0" xfId="181" applyNumberFormat="1" applyFont="1"/>
    <xf numFmtId="41" fontId="44" fillId="0" borderId="0" xfId="181" applyNumberFormat="1" applyFont="1" applyFill="1" applyAlignment="1">
      <alignment vertical="center"/>
    </xf>
    <xf numFmtId="41" fontId="44" fillId="0" borderId="0" xfId="177" applyNumberFormat="1" applyFont="1" applyFill="1" applyAlignment="1">
      <alignment vertical="center"/>
    </xf>
    <xf numFmtId="41" fontId="48" fillId="0" borderId="0" xfId="181" applyNumberFormat="1" applyFont="1" applyAlignment="1">
      <alignment horizontal="center" vertical="center" wrapText="1"/>
    </xf>
    <xf numFmtId="41" fontId="48" fillId="0" borderId="0" xfId="310" applyNumberFormat="1" applyFont="1" applyAlignment="1">
      <alignment horizontal="center" vertical="center" wrapText="1"/>
    </xf>
    <xf numFmtId="174" fontId="44" fillId="0" borderId="0" xfId="301" applyFont="1"/>
    <xf numFmtId="0" fontId="44" fillId="0" borderId="0" xfId="301" applyNumberFormat="1" applyFont="1"/>
    <xf numFmtId="41" fontId="44" fillId="0" borderId="0" xfId="181" applyNumberFormat="1" applyFont="1"/>
    <xf numFmtId="41" fontId="44" fillId="0" borderId="0" xfId="301" applyNumberFormat="1" applyFont="1"/>
    <xf numFmtId="41" fontId="182" fillId="0" borderId="0" xfId="310" applyNumberFormat="1" applyFont="1"/>
    <xf numFmtId="43" fontId="182" fillId="0" borderId="0" xfId="310" applyNumberFormat="1" applyFont="1"/>
    <xf numFmtId="0" fontId="183" fillId="0" borderId="0" xfId="310" applyFont="1"/>
    <xf numFmtId="41" fontId="44" fillId="0" borderId="3" xfId="181" applyNumberFormat="1" applyFont="1" applyFill="1" applyBorder="1" applyAlignment="1">
      <alignment vertical="center"/>
    </xf>
    <xf numFmtId="41" fontId="44" fillId="0" borderId="3" xfId="177" applyNumberFormat="1" applyFont="1" applyFill="1" applyBorder="1" applyAlignment="1">
      <alignment vertical="center"/>
    </xf>
    <xf numFmtId="41" fontId="182" fillId="0" borderId="3" xfId="310" applyNumberFormat="1" applyFont="1" applyBorder="1"/>
    <xf numFmtId="0" fontId="183" fillId="0" borderId="0" xfId="310" applyFont="1" applyAlignment="1">
      <alignment horizontal="center"/>
    </xf>
    <xf numFmtId="41" fontId="48" fillId="0" borderId="0" xfId="302" applyNumberFormat="1" applyFont="1" applyAlignment="1">
      <alignment wrapText="1"/>
    </xf>
    <xf numFmtId="41" fontId="48" fillId="0" borderId="0" xfId="181" applyNumberFormat="1" applyFont="1" applyFill="1" applyBorder="1"/>
    <xf numFmtId="41" fontId="183" fillId="0" borderId="5" xfId="177" applyNumberFormat="1" applyFont="1" applyBorder="1"/>
    <xf numFmtId="175" fontId="48" fillId="0" borderId="0" xfId="177" applyNumberFormat="1" applyFont="1" applyFill="1" applyBorder="1"/>
    <xf numFmtId="43" fontId="183" fillId="0" borderId="0" xfId="310" applyNumberFormat="1" applyFont="1"/>
    <xf numFmtId="0" fontId="48" fillId="0" borderId="0" xfId="310" applyFont="1"/>
    <xf numFmtId="41" fontId="182" fillId="0" borderId="0" xfId="177" applyNumberFormat="1" applyFont="1"/>
    <xf numFmtId="41" fontId="48" fillId="0" borderId="0" xfId="177" applyNumberFormat="1" applyFont="1" applyFill="1" applyBorder="1"/>
    <xf numFmtId="175" fontId="182" fillId="0" borderId="0" xfId="310" applyNumberFormat="1" applyFont="1"/>
    <xf numFmtId="175" fontId="182" fillId="0" borderId="0" xfId="181" applyNumberFormat="1" applyFont="1"/>
    <xf numFmtId="41" fontId="48" fillId="0" borderId="5" xfId="181" applyNumberFormat="1" applyFont="1" applyBorder="1"/>
    <xf numFmtId="41" fontId="48" fillId="0" borderId="5" xfId="177" applyNumberFormat="1" applyFont="1" applyBorder="1"/>
    <xf numFmtId="41" fontId="48" fillId="0" borderId="0" xfId="181" applyNumberFormat="1" applyFont="1"/>
    <xf numFmtId="41" fontId="184" fillId="0" borderId="0" xfId="181" applyNumberFormat="1" applyFont="1" applyFill="1" applyBorder="1" applyAlignment="1">
      <alignment vertical="center"/>
    </xf>
    <xf numFmtId="41" fontId="48" fillId="0" borderId="0" xfId="177" applyNumberFormat="1" applyFont="1" applyFill="1"/>
    <xf numFmtId="41" fontId="48" fillId="0" borderId="0" xfId="310" applyNumberFormat="1" applyFont="1"/>
    <xf numFmtId="0" fontId="48" fillId="0" borderId="0" xfId="310" applyFont="1" applyAlignment="1">
      <alignment wrapText="1"/>
    </xf>
    <xf numFmtId="41" fontId="48" fillId="0" borderId="5" xfId="302" applyNumberFormat="1" applyFont="1" applyBorder="1" applyAlignment="1">
      <alignment wrapText="1"/>
    </xf>
    <xf numFmtId="41" fontId="183" fillId="0" borderId="5" xfId="181" applyNumberFormat="1" applyFont="1" applyBorder="1"/>
    <xf numFmtId="175" fontId="183" fillId="0" borderId="0" xfId="181" applyNumberFormat="1" applyFont="1"/>
    <xf numFmtId="41" fontId="44" fillId="0" borderId="0" xfId="302" applyNumberFormat="1" applyFont="1" applyAlignment="1">
      <alignment wrapText="1"/>
    </xf>
    <xf numFmtId="175" fontId="183" fillId="0" borderId="0" xfId="310" applyNumberFormat="1" applyFont="1"/>
    <xf numFmtId="175" fontId="48" fillId="0" borderId="0" xfId="302" applyNumberFormat="1" applyFont="1" applyAlignment="1">
      <alignment wrapText="1"/>
    </xf>
    <xf numFmtId="41" fontId="182" fillId="0" borderId="0" xfId="181" applyNumberFormat="1" applyFont="1" applyBorder="1"/>
    <xf numFmtId="0" fontId="182" fillId="0" borderId="0" xfId="310" applyFont="1" applyAlignment="1">
      <alignment horizontal="left"/>
    </xf>
    <xf numFmtId="0" fontId="182" fillId="0" borderId="0" xfId="310" applyFont="1" applyAlignment="1">
      <alignment horizontal="center" vertical="top"/>
    </xf>
    <xf numFmtId="0" fontId="44" fillId="0" borderId="0" xfId="311" applyFont="1" applyAlignment="1">
      <alignment vertical="top"/>
    </xf>
    <xf numFmtId="43" fontId="44" fillId="0" borderId="0" xfId="181" applyFont="1" applyFill="1" applyAlignment="1">
      <alignment vertical="top"/>
    </xf>
    <xf numFmtId="175" fontId="44" fillId="0" borderId="0" xfId="176" applyNumberFormat="1" applyFont="1" applyFill="1" applyAlignment="1">
      <alignment vertical="top"/>
    </xf>
    <xf numFmtId="175" fontId="44" fillId="0" borderId="0" xfId="176" applyNumberFormat="1" applyFont="1" applyAlignment="1">
      <alignment vertical="top"/>
    </xf>
    <xf numFmtId="175" fontId="48" fillId="0" borderId="0" xfId="176" applyNumberFormat="1" applyFont="1" applyFill="1" applyBorder="1" applyAlignment="1">
      <alignment vertical="top"/>
    </xf>
    <xf numFmtId="43" fontId="44" fillId="0" borderId="0" xfId="181" applyFont="1" applyAlignment="1">
      <alignment vertical="top"/>
    </xf>
    <xf numFmtId="43" fontId="182" fillId="0" borderId="0" xfId="181" applyFont="1" applyFill="1"/>
    <xf numFmtId="175" fontId="182" fillId="0" borderId="0" xfId="177" applyNumberFormat="1" applyFont="1" applyFill="1"/>
    <xf numFmtId="175" fontId="182" fillId="0" borderId="0" xfId="177" applyNumberFormat="1" applyFont="1"/>
    <xf numFmtId="0" fontId="163" fillId="0" borderId="0" xfId="310" applyAlignment="1">
      <alignment horizontal="center"/>
    </xf>
    <xf numFmtId="43" fontId="163" fillId="0" borderId="0" xfId="181" applyFont="1" applyFill="1"/>
    <xf numFmtId="175" fontId="163" fillId="0" borderId="0" xfId="177" applyNumberFormat="1" applyFont="1" applyFill="1"/>
    <xf numFmtId="175" fontId="163" fillId="0" borderId="0" xfId="177" applyNumberFormat="1" applyFont="1"/>
    <xf numFmtId="175" fontId="185" fillId="0" borderId="0" xfId="177" applyNumberFormat="1" applyFont="1" applyFill="1" applyBorder="1"/>
    <xf numFmtId="0" fontId="163" fillId="0" borderId="0" xfId="310" applyAlignment="1">
      <alignment horizontal="right"/>
    </xf>
    <xf numFmtId="43" fontId="163" fillId="0" borderId="0" xfId="181" applyFont="1"/>
    <xf numFmtId="43" fontId="163" fillId="0" borderId="0" xfId="181"/>
    <xf numFmtId="0" fontId="23" fillId="0" borderId="0" xfId="318" applyAlignment="1">
      <alignment horizontal="left"/>
    </xf>
    <xf numFmtId="41" fontId="186" fillId="21" borderId="0" xfId="302" applyNumberFormat="1" applyFont="1" applyFill="1" applyAlignment="1">
      <alignment wrapText="1"/>
    </xf>
    <xf numFmtId="0" fontId="46" fillId="21" borderId="49" xfId="300" applyFont="1" applyFill="1" applyBorder="1"/>
    <xf numFmtId="37" fontId="46" fillId="21" borderId="16" xfId="154" applyNumberFormat="1" applyFont="1" applyFill="1" applyBorder="1"/>
    <xf numFmtId="175" fontId="23" fillId="65" borderId="0" xfId="154" quotePrefix="1" applyNumberFormat="1" applyFont="1" applyFill="1" applyBorder="1" applyAlignment="1">
      <alignment horizontal="left" wrapText="1"/>
    </xf>
    <xf numFmtId="259" fontId="182" fillId="0" borderId="0" xfId="181" applyNumberFormat="1" applyFont="1"/>
    <xf numFmtId="260" fontId="44" fillId="0" borderId="0" xfId="181" applyNumberFormat="1" applyFont="1" applyFill="1" applyBorder="1" applyAlignment="1" applyProtection="1">
      <alignment horizontal="right" vertical="center" wrapText="1"/>
    </xf>
    <xf numFmtId="175" fontId="182" fillId="0" borderId="3" xfId="310" applyNumberFormat="1" applyFont="1" applyBorder="1"/>
    <xf numFmtId="0" fontId="44" fillId="0" borderId="0" xfId="311" quotePrefix="1" applyFont="1" applyAlignment="1">
      <alignment vertical="top"/>
    </xf>
    <xf numFmtId="175" fontId="181" fillId="0" borderId="29" xfId="154" applyNumberFormat="1" applyFont="1" applyBorder="1"/>
    <xf numFmtId="174" fontId="181" fillId="0" borderId="0" xfId="0" applyFont="1"/>
    <xf numFmtId="14" fontId="44" fillId="65" borderId="5" xfId="308" applyNumberFormat="1" applyFont="1" applyFill="1" applyBorder="1"/>
    <xf numFmtId="14" fontId="44" fillId="65" borderId="0" xfId="308" applyNumberFormat="1" applyFont="1" applyFill="1"/>
    <xf numFmtId="0" fontId="44" fillId="65" borderId="0" xfId="308" applyFont="1" applyFill="1" applyAlignment="1">
      <alignment wrapText="1"/>
    </xf>
    <xf numFmtId="175" fontId="186" fillId="65" borderId="0" xfId="154" applyNumberFormat="1" applyFont="1" applyFill="1" applyBorder="1" applyAlignment="1">
      <alignment wrapText="1"/>
    </xf>
    <xf numFmtId="175" fontId="44" fillId="65" borderId="0" xfId="154" applyNumberFormat="1" applyFont="1" applyFill="1" applyBorder="1" applyAlignment="1">
      <alignment wrapText="1"/>
    </xf>
    <xf numFmtId="175" fontId="44" fillId="0" borderId="0" xfId="154" applyNumberFormat="1" applyFont="1" applyFill="1" applyAlignment="1">
      <alignment horizontal="center"/>
    </xf>
    <xf numFmtId="175" fontId="189" fillId="65" borderId="0" xfId="154" applyNumberFormat="1" applyFont="1" applyFill="1" applyBorder="1" applyAlignment="1">
      <alignment wrapText="1"/>
    </xf>
    <xf numFmtId="0" fontId="189" fillId="65" borderId="0" xfId="308" applyFont="1" applyFill="1"/>
    <xf numFmtId="175" fontId="0" fillId="65" borderId="0" xfId="154" applyNumberFormat="1" applyFont="1" applyFill="1" applyBorder="1" applyAlignment="1">
      <alignment horizontal="left"/>
    </xf>
    <xf numFmtId="10" fontId="40" fillId="65" borderId="0" xfId="333" applyNumberFormat="1" applyFont="1" applyFill="1" applyBorder="1" applyAlignment="1"/>
    <xf numFmtId="0" fontId="49" fillId="0" borderId="13" xfId="304" applyFont="1" applyBorder="1" applyAlignment="1">
      <alignment horizontal="left"/>
    </xf>
    <xf numFmtId="174" fontId="3" fillId="0" borderId="29" xfId="0" applyFont="1" applyBorder="1"/>
    <xf numFmtId="174" fontId="3" fillId="0" borderId="3" xfId="0" applyFont="1" applyBorder="1"/>
    <xf numFmtId="174" fontId="3" fillId="0" borderId="32" xfId="0" applyFont="1" applyBorder="1"/>
    <xf numFmtId="43" fontId="3" fillId="65" borderId="0" xfId="304" applyNumberFormat="1" applyFill="1" applyAlignment="1">
      <alignment horizontal="center"/>
    </xf>
    <xf numFmtId="175" fontId="3" fillId="0" borderId="0" xfId="304" applyNumberFormat="1" applyAlignment="1">
      <alignment horizontal="center"/>
    </xf>
    <xf numFmtId="176" fontId="10" fillId="0" borderId="0" xfId="191" applyNumberFormat="1" applyFont="1" applyFill="1"/>
    <xf numFmtId="175" fontId="46" fillId="0" borderId="16" xfId="154" applyNumberFormat="1" applyFont="1" applyFill="1" applyBorder="1"/>
    <xf numFmtId="175" fontId="10" fillId="21" borderId="3" xfId="172" applyNumberFormat="1" applyFont="1" applyFill="1" applyBorder="1" applyAlignment="1"/>
    <xf numFmtId="175" fontId="44" fillId="65" borderId="0" xfId="154" applyNumberFormat="1" applyFont="1" applyFill="1"/>
    <xf numFmtId="0" fontId="3" fillId="56" borderId="0" xfId="304" applyFill="1" applyAlignment="1">
      <alignment horizontal="center" wrapText="1"/>
    </xf>
    <xf numFmtId="175" fontId="46" fillId="65" borderId="45" xfId="172" applyNumberFormat="1" applyFont="1" applyFill="1" applyBorder="1" applyAlignment="1">
      <alignment horizontal="right"/>
    </xf>
    <xf numFmtId="41" fontId="183" fillId="0" borderId="0" xfId="310" applyNumberFormat="1" applyFont="1"/>
    <xf numFmtId="41" fontId="182" fillId="0" borderId="0" xfId="310" applyNumberFormat="1" applyFont="1" applyAlignment="1">
      <alignment horizontal="center"/>
    </xf>
    <xf numFmtId="0" fontId="44" fillId="65" borderId="27" xfId="154" quotePrefix="1" applyNumberFormat="1" applyFont="1" applyFill="1" applyBorder="1" applyAlignment="1">
      <alignment horizontal="center"/>
    </xf>
    <xf numFmtId="0" fontId="44" fillId="65" borderId="27" xfId="154" applyNumberFormat="1" applyFont="1" applyFill="1" applyBorder="1" applyAlignment="1">
      <alignment horizontal="center"/>
    </xf>
    <xf numFmtId="0" fontId="44" fillId="65" borderId="39" xfId="154" applyNumberFormat="1" applyFont="1" applyFill="1" applyBorder="1" applyAlignment="1">
      <alignment horizontal="center"/>
    </xf>
    <xf numFmtId="0" fontId="44" fillId="65" borderId="74" xfId="154" applyNumberFormat="1" applyFont="1" applyFill="1" applyBorder="1" applyAlignment="1">
      <alignment horizontal="center"/>
    </xf>
    <xf numFmtId="175" fontId="186" fillId="0" borderId="0" xfId="308" applyNumberFormat="1" applyFont="1"/>
    <xf numFmtId="175" fontId="186" fillId="0" borderId="0" xfId="154" applyNumberFormat="1" applyFont="1"/>
    <xf numFmtId="170" fontId="44" fillId="0" borderId="0" xfId="0" applyNumberFormat="1" applyFont="1"/>
    <xf numFmtId="42" fontId="5" fillId="0" borderId="0" xfId="318" applyNumberFormat="1" applyFont="1"/>
    <xf numFmtId="0" fontId="28" fillId="0" borderId="3" xfId="304" applyFont="1" applyBorder="1" applyAlignment="1">
      <alignment horizontal="center"/>
    </xf>
    <xf numFmtId="41" fontId="3" fillId="0" borderId="0" xfId="304" applyNumberFormat="1" applyAlignment="1">
      <alignment horizontal="right"/>
    </xf>
    <xf numFmtId="41" fontId="3" fillId="0" borderId="0" xfId="304" applyNumberFormat="1" applyAlignment="1">
      <alignment horizontal="center"/>
    </xf>
    <xf numFmtId="41" fontId="3" fillId="0" borderId="0" xfId="304" applyNumberFormat="1"/>
    <xf numFmtId="41" fontId="3" fillId="0" borderId="0" xfId="172" applyNumberFormat="1" applyFont="1" applyFill="1" applyBorder="1" applyAlignment="1">
      <alignment horizontal="right"/>
    </xf>
    <xf numFmtId="41" fontId="3" fillId="0" borderId="0" xfId="172" applyNumberFormat="1" applyFont="1" applyBorder="1" applyAlignment="1"/>
    <xf numFmtId="41" fontId="3" fillId="0" borderId="75" xfId="304" applyNumberFormat="1" applyBorder="1" applyAlignment="1">
      <alignment horizontal="right"/>
    </xf>
    <xf numFmtId="41" fontId="3" fillId="0" borderId="75" xfId="304" applyNumberFormat="1" applyBorder="1"/>
    <xf numFmtId="41" fontId="3" fillId="0" borderId="75" xfId="154" applyNumberFormat="1" applyFont="1" applyBorder="1" applyAlignment="1">
      <alignment horizontal="right"/>
    </xf>
    <xf numFmtId="0" fontId="44" fillId="65" borderId="27" xfId="154" quotePrefix="1" applyNumberFormat="1" applyFont="1" applyFill="1" applyBorder="1" applyAlignment="1">
      <alignment horizontal="center" wrapText="1"/>
    </xf>
    <xf numFmtId="0" fontId="44" fillId="65" borderId="0" xfId="154" applyNumberFormat="1" applyFont="1" applyFill="1" applyBorder="1" applyAlignment="1">
      <alignment horizontal="center"/>
    </xf>
    <xf numFmtId="0" fontId="44" fillId="65" borderId="27" xfId="154" applyNumberFormat="1" applyFont="1" applyFill="1" applyBorder="1" applyAlignment="1">
      <alignment horizontal="center" wrapText="1"/>
    </xf>
    <xf numFmtId="10" fontId="40" fillId="65" borderId="34" xfId="333" applyNumberFormat="1" applyFont="1" applyFill="1" applyBorder="1" applyAlignment="1" applyProtection="1">
      <protection locked="0"/>
    </xf>
    <xf numFmtId="175" fontId="46" fillId="0" borderId="0" xfId="172" applyNumberFormat="1" applyFont="1" applyBorder="1" applyAlignment="1">
      <alignment horizontal="right"/>
    </xf>
    <xf numFmtId="0" fontId="28" fillId="0" borderId="3" xfId="304" applyFont="1" applyBorder="1" applyAlignment="1">
      <alignment horizontal="center" wrapText="1"/>
    </xf>
    <xf numFmtId="41" fontId="46" fillId="0" borderId="75" xfId="172" applyNumberFormat="1" applyFont="1" applyFill="1" applyBorder="1" applyAlignment="1">
      <alignment horizontal="right"/>
    </xf>
    <xf numFmtId="41" fontId="3" fillId="0" borderId="0" xfId="304" applyNumberFormat="1" applyAlignment="1">
      <alignment horizontal="center" wrapText="1"/>
    </xf>
    <xf numFmtId="175" fontId="0" fillId="65" borderId="0" xfId="154" quotePrefix="1" applyNumberFormat="1" applyFont="1" applyFill="1" applyBorder="1" applyAlignment="1">
      <alignment horizontal="left" wrapText="1"/>
    </xf>
    <xf numFmtId="0" fontId="45" fillId="0" borderId="0" xfId="304" applyFont="1" applyAlignment="1">
      <alignment horizontal="center"/>
    </xf>
    <xf numFmtId="0" fontId="72" fillId="56" borderId="0" xfId="304" applyFont="1" applyFill="1" applyAlignment="1">
      <alignment horizontal="center"/>
    </xf>
    <xf numFmtId="175" fontId="46" fillId="21" borderId="0" xfId="172" applyNumberFormat="1" applyFont="1" applyFill="1" applyBorder="1" applyAlignment="1">
      <alignment horizontal="right"/>
    </xf>
    <xf numFmtId="175" fontId="46" fillId="0" borderId="0" xfId="172" applyNumberFormat="1" applyFont="1" applyFill="1" applyBorder="1" applyAlignment="1">
      <alignment horizontal="right"/>
    </xf>
    <xf numFmtId="3" fontId="46" fillId="0" borderId="0" xfId="304" applyNumberFormat="1" applyFont="1" applyAlignment="1">
      <alignment horizontal="left"/>
    </xf>
    <xf numFmtId="175" fontId="46" fillId="0" borderId="75" xfId="172" applyNumberFormat="1" applyFont="1" applyFill="1" applyBorder="1" applyAlignment="1">
      <alignment horizontal="right"/>
    </xf>
    <xf numFmtId="175" fontId="46" fillId="65" borderId="0" xfId="172" applyNumberFormat="1" applyFont="1" applyFill="1" applyBorder="1" applyAlignment="1">
      <alignment horizontal="right"/>
    </xf>
    <xf numFmtId="175" fontId="46" fillId="0" borderId="75" xfId="304" applyNumberFormat="1" applyFont="1" applyBorder="1"/>
    <xf numFmtId="41" fontId="3" fillId="68" borderId="0" xfId="304" applyNumberFormat="1" applyFill="1" applyAlignment="1">
      <alignment horizontal="right"/>
    </xf>
    <xf numFmtId="41" fontId="3" fillId="56" borderId="0" xfId="304" applyNumberFormat="1" applyFont="1" applyFill="1" applyAlignment="1">
      <alignment horizontal="center" wrapText="1"/>
    </xf>
    <xf numFmtId="41" fontId="3" fillId="0" borderId="0" xfId="304" applyNumberFormat="1" applyFont="1" applyAlignment="1">
      <alignment horizontal="right"/>
    </xf>
    <xf numFmtId="41" fontId="3" fillId="0" borderId="0" xfId="304" applyNumberFormat="1" applyFont="1" applyAlignment="1">
      <alignment horizontal="center"/>
    </xf>
    <xf numFmtId="41" fontId="3" fillId="0" borderId="0" xfId="304" applyNumberFormat="1" applyFont="1"/>
    <xf numFmtId="41" fontId="3" fillId="0" borderId="75" xfId="304" applyNumberFormat="1" applyFont="1" applyBorder="1"/>
    <xf numFmtId="175" fontId="3" fillId="0" borderId="0" xfId="304" applyNumberFormat="1" applyAlignment="1">
      <alignment horizontal="center" wrapText="1"/>
    </xf>
    <xf numFmtId="10" fontId="10" fillId="65" borderId="0" xfId="333" applyNumberFormat="1" applyFont="1" applyFill="1" applyAlignment="1"/>
    <xf numFmtId="10" fontId="10" fillId="65" borderId="0" xfId="154" applyNumberFormat="1" applyFont="1" applyFill="1" applyAlignment="1"/>
    <xf numFmtId="0" fontId="10" fillId="0" borderId="0" xfId="318" applyFont="1" applyAlignment="1">
      <alignment horizontal="right"/>
    </xf>
    <xf numFmtId="0" fontId="70" fillId="0" borderId="0" xfId="318" applyFont="1" applyAlignment="1">
      <alignment horizontal="left" wrapText="1"/>
    </xf>
    <xf numFmtId="174" fontId="70" fillId="0" borderId="0" xfId="0" applyFont="1" applyAlignment="1">
      <alignment horizontal="left" vertical="center" wrapText="1"/>
    </xf>
    <xf numFmtId="174" fontId="70" fillId="0" borderId="0" xfId="0" applyFont="1" applyAlignment="1">
      <alignment wrapText="1"/>
    </xf>
    <xf numFmtId="174" fontId="0" fillId="0" borderId="0" xfId="0" applyAlignment="1">
      <alignment wrapText="1"/>
    </xf>
    <xf numFmtId="174" fontId="46" fillId="0" borderId="0" xfId="0" applyFont="1" applyAlignment="1">
      <alignment horizontal="left" wrapText="1"/>
    </xf>
    <xf numFmtId="0" fontId="45" fillId="0" borderId="0" xfId="304" applyFont="1" applyAlignment="1">
      <alignment horizontal="center"/>
    </xf>
    <xf numFmtId="0" fontId="46" fillId="0" borderId="0" xfId="304" applyFont="1" applyAlignment="1">
      <alignment horizontal="left" wrapText="1"/>
    </xf>
    <xf numFmtId="0" fontId="50" fillId="56" borderId="0" xfId="304" applyFont="1" applyFill="1" applyAlignment="1">
      <alignment horizontal="center" wrapText="1"/>
    </xf>
    <xf numFmtId="0" fontId="3" fillId="0" borderId="0" xfId="304" applyAlignment="1">
      <alignment horizontal="center" wrapText="1"/>
    </xf>
    <xf numFmtId="0" fontId="72" fillId="56" borderId="35" xfId="304" applyFont="1" applyFill="1" applyBorder="1" applyAlignment="1">
      <alignment horizontal="center"/>
    </xf>
    <xf numFmtId="0" fontId="72" fillId="56" borderId="34" xfId="304" applyFont="1" applyFill="1" applyBorder="1" applyAlignment="1">
      <alignment horizontal="center"/>
    </xf>
    <xf numFmtId="0" fontId="72" fillId="56" borderId="42" xfId="304" applyFont="1" applyFill="1" applyBorder="1" applyAlignment="1">
      <alignment horizontal="center"/>
    </xf>
    <xf numFmtId="0" fontId="72" fillId="56" borderId="34" xfId="304" applyFont="1" applyFill="1" applyBorder="1" applyAlignment="1">
      <alignment horizontal="center" wrapText="1"/>
    </xf>
    <xf numFmtId="0" fontId="46" fillId="0" borderId="34" xfId="304" applyFont="1" applyBorder="1" applyAlignment="1">
      <alignment horizontal="center" wrapText="1"/>
    </xf>
    <xf numFmtId="0" fontId="46" fillId="0" borderId="42" xfId="304" applyFont="1" applyBorder="1" applyAlignment="1">
      <alignment horizontal="center" wrapText="1"/>
    </xf>
    <xf numFmtId="0" fontId="166" fillId="64" borderId="35" xfId="304" applyFont="1" applyFill="1" applyBorder="1" applyAlignment="1">
      <alignment horizontal="center"/>
    </xf>
    <xf numFmtId="0" fontId="166" fillId="64" borderId="34" xfId="304" applyFont="1" applyFill="1" applyBorder="1" applyAlignment="1">
      <alignment horizontal="center"/>
    </xf>
    <xf numFmtId="0" fontId="166" fillId="64" borderId="42" xfId="304" applyFont="1" applyFill="1" applyBorder="1" applyAlignment="1">
      <alignment horizontal="center"/>
    </xf>
    <xf numFmtId="0" fontId="166" fillId="64" borderId="34" xfId="304" applyFont="1" applyFill="1" applyBorder="1" applyAlignment="1">
      <alignment horizontal="center" wrapText="1"/>
    </xf>
    <xf numFmtId="0" fontId="166" fillId="64" borderId="42" xfId="304" applyFont="1" applyFill="1" applyBorder="1" applyAlignment="1">
      <alignment horizontal="center" wrapText="1"/>
    </xf>
    <xf numFmtId="175" fontId="3" fillId="0" borderId="13" xfId="304" applyNumberFormat="1" applyBorder="1" applyAlignment="1">
      <alignment horizontal="center" wrapText="1"/>
    </xf>
    <xf numFmtId="175" fontId="3" fillId="0" borderId="32" xfId="304" applyNumberFormat="1" applyBorder="1" applyAlignment="1">
      <alignment horizontal="center" wrapText="1"/>
    </xf>
    <xf numFmtId="0" fontId="49" fillId="56" borderId="35" xfId="304" applyFont="1" applyFill="1" applyBorder="1" applyAlignment="1">
      <alignment horizontal="center"/>
    </xf>
    <xf numFmtId="0" fontId="49" fillId="56" borderId="34" xfId="304" applyFont="1" applyFill="1" applyBorder="1" applyAlignment="1">
      <alignment horizontal="center"/>
    </xf>
    <xf numFmtId="0" fontId="28" fillId="0" borderId="0" xfId="304" applyFont="1" applyAlignment="1">
      <alignment horizontal="center" wrapText="1"/>
    </xf>
    <xf numFmtId="0" fontId="28" fillId="0" borderId="29" xfId="304" applyFont="1" applyBorder="1" applyAlignment="1">
      <alignment horizontal="center" wrapText="1"/>
    </xf>
    <xf numFmtId="0" fontId="49" fillId="56" borderId="34" xfId="304" applyFont="1" applyFill="1" applyBorder="1" applyAlignment="1">
      <alignment horizontal="center" wrapText="1"/>
    </xf>
    <xf numFmtId="0" fontId="49" fillId="56" borderId="42" xfId="304" applyFont="1" applyFill="1" applyBorder="1" applyAlignment="1">
      <alignment horizontal="center" wrapText="1"/>
    </xf>
    <xf numFmtId="0" fontId="3" fillId="0" borderId="29" xfId="304" applyBorder="1" applyAlignment="1">
      <alignment horizontal="center" wrapText="1"/>
    </xf>
    <xf numFmtId="0" fontId="49" fillId="0" borderId="35" xfId="304" applyFont="1" applyBorder="1" applyAlignment="1">
      <alignment horizontal="center"/>
    </xf>
    <xf numFmtId="0" fontId="49" fillId="0" borderId="34" xfId="304" applyFont="1" applyBorder="1" applyAlignment="1">
      <alignment horizontal="center"/>
    </xf>
    <xf numFmtId="0" fontId="49" fillId="0" borderId="34" xfId="304" applyFont="1" applyBorder="1" applyAlignment="1">
      <alignment horizontal="center" wrapText="1"/>
    </xf>
    <xf numFmtId="0" fontId="3" fillId="0" borderId="34" xfId="304" applyBorder="1" applyAlignment="1">
      <alignment horizontal="center" wrapText="1"/>
    </xf>
    <xf numFmtId="0" fontId="3" fillId="0" borderId="42" xfId="304" applyBorder="1" applyAlignment="1">
      <alignment horizontal="center" wrapText="1"/>
    </xf>
    <xf numFmtId="0" fontId="49" fillId="56" borderId="42" xfId="304" applyFont="1" applyFill="1" applyBorder="1" applyAlignment="1">
      <alignment horizontal="center"/>
    </xf>
    <xf numFmtId="0" fontId="49" fillId="56" borderId="34" xfId="304" applyFont="1" applyFill="1" applyBorder="1" applyAlignment="1">
      <alignment horizontal="right" wrapText="1"/>
    </xf>
    <xf numFmtId="0" fontId="49" fillId="56" borderId="42" xfId="304" applyFont="1" applyFill="1" applyBorder="1" applyAlignment="1">
      <alignment horizontal="right" wrapText="1"/>
    </xf>
    <xf numFmtId="0" fontId="3" fillId="0" borderId="13" xfId="304" applyBorder="1" applyAlignment="1">
      <alignment horizontal="center" wrapText="1"/>
    </xf>
    <xf numFmtId="0" fontId="3" fillId="0" borderId="32" xfId="304" applyBorder="1" applyAlignment="1">
      <alignment horizontal="center" wrapText="1"/>
    </xf>
    <xf numFmtId="0" fontId="49" fillId="64" borderId="31" xfId="304" applyFont="1" applyFill="1" applyBorder="1" applyAlignment="1">
      <alignment horizontal="center"/>
    </xf>
    <xf numFmtId="0" fontId="49" fillId="64" borderId="0" xfId="304" applyFont="1" applyFill="1" applyAlignment="1">
      <alignment horizontal="center"/>
    </xf>
    <xf numFmtId="0" fontId="49" fillId="64" borderId="0" xfId="304" applyFont="1" applyFill="1" applyAlignment="1">
      <alignment horizontal="center" wrapText="1"/>
    </xf>
    <xf numFmtId="0" fontId="2" fillId="0" borderId="0" xfId="304" applyFont="1" applyAlignment="1">
      <alignment horizontal="center"/>
    </xf>
    <xf numFmtId="0" fontId="49" fillId="56" borderId="46" xfId="304" applyFont="1" applyFill="1" applyBorder="1" applyAlignment="1">
      <alignment horizontal="center"/>
    </xf>
    <xf numFmtId="0" fontId="49" fillId="56" borderId="12" xfId="304" applyFont="1" applyFill="1" applyBorder="1" applyAlignment="1">
      <alignment horizontal="center"/>
    </xf>
    <xf numFmtId="0" fontId="49" fillId="56" borderId="73" xfId="304" applyFont="1" applyFill="1" applyBorder="1" applyAlignment="1">
      <alignment horizontal="center"/>
    </xf>
    <xf numFmtId="0" fontId="49" fillId="56" borderId="12" xfId="304" applyFont="1" applyFill="1" applyBorder="1" applyAlignment="1">
      <alignment horizontal="center" wrapText="1"/>
    </xf>
    <xf numFmtId="0" fontId="3" fillId="0" borderId="12" xfId="304" applyBorder="1" applyAlignment="1">
      <alignment horizontal="center" wrapText="1"/>
    </xf>
    <xf numFmtId="0" fontId="3" fillId="0" borderId="73" xfId="304" applyBorder="1" applyAlignment="1">
      <alignment horizontal="center" wrapText="1"/>
    </xf>
    <xf numFmtId="0" fontId="3" fillId="56" borderId="34" xfId="304" applyFill="1" applyBorder="1" applyAlignment="1">
      <alignment horizontal="center" wrapText="1"/>
    </xf>
    <xf numFmtId="0" fontId="3" fillId="56" borderId="42" xfId="304" applyFill="1" applyBorder="1" applyAlignment="1">
      <alignment horizontal="center" wrapText="1"/>
    </xf>
    <xf numFmtId="49" fontId="187" fillId="0" borderId="0" xfId="315" applyNumberFormat="1" applyFont="1" applyAlignment="1">
      <alignment horizontal="left" vertical="top" wrapText="1"/>
    </xf>
    <xf numFmtId="49" fontId="188" fillId="0" borderId="0" xfId="315" applyNumberFormat="1" applyFont="1" applyAlignment="1">
      <alignment horizontal="left" vertical="top" wrapText="1"/>
    </xf>
    <xf numFmtId="0" fontId="47" fillId="56" borderId="0" xfId="304" applyFont="1" applyFill="1" applyAlignment="1">
      <alignment horizontal="left"/>
    </xf>
    <xf numFmtId="175" fontId="47" fillId="56" borderId="0" xfId="154" applyNumberFormat="1" applyFont="1" applyFill="1" applyBorder="1" applyAlignment="1">
      <alignment horizontal="center" wrapText="1"/>
    </xf>
    <xf numFmtId="175" fontId="72" fillId="56" borderId="0" xfId="154" applyNumberFormat="1" applyFont="1" applyFill="1" applyBorder="1" applyAlignment="1">
      <alignment horizontal="center" wrapText="1"/>
    </xf>
    <xf numFmtId="174" fontId="0" fillId="65" borderId="2" xfId="0" applyFill="1" applyBorder="1" applyAlignment="1">
      <alignment horizontal="center"/>
    </xf>
    <xf numFmtId="174" fontId="0" fillId="65" borderId="2" xfId="0" applyFill="1" applyBorder="1" applyAlignment="1">
      <alignment horizontal="left"/>
    </xf>
    <xf numFmtId="174" fontId="0" fillId="0" borderId="0" xfId="0" applyAlignment="1">
      <alignment horizontal="center"/>
    </xf>
    <xf numFmtId="174" fontId="40" fillId="0" borderId="0" xfId="0" applyFont="1" applyAlignment="1">
      <alignment horizontal="center"/>
    </xf>
    <xf numFmtId="0" fontId="174" fillId="0" borderId="0" xfId="304" applyFont="1" applyAlignment="1">
      <alignment horizontal="left"/>
    </xf>
    <xf numFmtId="174" fontId="67" fillId="0" borderId="0" xfId="0" applyFont="1" applyAlignment="1">
      <alignment horizontal="left" vertical="top" wrapText="1"/>
    </xf>
    <xf numFmtId="0" fontId="5" fillId="0" borderId="0" xfId="304" applyFont="1" applyAlignment="1">
      <alignment horizontal="center"/>
    </xf>
    <xf numFmtId="0" fontId="3" fillId="0" borderId="0" xfId="304" applyAlignment="1">
      <alignment horizontal="center"/>
    </xf>
    <xf numFmtId="0" fontId="58" fillId="0" borderId="0" xfId="304" applyFont="1" applyAlignment="1">
      <alignment horizontal="center"/>
    </xf>
    <xf numFmtId="0" fontId="70" fillId="0" borderId="0" xfId="300" applyFont="1" applyAlignment="1">
      <alignment horizontal="center"/>
    </xf>
    <xf numFmtId="0" fontId="66" fillId="0" borderId="0" xfId="300" applyFont="1" applyAlignment="1">
      <alignment horizontal="center"/>
    </xf>
    <xf numFmtId="0" fontId="66" fillId="0" borderId="0" xfId="300" applyFont="1" applyAlignment="1"/>
    <xf numFmtId="0" fontId="70" fillId="0" borderId="0" xfId="300" applyFont="1" applyAlignment="1">
      <alignment wrapText="1"/>
    </xf>
    <xf numFmtId="0" fontId="46" fillId="0" borderId="0" xfId="300" applyFont="1" applyAlignment="1">
      <alignment wrapText="1"/>
    </xf>
    <xf numFmtId="0" fontId="46" fillId="0" borderId="0" xfId="300" applyFont="1" applyAlignment="1">
      <alignment horizontal="center"/>
    </xf>
    <xf numFmtId="0" fontId="5" fillId="0" borderId="0" xfId="300" applyFont="1" applyAlignment="1">
      <alignment horizontal="center"/>
    </xf>
    <xf numFmtId="0" fontId="2" fillId="0" borderId="0" xfId="300" applyFont="1" applyAlignment="1">
      <alignment horizontal="center"/>
    </xf>
    <xf numFmtId="0" fontId="2" fillId="0" borderId="0" xfId="300" applyFont="1" applyAlignment="1"/>
    <xf numFmtId="174" fontId="5" fillId="0" borderId="0" xfId="0" applyFont="1" applyAlignment="1">
      <alignment horizontal="center"/>
    </xf>
    <xf numFmtId="174" fontId="2" fillId="0" borderId="0" xfId="0" applyFont="1" applyAlignment="1" applyProtection="1">
      <alignment horizontal="center"/>
      <protection locked="0"/>
    </xf>
    <xf numFmtId="174" fontId="46" fillId="0" borderId="0" xfId="0" applyFont="1" applyAlignment="1" applyProtection="1">
      <alignment wrapText="1"/>
      <protection locked="0"/>
    </xf>
    <xf numFmtId="0" fontId="3" fillId="0" borderId="0" xfId="321" applyAlignment="1">
      <alignment wrapText="1"/>
    </xf>
    <xf numFmtId="0" fontId="3" fillId="0" borderId="0" xfId="321" applyAlignment="1">
      <alignment horizontal="left" vertical="center" wrapText="1"/>
    </xf>
    <xf numFmtId="174" fontId="5" fillId="0" borderId="0" xfId="0" applyFont="1" applyAlignment="1" applyProtection="1">
      <alignment horizontal="center"/>
      <protection locked="0"/>
    </xf>
    <xf numFmtId="174" fontId="62" fillId="42" borderId="35" xfId="0" applyFont="1" applyFill="1" applyBorder="1" applyAlignment="1" applyProtection="1">
      <alignment horizontal="center"/>
      <protection locked="0"/>
    </xf>
    <xf numFmtId="174" fontId="62" fillId="42" borderId="34" xfId="0" applyFont="1" applyFill="1" applyBorder="1" applyAlignment="1" applyProtection="1">
      <alignment horizontal="center"/>
      <protection locked="0"/>
    </xf>
    <xf numFmtId="174" fontId="62" fillId="42" borderId="42" xfId="0" applyFont="1" applyFill="1" applyBorder="1" applyAlignment="1" applyProtection="1">
      <alignment horizontal="center"/>
      <protection locked="0"/>
    </xf>
    <xf numFmtId="175" fontId="64" fillId="0" borderId="34" xfId="0" applyNumberFormat="1" applyFont="1" applyBorder="1" applyAlignment="1" applyProtection="1">
      <alignment horizontal="center"/>
      <protection locked="0"/>
    </xf>
    <xf numFmtId="174" fontId="62" fillId="0" borderId="36" xfId="0" applyFont="1" applyBorder="1" applyAlignment="1" applyProtection="1">
      <alignment horizontal="center"/>
      <protection locked="0"/>
    </xf>
    <xf numFmtId="174" fontId="62" fillId="0" borderId="5" xfId="0" applyFont="1" applyBorder="1" applyAlignment="1" applyProtection="1">
      <alignment horizontal="center"/>
      <protection locked="0"/>
    </xf>
    <xf numFmtId="174" fontId="62" fillId="0" borderId="37" xfId="0" applyFont="1" applyBorder="1" applyAlignment="1" applyProtection="1">
      <alignment horizontal="center"/>
      <protection locked="0"/>
    </xf>
    <xf numFmtId="0" fontId="2" fillId="0" borderId="0" xfId="0" applyNumberFormat="1" applyFont="1" applyAlignment="1">
      <alignment horizontal="center"/>
    </xf>
    <xf numFmtId="175" fontId="44" fillId="0" borderId="0" xfId="154" applyNumberFormat="1" applyFont="1" applyFill="1" applyBorder="1" applyAlignment="1">
      <alignment horizontal="center" wrapText="1"/>
    </xf>
    <xf numFmtId="175" fontId="44" fillId="0" borderId="3" xfId="154" applyNumberFormat="1" applyFont="1" applyFill="1" applyBorder="1" applyAlignment="1">
      <alignment horizontal="center" wrapText="1"/>
    </xf>
    <xf numFmtId="175" fontId="44" fillId="65" borderId="5" xfId="154" applyNumberFormat="1" applyFont="1" applyFill="1" applyBorder="1" applyAlignment="1">
      <alignment wrapText="1"/>
    </xf>
    <xf numFmtId="174" fontId="0" fillId="0" borderId="5" xfId="0" applyBorder="1" applyAlignment="1">
      <alignment wrapText="1"/>
    </xf>
    <xf numFmtId="175" fontId="44" fillId="0" borderId="5" xfId="154" applyNumberFormat="1" applyFont="1" applyFill="1" applyBorder="1" applyAlignment="1">
      <alignment horizontal="center" wrapText="1"/>
    </xf>
    <xf numFmtId="0" fontId="44" fillId="0" borderId="5" xfId="308" applyFont="1" applyBorder="1" applyAlignment="1">
      <alignment horizontal="center" wrapText="1"/>
    </xf>
    <xf numFmtId="0" fontId="44" fillId="0" borderId="3" xfId="308" applyFont="1" applyBorder="1" applyAlignment="1">
      <alignment horizontal="center" wrapText="1"/>
    </xf>
    <xf numFmtId="174" fontId="48" fillId="0" borderId="0" xfId="309" applyFont="1" applyAlignment="1">
      <alignment horizontal="left"/>
    </xf>
    <xf numFmtId="174" fontId="44" fillId="0" borderId="0" xfId="0" applyFont="1" applyAlignment="1">
      <alignment horizontal="center"/>
    </xf>
    <xf numFmtId="174" fontId="48" fillId="0" borderId="0" xfId="0" applyFont="1" applyAlignment="1">
      <alignment horizontal="center"/>
    </xf>
    <xf numFmtId="0" fontId="44" fillId="0" borderId="67" xfId="315" applyFont="1" applyBorder="1" applyAlignment="1">
      <alignment horizontal="center" wrapText="1"/>
    </xf>
    <xf numFmtId="0" fontId="44" fillId="0" borderId="39" xfId="315" applyFont="1" applyBorder="1" applyAlignment="1">
      <alignment horizontal="center" wrapText="1"/>
    </xf>
    <xf numFmtId="0" fontId="44" fillId="0" borderId="36" xfId="315" applyFont="1" applyBorder="1" applyAlignment="1">
      <alignment horizontal="center" wrapText="1"/>
    </xf>
    <xf numFmtId="0" fontId="44" fillId="0" borderId="5" xfId="315" applyFont="1" applyBorder="1" applyAlignment="1">
      <alignment horizontal="left" wrapText="1"/>
    </xf>
    <xf numFmtId="0" fontId="44" fillId="0" borderId="3" xfId="315" applyFont="1" applyBorder="1" applyAlignment="1">
      <alignment horizontal="left" wrapText="1"/>
    </xf>
    <xf numFmtId="0" fontId="44" fillId="0" borderId="37" xfId="315" applyFont="1" applyBorder="1" applyAlignment="1">
      <alignment horizontal="center" wrapText="1"/>
    </xf>
    <xf numFmtId="0" fontId="44" fillId="0" borderId="40" xfId="315" applyFont="1" applyBorder="1" applyAlignment="1">
      <alignment horizontal="center" wrapText="1"/>
    </xf>
    <xf numFmtId="17" fontId="44" fillId="0" borderId="5" xfId="308" applyNumberFormat="1" applyFont="1" applyBorder="1" applyAlignment="1">
      <alignment horizontal="center" wrapText="1"/>
    </xf>
    <xf numFmtId="17" fontId="44" fillId="0" borderId="3" xfId="308" applyNumberFormat="1" applyFont="1" applyBorder="1" applyAlignment="1">
      <alignment horizontal="center" wrapText="1"/>
    </xf>
    <xf numFmtId="17" fontId="44" fillId="0" borderId="37" xfId="308" applyNumberFormat="1" applyFont="1" applyBorder="1" applyAlignment="1">
      <alignment horizontal="center" wrapText="1"/>
    </xf>
    <xf numFmtId="17" fontId="44" fillId="0" borderId="40" xfId="308" applyNumberFormat="1" applyFont="1" applyBorder="1" applyAlignment="1">
      <alignment horizontal="center" wrapText="1"/>
    </xf>
    <xf numFmtId="0" fontId="44" fillId="0" borderId="36" xfId="308" applyFont="1" applyBorder="1" applyAlignment="1">
      <alignment horizontal="center" wrapText="1"/>
    </xf>
    <xf numFmtId="0" fontId="44" fillId="0" borderId="39" xfId="308" applyFont="1" applyBorder="1" applyAlignment="1">
      <alignment horizontal="center" wrapText="1"/>
    </xf>
    <xf numFmtId="0" fontId="44" fillId="0" borderId="0" xfId="308" applyFont="1" applyAlignment="1">
      <alignment horizontal="center"/>
    </xf>
    <xf numFmtId="0" fontId="2" fillId="0" borderId="0" xfId="312" applyFont="1" applyAlignment="1">
      <alignment horizontal="center"/>
    </xf>
    <xf numFmtId="0" fontId="5" fillId="0" borderId="0" xfId="312" applyFont="1" applyAlignment="1">
      <alignment horizontal="center"/>
    </xf>
    <xf numFmtId="0" fontId="48" fillId="0" borderId="0" xfId="312" applyFont="1" applyAlignment="1">
      <alignment horizontal="center"/>
    </xf>
    <xf numFmtId="0" fontId="182" fillId="0" borderId="0" xfId="310" applyFont="1" applyAlignment="1">
      <alignment horizontal="left" vertical="top" wrapText="1"/>
    </xf>
  </cellXfs>
  <cellStyles count="532">
    <cellStyle name="$" xfId="1" xr:uid="{00000000-0005-0000-0000-000000000000}"/>
    <cellStyle name="$_DCF Shell 2" xfId="2" xr:uid="{00000000-0005-0000-0000-000001000000}"/>
    <cellStyle name="$_Model_Sep_2_02" xfId="3" xr:uid="{00000000-0005-0000-0000-000002000000}"/>
    <cellStyle name="$_Pipeline Model v1 (09_09_02) v3" xfId="4" xr:uid="{00000000-0005-0000-0000-000003000000}"/>
    <cellStyle name="%" xfId="5" xr:uid="{00000000-0005-0000-0000-000004000000}"/>
    <cellStyle name="?? [0]_VERA" xfId="6" xr:uid="{00000000-0005-0000-0000-000005000000}"/>
    <cellStyle name="?????_VERA" xfId="7" xr:uid="{00000000-0005-0000-0000-000006000000}"/>
    <cellStyle name="??_VERA" xfId="8" xr:uid="{00000000-0005-0000-0000-000007000000}"/>
    <cellStyle name="_0decimals" xfId="9" xr:uid="{00000000-0005-0000-0000-000008000000}"/>
    <cellStyle name="_1 0 2011 BP - Overlays v0 12" xfId="10" xr:uid="{00000000-0005-0000-0000-000009000000}"/>
    <cellStyle name="_1 1 OFTO t2 v0 2 (IBA def tax)" xfId="11" xr:uid="{00000000-0005-0000-0000-00000A000000}"/>
    <cellStyle name="_2.0 Emergency Process" xfId="12" xr:uid="{00000000-0005-0000-0000-00000B000000}"/>
    <cellStyle name="_ammonia emission calculation" xfId="13" xr:uid="{00000000-0005-0000-0000-00000C000000}"/>
    <cellStyle name="_Berr Strading Analysis v 04 (2012 to 2020) v0 8 (no capex from 2012)" xfId="14" xr:uid="{00000000-0005-0000-0000-00000D000000}"/>
    <cellStyle name="_Cement" xfId="15" xr:uid="{00000000-0005-0000-0000-00000E000000}"/>
    <cellStyle name="_Comma" xfId="16" xr:uid="{00000000-0005-0000-0000-00000F000000}"/>
    <cellStyle name="_Comma_CSC" xfId="17" xr:uid="{00000000-0005-0000-0000-000010000000}"/>
    <cellStyle name="_Comma_merger_plans_modified_9_3_1999" xfId="18" xr:uid="{00000000-0005-0000-0000-000011000000}"/>
    <cellStyle name="_Currency" xfId="19" xr:uid="{00000000-0005-0000-0000-000012000000}"/>
    <cellStyle name="_Currency_CSC" xfId="20" xr:uid="{00000000-0005-0000-0000-000013000000}"/>
    <cellStyle name="_Currency_merger_plans_modified_9_3_1999" xfId="21" xr:uid="{00000000-0005-0000-0000-000014000000}"/>
    <cellStyle name="_Currency_Model_Sep_2_02" xfId="22" xr:uid="{00000000-0005-0000-0000-000015000000}"/>
    <cellStyle name="_Currency_Pipeline Model v1 (09_09_02) v3" xfId="23" xr:uid="{00000000-0005-0000-0000-000016000000}"/>
    <cellStyle name="_CurrencySpace" xfId="24" xr:uid="{00000000-0005-0000-0000-000017000000}"/>
    <cellStyle name="_CurrencySpace_CSC" xfId="25" xr:uid="{00000000-0005-0000-0000-000018000000}"/>
    <cellStyle name="_CurrencySpace_merger_plans_modified_9_3_1999" xfId="26" xr:uid="{00000000-0005-0000-0000-000019000000}"/>
    <cellStyle name="_Group Impact Model - Output Sheet" xfId="27" xr:uid="{00000000-0005-0000-0000-00001A000000}"/>
    <cellStyle name="_Multiple" xfId="28" xr:uid="{00000000-0005-0000-0000-00001B000000}"/>
    <cellStyle name="_Multiple_CSC" xfId="29" xr:uid="{00000000-0005-0000-0000-00001C000000}"/>
    <cellStyle name="_Multiple_merger_plans_modified_9_3_1999" xfId="30" xr:uid="{00000000-0005-0000-0000-00001D000000}"/>
    <cellStyle name="_Multiple_Model_Sep_2_02" xfId="31" xr:uid="{00000000-0005-0000-0000-00001E000000}"/>
    <cellStyle name="_Multiple_Pipeline Model v1 (09_09_02) v3" xfId="32" xr:uid="{00000000-0005-0000-0000-00001F000000}"/>
    <cellStyle name="_MultipleSpace" xfId="33" xr:uid="{00000000-0005-0000-0000-000020000000}"/>
    <cellStyle name="_MultipleSpace_CSC" xfId="34" xr:uid="{00000000-0005-0000-0000-000021000000}"/>
    <cellStyle name="_MultipleSpace_merger_plans_modified_9_3_1999" xfId="35" xr:uid="{00000000-0005-0000-0000-000022000000}"/>
    <cellStyle name="_MultipleSpace_Model_Sep_2_02" xfId="36" xr:uid="{00000000-0005-0000-0000-000023000000}"/>
    <cellStyle name="_MultipleSpace_Pipeline Model v1 (09_09_02) v3" xfId="37" xr:uid="{00000000-0005-0000-0000-000024000000}"/>
    <cellStyle name="_NGM  Business Valuation Jan 10 v7 no links(sg)" xfId="38" xr:uid="{00000000-0005-0000-0000-000025000000}"/>
    <cellStyle name="_Oil Sands" xfId="39" xr:uid="{00000000-0005-0000-0000-000026000000}"/>
    <cellStyle name="_Payroll - Dave Moon v2" xfId="40" xr:uid="{00000000-0005-0000-0000-000027000000}"/>
    <cellStyle name="_Percent" xfId="41" xr:uid="{00000000-0005-0000-0000-000028000000}"/>
    <cellStyle name="_Percent_CSC" xfId="42" xr:uid="{00000000-0005-0000-0000-000029000000}"/>
    <cellStyle name="_Percent_merger_plans_modified_9_3_1999" xfId="43" xr:uid="{00000000-0005-0000-0000-00002A000000}"/>
    <cellStyle name="_Percent_Model_Sep_2_02" xfId="44" xr:uid="{00000000-0005-0000-0000-00002B000000}"/>
    <cellStyle name="_Percent_Pipeline Model v1 (09_09_02) v3" xfId="45" xr:uid="{00000000-0005-0000-0000-00002C000000}"/>
    <cellStyle name="_PercentSpace" xfId="46" xr:uid="{00000000-0005-0000-0000-00002D000000}"/>
    <cellStyle name="_PercentSpace_CSC" xfId="47" xr:uid="{00000000-0005-0000-0000-00002E000000}"/>
    <cellStyle name="_PercentSpace_merger_plans_modified_9_3_1999" xfId="48" xr:uid="{00000000-0005-0000-0000-00002F000000}"/>
    <cellStyle name="_PercentSpace_Model_Sep_2_02" xfId="49" xr:uid="{00000000-0005-0000-0000-000030000000}"/>
    <cellStyle name="_PercentSpace_Pipeline Model v1 (09_09_02) v3" xfId="50" xr:uid="{00000000-0005-0000-0000-000031000000}"/>
    <cellStyle name="_Refineries" xfId="51" xr:uid="{00000000-0005-0000-0000-000032000000}"/>
    <cellStyle name="_TableRowHead" xfId="52" xr:uid="{00000000-0005-0000-0000-000033000000}"/>
    <cellStyle name="_TableSuperHead" xfId="53" xr:uid="{00000000-0005-0000-0000-000034000000}"/>
    <cellStyle name="£ BP" xfId="54" xr:uid="{00000000-0005-0000-0000-000035000000}"/>
    <cellStyle name="£[2]" xfId="55" xr:uid="{00000000-0005-0000-0000-000036000000}"/>
    <cellStyle name="¥ JY" xfId="56" xr:uid="{00000000-0005-0000-0000-000037000000}"/>
    <cellStyle name="=C:\WINNT\SYSTEM32\COMMAND.COM" xfId="57" xr:uid="{00000000-0005-0000-0000-000038000000}"/>
    <cellStyle name="0" xfId="58" xr:uid="{00000000-0005-0000-0000-000039000000}"/>
    <cellStyle name="0_Credit Rating Ratios" xfId="59" xr:uid="{00000000-0005-0000-0000-00003A000000}"/>
    <cellStyle name="0_Pension numbers in 09 Plan  Budget (3)" xfId="60" xr:uid="{00000000-0005-0000-0000-00003B000000}"/>
    <cellStyle name="0DP" xfId="61" xr:uid="{00000000-0005-0000-0000-00003C000000}"/>
    <cellStyle name="0DP bold" xfId="62" xr:uid="{00000000-0005-0000-0000-00003D000000}"/>
    <cellStyle name="0DP_calcSens" xfId="63" xr:uid="{00000000-0005-0000-0000-00003E000000}"/>
    <cellStyle name="1DP" xfId="64" xr:uid="{00000000-0005-0000-0000-00003F000000}"/>
    <cellStyle name="1DP bold" xfId="65" xr:uid="{00000000-0005-0000-0000-000040000000}"/>
    <cellStyle name="2DP" xfId="66" xr:uid="{00000000-0005-0000-0000-000041000000}"/>
    <cellStyle name="2DP bold" xfId="67" xr:uid="{00000000-0005-0000-0000-000042000000}"/>
    <cellStyle name="3DP" xfId="68" xr:uid="{00000000-0005-0000-0000-000043000000}"/>
    <cellStyle name="Accent1 - 20%" xfId="69" xr:uid="{00000000-0005-0000-0000-000044000000}"/>
    <cellStyle name="Accent1 - 40%" xfId="70" xr:uid="{00000000-0005-0000-0000-000045000000}"/>
    <cellStyle name="Accent1 - 60%" xfId="71" xr:uid="{00000000-0005-0000-0000-000046000000}"/>
    <cellStyle name="Accent2 - 20%" xfId="72" xr:uid="{00000000-0005-0000-0000-000047000000}"/>
    <cellStyle name="Accent2 - 40%" xfId="73" xr:uid="{00000000-0005-0000-0000-000048000000}"/>
    <cellStyle name="Accent2 - 60%" xfId="74" xr:uid="{00000000-0005-0000-0000-000049000000}"/>
    <cellStyle name="Accent3 - 20%" xfId="75" xr:uid="{00000000-0005-0000-0000-00004A000000}"/>
    <cellStyle name="Accent3 - 40%" xfId="76" xr:uid="{00000000-0005-0000-0000-00004B000000}"/>
    <cellStyle name="Accent3 - 60%" xfId="77" xr:uid="{00000000-0005-0000-0000-00004C000000}"/>
    <cellStyle name="Accent4 - 20%" xfId="78" xr:uid="{00000000-0005-0000-0000-00004D000000}"/>
    <cellStyle name="Accent4 - 40%" xfId="79" xr:uid="{00000000-0005-0000-0000-00004E000000}"/>
    <cellStyle name="Accent4 - 60%" xfId="80" xr:uid="{00000000-0005-0000-0000-00004F000000}"/>
    <cellStyle name="Accent5 - 20%" xfId="81" xr:uid="{00000000-0005-0000-0000-000050000000}"/>
    <cellStyle name="Accent5 - 40%" xfId="82" xr:uid="{00000000-0005-0000-0000-000051000000}"/>
    <cellStyle name="Accent5 - 60%" xfId="83" xr:uid="{00000000-0005-0000-0000-000052000000}"/>
    <cellStyle name="Accent6 - 20%" xfId="84" xr:uid="{00000000-0005-0000-0000-000053000000}"/>
    <cellStyle name="Accent6 - 40%" xfId="85" xr:uid="{00000000-0005-0000-0000-000054000000}"/>
    <cellStyle name="Accent6 - 60%" xfId="86" xr:uid="{00000000-0005-0000-0000-000055000000}"/>
    <cellStyle name="Actual Date" xfId="87" xr:uid="{00000000-0005-0000-0000-000056000000}"/>
    <cellStyle name="ÅëÈ­ [0]_±âÅ¸" xfId="88" xr:uid="{00000000-0005-0000-0000-000057000000}"/>
    <cellStyle name="ÅëÈ­_±âÅ¸" xfId="89" xr:uid="{00000000-0005-0000-0000-000058000000}"/>
    <cellStyle name="AFE" xfId="90" xr:uid="{00000000-0005-0000-0000-000059000000}"/>
    <cellStyle name="ÄÞ¸¶ [0]_±âÅ¸" xfId="91" xr:uid="{00000000-0005-0000-0000-00005A000000}"/>
    <cellStyle name="ÄÞ¸¶_±âÅ¸" xfId="92" xr:uid="{00000000-0005-0000-0000-00005B000000}"/>
    <cellStyle name="BMDate" xfId="93" xr:uid="{00000000-0005-0000-0000-00005C000000}"/>
    <cellStyle name="BMHeading" xfId="94" xr:uid="{00000000-0005-0000-0000-00005D000000}"/>
    <cellStyle name="BMInputNormal" xfId="95" xr:uid="{00000000-0005-0000-0000-00005E000000}"/>
    <cellStyle name="BMMultiple" xfId="96" xr:uid="{00000000-0005-0000-0000-00005F000000}"/>
    <cellStyle name="BMPercent" xfId="97" xr:uid="{00000000-0005-0000-0000-000060000000}"/>
    <cellStyle name="Body" xfId="98" xr:uid="{00000000-0005-0000-0000-000061000000}"/>
    <cellStyle name="Bold/Border" xfId="99" xr:uid="{00000000-0005-0000-0000-000062000000}"/>
    <cellStyle name="BooleanYorN" xfId="100" xr:uid="{00000000-0005-0000-0000-000063000000}"/>
    <cellStyle name="Bullet" xfId="101" xr:uid="{00000000-0005-0000-0000-000064000000}"/>
    <cellStyle name="c" xfId="102" xr:uid="{00000000-0005-0000-0000-000065000000}"/>
    <cellStyle name="c_Bal Sheets" xfId="103" xr:uid="{00000000-0005-0000-0000-000066000000}"/>
    <cellStyle name="c_Credit (2)" xfId="104" xr:uid="{00000000-0005-0000-0000-000067000000}"/>
    <cellStyle name="c_Earnings" xfId="105" xr:uid="{00000000-0005-0000-0000-000068000000}"/>
    <cellStyle name="c_Earnings (2)" xfId="106" xr:uid="{00000000-0005-0000-0000-000069000000}"/>
    <cellStyle name="c_finsumm" xfId="107" xr:uid="{00000000-0005-0000-0000-00006A000000}"/>
    <cellStyle name="c_GoroWipTax-to2050_fromCo_Oct21_99" xfId="108" xr:uid="{00000000-0005-0000-0000-00006B000000}"/>
    <cellStyle name="c_HardInc " xfId="109" xr:uid="{00000000-0005-0000-0000-00006C000000}"/>
    <cellStyle name="c_Hist Inputs (2)" xfId="110" xr:uid="{00000000-0005-0000-0000-00006D000000}"/>
    <cellStyle name="c_IEL_finsumm" xfId="111" xr:uid="{00000000-0005-0000-0000-00006E000000}"/>
    <cellStyle name="c_IEL_finsumm1" xfId="112" xr:uid="{00000000-0005-0000-0000-00006F000000}"/>
    <cellStyle name="c_LBO Summary" xfId="113" xr:uid="{00000000-0005-0000-0000-000070000000}"/>
    <cellStyle name="c_Schedules" xfId="114" xr:uid="{00000000-0005-0000-0000-000071000000}"/>
    <cellStyle name="c_Trans Assump (2)" xfId="115" xr:uid="{00000000-0005-0000-0000-000072000000}"/>
    <cellStyle name="c_Unit Price Sen. (2)" xfId="116" xr:uid="{00000000-0005-0000-0000-000073000000}"/>
    <cellStyle name="Ç¥ÁØ_¿ù°£¿ä¾àº¸°í" xfId="117" xr:uid="{00000000-0005-0000-0000-000074000000}"/>
    <cellStyle name="C00A" xfId="118" xr:uid="{00000000-0005-0000-0000-000075000000}"/>
    <cellStyle name="C00B" xfId="119" xr:uid="{00000000-0005-0000-0000-000076000000}"/>
    <cellStyle name="C00L" xfId="120" xr:uid="{00000000-0005-0000-0000-000077000000}"/>
    <cellStyle name="C01A" xfId="121" xr:uid="{00000000-0005-0000-0000-000078000000}"/>
    <cellStyle name="C01B" xfId="122" xr:uid="{00000000-0005-0000-0000-000079000000}"/>
    <cellStyle name="C01H" xfId="123" xr:uid="{00000000-0005-0000-0000-00007A000000}"/>
    <cellStyle name="C01L" xfId="124" xr:uid="{00000000-0005-0000-0000-00007B000000}"/>
    <cellStyle name="C02A" xfId="125" xr:uid="{00000000-0005-0000-0000-00007C000000}"/>
    <cellStyle name="C02B" xfId="126" xr:uid="{00000000-0005-0000-0000-00007D000000}"/>
    <cellStyle name="C02H" xfId="127" xr:uid="{00000000-0005-0000-0000-00007E000000}"/>
    <cellStyle name="C02L" xfId="128" xr:uid="{00000000-0005-0000-0000-00007F000000}"/>
    <cellStyle name="C03A" xfId="129" xr:uid="{00000000-0005-0000-0000-000080000000}"/>
    <cellStyle name="C03B" xfId="130" xr:uid="{00000000-0005-0000-0000-000081000000}"/>
    <cellStyle name="C03H" xfId="131" xr:uid="{00000000-0005-0000-0000-000082000000}"/>
    <cellStyle name="C03L" xfId="132" xr:uid="{00000000-0005-0000-0000-000083000000}"/>
    <cellStyle name="C04A" xfId="133" xr:uid="{00000000-0005-0000-0000-000084000000}"/>
    <cellStyle name="C04B" xfId="134" xr:uid="{00000000-0005-0000-0000-000085000000}"/>
    <cellStyle name="C04H" xfId="135" xr:uid="{00000000-0005-0000-0000-000086000000}"/>
    <cellStyle name="C04L" xfId="136" xr:uid="{00000000-0005-0000-0000-000087000000}"/>
    <cellStyle name="C05A" xfId="137" xr:uid="{00000000-0005-0000-0000-000088000000}"/>
    <cellStyle name="C05B" xfId="138" xr:uid="{00000000-0005-0000-0000-000089000000}"/>
    <cellStyle name="C05H" xfId="139" xr:uid="{00000000-0005-0000-0000-00008A000000}"/>
    <cellStyle name="C05L" xfId="140" xr:uid="{00000000-0005-0000-0000-00008B000000}"/>
    <cellStyle name="C06A" xfId="141" xr:uid="{00000000-0005-0000-0000-00008C000000}"/>
    <cellStyle name="C06B" xfId="142" xr:uid="{00000000-0005-0000-0000-00008D000000}"/>
    <cellStyle name="C06H" xfId="143" xr:uid="{00000000-0005-0000-0000-00008E000000}"/>
    <cellStyle name="C06L" xfId="144" xr:uid="{00000000-0005-0000-0000-00008F000000}"/>
    <cellStyle name="C07A" xfId="145" xr:uid="{00000000-0005-0000-0000-000090000000}"/>
    <cellStyle name="C07B" xfId="146" xr:uid="{00000000-0005-0000-0000-000091000000}"/>
    <cellStyle name="C07H" xfId="147" xr:uid="{00000000-0005-0000-0000-000092000000}"/>
    <cellStyle name="C07L" xfId="148" xr:uid="{00000000-0005-0000-0000-000093000000}"/>
    <cellStyle name="Calc Currency (0)" xfId="149" xr:uid="{00000000-0005-0000-0000-000094000000}"/>
    <cellStyle name="CalcInput" xfId="150" xr:uid="{00000000-0005-0000-0000-000095000000}"/>
    <cellStyle name="Calcs" xfId="151" xr:uid="{00000000-0005-0000-0000-000096000000}"/>
    <cellStyle name="column Head Underlined" xfId="152" xr:uid="{00000000-0005-0000-0000-000097000000}"/>
    <cellStyle name="Column Heading" xfId="153" xr:uid="{00000000-0005-0000-0000-000098000000}"/>
    <cellStyle name="Comma" xfId="154" builtinId="3"/>
    <cellStyle name="Comma  - Style1" xfId="155" xr:uid="{00000000-0005-0000-0000-00009A000000}"/>
    <cellStyle name="Comma  - Style2" xfId="156" xr:uid="{00000000-0005-0000-0000-00009B000000}"/>
    <cellStyle name="Comma  - Style3" xfId="157" xr:uid="{00000000-0005-0000-0000-00009C000000}"/>
    <cellStyle name="Comma  - Style4" xfId="158" xr:uid="{00000000-0005-0000-0000-00009D000000}"/>
    <cellStyle name="Comma  - Style5" xfId="159" xr:uid="{00000000-0005-0000-0000-00009E000000}"/>
    <cellStyle name="Comma  - Style6" xfId="160" xr:uid="{00000000-0005-0000-0000-00009F000000}"/>
    <cellStyle name="Comma  - Style7" xfId="161" xr:uid="{00000000-0005-0000-0000-0000A0000000}"/>
    <cellStyle name="Comma  - Style8" xfId="162" xr:uid="{00000000-0005-0000-0000-0000A1000000}"/>
    <cellStyle name="Comma (0)" xfId="163" xr:uid="{00000000-0005-0000-0000-0000A2000000}"/>
    <cellStyle name="Comma [0]" xfId="164" builtinId="6"/>
    <cellStyle name="Comma [1]" xfId="165" xr:uid="{00000000-0005-0000-0000-0000A4000000}"/>
    <cellStyle name="Comma [2]" xfId="166" xr:uid="{00000000-0005-0000-0000-0000A5000000}"/>
    <cellStyle name="Comma [3]" xfId="167" xr:uid="{00000000-0005-0000-0000-0000A6000000}"/>
    <cellStyle name="Comma 0" xfId="168" xr:uid="{00000000-0005-0000-0000-0000A7000000}"/>
    <cellStyle name="Comma 0*" xfId="169" xr:uid="{00000000-0005-0000-0000-0000A8000000}"/>
    <cellStyle name="Comma 0_Model_Sep_2_02" xfId="170" xr:uid="{00000000-0005-0000-0000-0000A9000000}"/>
    <cellStyle name="Comma 2" xfId="171" xr:uid="{00000000-0005-0000-0000-0000AA000000}"/>
    <cellStyle name="Comma 2 2" xfId="172" xr:uid="{00000000-0005-0000-0000-0000AB000000}"/>
    <cellStyle name="Comma 2*" xfId="173" xr:uid="{00000000-0005-0000-0000-0000AC000000}"/>
    <cellStyle name="Comma 2_Model_Sep_2_02" xfId="174" xr:uid="{00000000-0005-0000-0000-0000AD000000}"/>
    <cellStyle name="Comma 3" xfId="175" xr:uid="{00000000-0005-0000-0000-0000AE000000}"/>
    <cellStyle name="Comma 3 2" xfId="176" xr:uid="{00000000-0005-0000-0000-0000AF000000}"/>
    <cellStyle name="Comma 3 3" xfId="177" xr:uid="{00000000-0005-0000-0000-0000B0000000}"/>
    <cellStyle name="Comma 3*" xfId="178" xr:uid="{00000000-0005-0000-0000-0000B1000000}"/>
    <cellStyle name="Comma 4" xfId="179" xr:uid="{00000000-0005-0000-0000-0000B2000000}"/>
    <cellStyle name="Comma 5" xfId="180" xr:uid="{00000000-0005-0000-0000-0000B3000000}"/>
    <cellStyle name="Comma 6" xfId="181" xr:uid="{00000000-0005-0000-0000-0000B4000000}"/>
    <cellStyle name="Comma*" xfId="182" xr:uid="{00000000-0005-0000-0000-0000B5000000}"/>
    <cellStyle name="comma[0]" xfId="183" xr:uid="{00000000-0005-0000-0000-0000B6000000}"/>
    <cellStyle name="Comma0" xfId="184" xr:uid="{00000000-0005-0000-0000-0000B7000000}"/>
    <cellStyle name="CompanyName" xfId="185" xr:uid="{00000000-0005-0000-0000-0000B8000000}"/>
    <cellStyle name="Config Data" xfId="186" xr:uid="{00000000-0005-0000-0000-0000B9000000}"/>
    <cellStyle name="Copied" xfId="187" xr:uid="{00000000-0005-0000-0000-0000BA000000}"/>
    <cellStyle name="Copy0_" xfId="188" xr:uid="{00000000-0005-0000-0000-0000BB000000}"/>
    <cellStyle name="Copy1_" xfId="189" xr:uid="{00000000-0005-0000-0000-0000BC000000}"/>
    <cellStyle name="Copy2_" xfId="190" xr:uid="{00000000-0005-0000-0000-0000BD000000}"/>
    <cellStyle name="Currency" xfId="191" builtinId="4"/>
    <cellStyle name="Currency [0.00]" xfId="192" xr:uid="{00000000-0005-0000-0000-0000BF000000}"/>
    <cellStyle name="Currency 0" xfId="193" xr:uid="{00000000-0005-0000-0000-0000C0000000}"/>
    <cellStyle name="Currency 2" xfId="194" xr:uid="{00000000-0005-0000-0000-0000C1000000}"/>
    <cellStyle name="Currency 2 2" xfId="195" xr:uid="{00000000-0005-0000-0000-0000C2000000}"/>
    <cellStyle name="Currency 2*" xfId="196" xr:uid="{00000000-0005-0000-0000-0000C3000000}"/>
    <cellStyle name="Currency 2_Model_Sep_2_02" xfId="197" xr:uid="{00000000-0005-0000-0000-0000C4000000}"/>
    <cellStyle name="Currency 3" xfId="198" xr:uid="{00000000-0005-0000-0000-0000C5000000}"/>
    <cellStyle name="Currency 3 2" xfId="199" xr:uid="{00000000-0005-0000-0000-0000C6000000}"/>
    <cellStyle name="Currency 3*" xfId="200" xr:uid="{00000000-0005-0000-0000-0000C7000000}"/>
    <cellStyle name="Currency 4" xfId="201" xr:uid="{00000000-0005-0000-0000-0000C8000000}"/>
    <cellStyle name="Currency*" xfId="202" xr:uid="{00000000-0005-0000-0000-0000C9000000}"/>
    <cellStyle name="Currency0" xfId="203" xr:uid="{00000000-0005-0000-0000-0000CA000000}"/>
    <cellStyle name="Dash" xfId="204" xr:uid="{00000000-0005-0000-0000-0000CB000000}"/>
    <cellStyle name="Date" xfId="205" xr:uid="{00000000-0005-0000-0000-0000CC000000}"/>
    <cellStyle name="Date Aligned" xfId="206" xr:uid="{00000000-0005-0000-0000-0000CD000000}"/>
    <cellStyle name="Date Aligned*" xfId="207" xr:uid="{00000000-0005-0000-0000-0000CE000000}"/>
    <cellStyle name="Date Aligned_Model_Sep_2_02" xfId="208" xr:uid="{00000000-0005-0000-0000-0000CF000000}"/>
    <cellStyle name="Date_1 1 OFTO t2 v0 2 (IBA def tax)" xfId="209" xr:uid="{00000000-0005-0000-0000-0000D0000000}"/>
    <cellStyle name="Dec places 0" xfId="210" xr:uid="{00000000-0005-0000-0000-0000D1000000}"/>
    <cellStyle name="Dec places 1, millions" xfId="211" xr:uid="{00000000-0005-0000-0000-0000D2000000}"/>
    <cellStyle name="Dec places 2" xfId="212" xr:uid="{00000000-0005-0000-0000-0000D3000000}"/>
    <cellStyle name="Dec places 2, millions" xfId="213" xr:uid="{00000000-0005-0000-0000-0000D4000000}"/>
    <cellStyle name="Dezimal [0]_Compiling Utility Macros" xfId="214" xr:uid="{00000000-0005-0000-0000-0000D5000000}"/>
    <cellStyle name="Dezimal_Compiling Utility Macros" xfId="215" xr:uid="{00000000-0005-0000-0000-0000D6000000}"/>
    <cellStyle name="dollar" xfId="216" xr:uid="{00000000-0005-0000-0000-0000D7000000}"/>
    <cellStyle name="dollar[0]" xfId="217" xr:uid="{00000000-0005-0000-0000-0000D8000000}"/>
    <cellStyle name="dollar_Model_Sep_2_02" xfId="218" xr:uid="{00000000-0005-0000-0000-0000D9000000}"/>
    <cellStyle name="Dotted Line" xfId="219" xr:uid="{00000000-0005-0000-0000-0000DA000000}"/>
    <cellStyle name="DP 0, no commas" xfId="220" xr:uid="{00000000-0005-0000-0000-0000DB000000}"/>
    <cellStyle name="Emphasis 1" xfId="221" xr:uid="{00000000-0005-0000-0000-0000DC000000}"/>
    <cellStyle name="Emphasis 2" xfId="222" xr:uid="{00000000-0005-0000-0000-0000DD000000}"/>
    <cellStyle name="Emphasis 3" xfId="223" xr:uid="{00000000-0005-0000-0000-0000DE000000}"/>
    <cellStyle name="Entered" xfId="224" xr:uid="{00000000-0005-0000-0000-0000DF000000}"/>
    <cellStyle name="Euro" xfId="225" xr:uid="{00000000-0005-0000-0000-0000E0000000}"/>
    <cellStyle name="EYBlocked" xfId="226" xr:uid="{00000000-0005-0000-0000-0000E1000000}"/>
    <cellStyle name="EYCallUp" xfId="227" xr:uid="{00000000-0005-0000-0000-0000E2000000}"/>
    <cellStyle name="EYCheck" xfId="228" xr:uid="{00000000-0005-0000-0000-0000E3000000}"/>
    <cellStyle name="EYDate" xfId="229" xr:uid="{00000000-0005-0000-0000-0000E4000000}"/>
    <cellStyle name="EYDeviant" xfId="230" xr:uid="{00000000-0005-0000-0000-0000E5000000}"/>
    <cellStyle name="EYHeader1" xfId="231" xr:uid="{00000000-0005-0000-0000-0000E6000000}"/>
    <cellStyle name="EYHeader2" xfId="232" xr:uid="{00000000-0005-0000-0000-0000E7000000}"/>
    <cellStyle name="EYHeader3" xfId="233" xr:uid="{00000000-0005-0000-0000-0000E8000000}"/>
    <cellStyle name="EYInputDate" xfId="234" xr:uid="{00000000-0005-0000-0000-0000E9000000}"/>
    <cellStyle name="EYInputPercent" xfId="235" xr:uid="{00000000-0005-0000-0000-0000EA000000}"/>
    <cellStyle name="EYInputValue" xfId="236" xr:uid="{00000000-0005-0000-0000-0000EB000000}"/>
    <cellStyle name="EYNormal" xfId="237" xr:uid="{00000000-0005-0000-0000-0000EC000000}"/>
    <cellStyle name="EYPercent" xfId="238" xr:uid="{00000000-0005-0000-0000-0000ED000000}"/>
    <cellStyle name="EYPercentCapped" xfId="239" xr:uid="{00000000-0005-0000-0000-0000EE000000}"/>
    <cellStyle name="EYSubTotal" xfId="240" xr:uid="{00000000-0005-0000-0000-0000EF000000}"/>
    <cellStyle name="EYTotal" xfId="241" xr:uid="{00000000-0005-0000-0000-0000F0000000}"/>
    <cellStyle name="EYWIP" xfId="242" xr:uid="{00000000-0005-0000-0000-0000F1000000}"/>
    <cellStyle name="Fixed" xfId="243" xr:uid="{00000000-0005-0000-0000-0000F2000000}"/>
    <cellStyle name="FOOTER - Style1" xfId="244" xr:uid="{00000000-0005-0000-0000-0000F3000000}"/>
    <cellStyle name="Footnote" xfId="245" xr:uid="{00000000-0005-0000-0000-0000F4000000}"/>
    <cellStyle name="FORECAST" xfId="246" xr:uid="{00000000-0005-0000-0000-0000F5000000}"/>
    <cellStyle name="From" xfId="247" xr:uid="{00000000-0005-0000-0000-0000F6000000}"/>
    <cellStyle name="General" xfId="248" xr:uid="{00000000-0005-0000-0000-0000F7000000}"/>
    <cellStyle name="Grey" xfId="249" xr:uid="{00000000-0005-0000-0000-0000F8000000}"/>
    <cellStyle name="Hard Percent" xfId="250" xr:uid="{00000000-0005-0000-0000-0000F9000000}"/>
    <cellStyle name="Header" xfId="251" xr:uid="{00000000-0005-0000-0000-0000FA000000}"/>
    <cellStyle name="Header1" xfId="252" xr:uid="{00000000-0005-0000-0000-0000FB000000}"/>
    <cellStyle name="Header2" xfId="253" xr:uid="{00000000-0005-0000-0000-0000FC000000}"/>
    <cellStyle name="Heading 1" xfId="254" builtinId="16" customBuiltin="1"/>
    <cellStyle name="Heading 2" xfId="255" builtinId="17" customBuiltin="1"/>
    <cellStyle name="Heading1" xfId="256" xr:uid="{00000000-0005-0000-0000-0000FF000000}"/>
    <cellStyle name="Heading2" xfId="257" xr:uid="{00000000-0005-0000-0000-000000010000}"/>
    <cellStyle name="HEADINGS" xfId="258" xr:uid="{00000000-0005-0000-0000-000001010000}"/>
    <cellStyle name="HIGHLIGHT" xfId="259" xr:uid="{00000000-0005-0000-0000-000002010000}"/>
    <cellStyle name="Hyperlink" xfId="260" builtinId="8"/>
    <cellStyle name="Incomplete" xfId="261" xr:uid="{00000000-0005-0000-0000-000004010000}"/>
    <cellStyle name="Input [yellow]" xfId="262" xr:uid="{00000000-0005-0000-0000-000005010000}"/>
    <cellStyle name="InputBlueFont" xfId="263" xr:uid="{00000000-0005-0000-0000-000006010000}"/>
    <cellStyle name="InputData" xfId="264" xr:uid="{00000000-0005-0000-0000-000007010000}"/>
    <cellStyle name="InputNegative" xfId="265" xr:uid="{00000000-0005-0000-0000-000008010000}"/>
    <cellStyle name="Integer" xfId="266" xr:uid="{00000000-0005-0000-0000-000009010000}"/>
    <cellStyle name="MACRO" xfId="267" xr:uid="{00000000-0005-0000-0000-00000A010000}"/>
    <cellStyle name="Main Heading" xfId="268" xr:uid="{00000000-0005-0000-0000-00000B010000}"/>
    <cellStyle name="Main Title" xfId="269" xr:uid="{00000000-0005-0000-0000-00000C010000}"/>
    <cellStyle name="MAND_x000a_CHECK.COMMAND_x000e_RENAME.COMMAND_x0008_SHOW.BAR_x000b_DELETE.MENU_x000e_DELETE.COMMAND_x000e_GET.CHA" xfId="270" xr:uid="{00000000-0005-0000-0000-00000D010000}"/>
    <cellStyle name="Model" xfId="271" xr:uid="{00000000-0005-0000-0000-00000E010000}"/>
    <cellStyle name="mult" xfId="272" xr:uid="{00000000-0005-0000-0000-00000F010000}"/>
    <cellStyle name="Multiple" xfId="273" xr:uid="{00000000-0005-0000-0000-000010010000}"/>
    <cellStyle name="MultipleBelow" xfId="274" xr:uid="{00000000-0005-0000-0000-000011010000}"/>
    <cellStyle name="NGBlocked" xfId="275" xr:uid="{00000000-0005-0000-0000-000012010000}"/>
    <cellStyle name="NGCallUp" xfId="276" xr:uid="{00000000-0005-0000-0000-000013010000}"/>
    <cellStyle name="NGCheck" xfId="277" xr:uid="{00000000-0005-0000-0000-000014010000}"/>
    <cellStyle name="NGDate" xfId="278" xr:uid="{00000000-0005-0000-0000-000015010000}"/>
    <cellStyle name="NGDeviant" xfId="279" xr:uid="{00000000-0005-0000-0000-000016010000}"/>
    <cellStyle name="NGHeader1" xfId="280" xr:uid="{00000000-0005-0000-0000-000017010000}"/>
    <cellStyle name="NGHeader2" xfId="281" xr:uid="{00000000-0005-0000-0000-000018010000}"/>
    <cellStyle name="NGHeader3" xfId="282" xr:uid="{00000000-0005-0000-0000-000019010000}"/>
    <cellStyle name="NGInputDate" xfId="283" xr:uid="{00000000-0005-0000-0000-00001A010000}"/>
    <cellStyle name="NGInputPercent" xfId="284" xr:uid="{00000000-0005-0000-0000-00001B010000}"/>
    <cellStyle name="NGInputValue" xfId="285" xr:uid="{00000000-0005-0000-0000-00001C010000}"/>
    <cellStyle name="NGNormal" xfId="286" xr:uid="{00000000-0005-0000-0000-00001D010000}"/>
    <cellStyle name="NGPercent" xfId="287" xr:uid="{00000000-0005-0000-0000-00001E010000}"/>
    <cellStyle name="NGPercentCapped" xfId="288" xr:uid="{00000000-0005-0000-0000-00001F010000}"/>
    <cellStyle name="NGSubTotal" xfId="289" xr:uid="{00000000-0005-0000-0000-000020010000}"/>
    <cellStyle name="NGTotal" xfId="290" xr:uid="{00000000-0005-0000-0000-000021010000}"/>
    <cellStyle name="NGWIP" xfId="291" xr:uid="{00000000-0005-0000-0000-000022010000}"/>
    <cellStyle name="no dec" xfId="292" xr:uid="{00000000-0005-0000-0000-000023010000}"/>
    <cellStyle name="Normal" xfId="0" builtinId="0"/>
    <cellStyle name="Normal - Style1" xfId="293" xr:uid="{00000000-0005-0000-0000-000025010000}"/>
    <cellStyle name="Normal (0)" xfId="294" xr:uid="{00000000-0005-0000-0000-000026010000}"/>
    <cellStyle name="Normal (0) U" xfId="295" xr:uid="{00000000-0005-0000-0000-000027010000}"/>
    <cellStyle name="Normal (0) UD" xfId="296" xr:uid="{00000000-0005-0000-0000-000028010000}"/>
    <cellStyle name="Normal (1)" xfId="297" xr:uid="{00000000-0005-0000-0000-000029010000}"/>
    <cellStyle name="Normal (2)" xfId="298" xr:uid="{00000000-0005-0000-0000-00002A010000}"/>
    <cellStyle name="Normal (3)" xfId="299" xr:uid="{00000000-0005-0000-0000-00002B010000}"/>
    <cellStyle name="Normal 2" xfId="300" xr:uid="{00000000-0005-0000-0000-00002C010000}"/>
    <cellStyle name="Normal 2 2" xfId="301" xr:uid="{00000000-0005-0000-0000-00002D010000}"/>
    <cellStyle name="Normal 2 3" xfId="302" xr:uid="{00000000-0005-0000-0000-00002E010000}"/>
    <cellStyle name="Normal 3" xfId="303" xr:uid="{00000000-0005-0000-0000-00002F010000}"/>
    <cellStyle name="Normal 3 2" xfId="304" xr:uid="{00000000-0005-0000-0000-000030010000}"/>
    <cellStyle name="Normal 3_Attach O, GG, Support -New Method 2-14-11" xfId="305" xr:uid="{00000000-0005-0000-0000-000031010000}"/>
    <cellStyle name="Normal 4" xfId="306" xr:uid="{00000000-0005-0000-0000-000032010000}"/>
    <cellStyle name="Normal 4 2" xfId="307" xr:uid="{00000000-0005-0000-0000-000033010000}"/>
    <cellStyle name="Normal 5" xfId="308" xr:uid="{00000000-0005-0000-0000-000034010000}"/>
    <cellStyle name="Normal 5 2" xfId="309" xr:uid="{00000000-0005-0000-0000-000035010000}"/>
    <cellStyle name="Normal 5 3" xfId="310" xr:uid="{00000000-0005-0000-0000-000036010000}"/>
    <cellStyle name="Normal 5 4" xfId="311" xr:uid="{00000000-0005-0000-0000-000037010000}"/>
    <cellStyle name="Normal 6" xfId="312" xr:uid="{00000000-0005-0000-0000-000038010000}"/>
    <cellStyle name="Normal 6 2" xfId="313" xr:uid="{00000000-0005-0000-0000-000039010000}"/>
    <cellStyle name="Normal 7" xfId="314" xr:uid="{00000000-0005-0000-0000-00003A010000}"/>
    <cellStyle name="Normal 8" xfId="315" xr:uid="{00000000-0005-0000-0000-00003B010000}"/>
    <cellStyle name="Normal dotted under" xfId="316" xr:uid="{00000000-0005-0000-0000-00003C010000}"/>
    <cellStyle name="Normal U" xfId="317" xr:uid="{00000000-0005-0000-0000-00003D010000}"/>
    <cellStyle name="Normal_21 Exh B" xfId="318" xr:uid="{00000000-0005-0000-0000-00003E010000}"/>
    <cellStyle name="Normal_AR workpaper --2002 Def Tax Exp by Account 8-14-02" xfId="319" xr:uid="{00000000-0005-0000-0000-00003F010000}"/>
    <cellStyle name="Normal_Attachment Os for 2002 True-up" xfId="320" xr:uid="{00000000-0005-0000-0000-000040010000}"/>
    <cellStyle name="Normal_Duquesne Settled Fromula 10-3-07" xfId="321" xr:uid="{00000000-0005-0000-0000-000041010000}"/>
    <cellStyle name="Normal3d" xfId="322" xr:uid="{00000000-0005-0000-0000-000042010000}"/>
    <cellStyle name="NormalGB" xfId="323" xr:uid="{00000000-0005-0000-0000-000043010000}"/>
    <cellStyle name="Number" xfId="324" xr:uid="{00000000-0005-0000-0000-000044010000}"/>
    <cellStyle name="Output Amounts" xfId="325" xr:uid="{00000000-0005-0000-0000-000045010000}"/>
    <cellStyle name="Output Column Headings" xfId="326" xr:uid="{00000000-0005-0000-0000-000046010000}"/>
    <cellStyle name="Output Line Items" xfId="327" xr:uid="{00000000-0005-0000-0000-000047010000}"/>
    <cellStyle name="Output Report Heading" xfId="328" xr:uid="{00000000-0005-0000-0000-000048010000}"/>
    <cellStyle name="Output Report Title" xfId="329" xr:uid="{00000000-0005-0000-0000-000049010000}"/>
    <cellStyle name="Output1_Back" xfId="330" xr:uid="{00000000-0005-0000-0000-00004A010000}"/>
    <cellStyle name="Page Number" xfId="331" xr:uid="{00000000-0005-0000-0000-00004B010000}"/>
    <cellStyle name="PAGE6" xfId="332" xr:uid="{00000000-0005-0000-0000-00004C010000}"/>
    <cellStyle name="Percent" xfId="333" builtinId="5"/>
    <cellStyle name="Percent [2]" xfId="334" xr:uid="{00000000-0005-0000-0000-00004E010000}"/>
    <cellStyle name="Percent 2" xfId="335" xr:uid="{00000000-0005-0000-0000-00004F010000}"/>
    <cellStyle name="Percent 2 2" xfId="336" xr:uid="{00000000-0005-0000-0000-000050010000}"/>
    <cellStyle name="Percent 2 DP" xfId="337" xr:uid="{00000000-0005-0000-0000-000051010000}"/>
    <cellStyle name="Percent 3" xfId="338" xr:uid="{00000000-0005-0000-0000-000052010000}"/>
    <cellStyle name="Percent 3 2" xfId="339" xr:uid="{00000000-0005-0000-0000-000053010000}"/>
    <cellStyle name="Percent 4" xfId="340" xr:uid="{00000000-0005-0000-0000-000054010000}"/>
    <cellStyle name="Percent 5" xfId="341" xr:uid="{00000000-0005-0000-0000-000055010000}"/>
    <cellStyle name="Percent Input" xfId="342" xr:uid="{00000000-0005-0000-0000-000056010000}"/>
    <cellStyle name="Percent(0)" xfId="343" xr:uid="{00000000-0005-0000-0000-000057010000}"/>
    <cellStyle name="Percent(1)" xfId="344" xr:uid="{00000000-0005-0000-0000-000058010000}"/>
    <cellStyle name="Percent(2)" xfId="345" xr:uid="{00000000-0005-0000-0000-000059010000}"/>
    <cellStyle name="Percent*" xfId="346" xr:uid="{00000000-0005-0000-0000-00005A010000}"/>
    <cellStyle name="Percent[1]" xfId="347" xr:uid="{00000000-0005-0000-0000-00005B010000}"/>
    <cellStyle name="Percent[2]" xfId="348" xr:uid="{00000000-0005-0000-0000-00005C010000}"/>
    <cellStyle name="Percent[2D]" xfId="349" xr:uid="{00000000-0005-0000-0000-00005D010000}"/>
    <cellStyle name="PROTECTED" xfId="350" xr:uid="{00000000-0005-0000-0000-00005E010000}"/>
    <cellStyle name="PSChar" xfId="351" xr:uid="{00000000-0005-0000-0000-00005F010000}"/>
    <cellStyle name="PSDate" xfId="352" xr:uid="{00000000-0005-0000-0000-000060010000}"/>
    <cellStyle name="PSDec" xfId="353" xr:uid="{00000000-0005-0000-0000-000061010000}"/>
    <cellStyle name="PSdesc" xfId="354" xr:uid="{00000000-0005-0000-0000-000062010000}"/>
    <cellStyle name="PSHeading" xfId="355" xr:uid="{00000000-0005-0000-0000-000063010000}"/>
    <cellStyle name="PSInt" xfId="356" xr:uid="{00000000-0005-0000-0000-000064010000}"/>
    <cellStyle name="PSSpacer" xfId="357" xr:uid="{00000000-0005-0000-0000-000065010000}"/>
    <cellStyle name="PStest" xfId="358" xr:uid="{00000000-0005-0000-0000-000066010000}"/>
    <cellStyle name="R00A" xfId="359" xr:uid="{00000000-0005-0000-0000-000067010000}"/>
    <cellStyle name="R00B" xfId="360" xr:uid="{00000000-0005-0000-0000-000068010000}"/>
    <cellStyle name="R00L" xfId="361" xr:uid="{00000000-0005-0000-0000-000069010000}"/>
    <cellStyle name="R01A" xfId="362" xr:uid="{00000000-0005-0000-0000-00006A010000}"/>
    <cellStyle name="R01B" xfId="363" xr:uid="{00000000-0005-0000-0000-00006B010000}"/>
    <cellStyle name="R01H" xfId="364" xr:uid="{00000000-0005-0000-0000-00006C010000}"/>
    <cellStyle name="R01L" xfId="365" xr:uid="{00000000-0005-0000-0000-00006D010000}"/>
    <cellStyle name="R02A" xfId="366" xr:uid="{00000000-0005-0000-0000-00006E010000}"/>
    <cellStyle name="R02B" xfId="367" xr:uid="{00000000-0005-0000-0000-00006F010000}"/>
    <cellStyle name="R02H" xfId="368" xr:uid="{00000000-0005-0000-0000-000070010000}"/>
    <cellStyle name="R02L" xfId="369" xr:uid="{00000000-0005-0000-0000-000071010000}"/>
    <cellStyle name="R03A" xfId="370" xr:uid="{00000000-0005-0000-0000-000072010000}"/>
    <cellStyle name="R03B" xfId="371" xr:uid="{00000000-0005-0000-0000-000073010000}"/>
    <cellStyle name="R03H" xfId="372" xr:uid="{00000000-0005-0000-0000-000074010000}"/>
    <cellStyle name="R03L" xfId="373" xr:uid="{00000000-0005-0000-0000-000075010000}"/>
    <cellStyle name="R04A" xfId="374" xr:uid="{00000000-0005-0000-0000-000076010000}"/>
    <cellStyle name="R04B" xfId="375" xr:uid="{00000000-0005-0000-0000-000077010000}"/>
    <cellStyle name="R04H" xfId="376" xr:uid="{00000000-0005-0000-0000-000078010000}"/>
    <cellStyle name="R04L" xfId="377" xr:uid="{00000000-0005-0000-0000-000079010000}"/>
    <cellStyle name="R05A" xfId="378" xr:uid="{00000000-0005-0000-0000-00007A010000}"/>
    <cellStyle name="R05B" xfId="379" xr:uid="{00000000-0005-0000-0000-00007B010000}"/>
    <cellStyle name="R05H" xfId="380" xr:uid="{00000000-0005-0000-0000-00007C010000}"/>
    <cellStyle name="R05L" xfId="381" xr:uid="{00000000-0005-0000-0000-00007D010000}"/>
    <cellStyle name="R06A" xfId="382" xr:uid="{00000000-0005-0000-0000-00007E010000}"/>
    <cellStyle name="R06B" xfId="383" xr:uid="{00000000-0005-0000-0000-00007F010000}"/>
    <cellStyle name="R06H" xfId="384" xr:uid="{00000000-0005-0000-0000-000080010000}"/>
    <cellStyle name="R06L" xfId="385" xr:uid="{00000000-0005-0000-0000-000081010000}"/>
    <cellStyle name="R07A" xfId="386" xr:uid="{00000000-0005-0000-0000-000082010000}"/>
    <cellStyle name="R07B" xfId="387" xr:uid="{00000000-0005-0000-0000-000083010000}"/>
    <cellStyle name="R07H" xfId="388" xr:uid="{00000000-0005-0000-0000-000084010000}"/>
    <cellStyle name="R07L" xfId="389" xr:uid="{00000000-0005-0000-0000-000085010000}"/>
    <cellStyle name="RangeName" xfId="390" xr:uid="{00000000-0005-0000-0000-000086010000}"/>
    <cellStyle name="RevList" xfId="391" xr:uid="{00000000-0005-0000-0000-000087010000}"/>
    <cellStyle name="s" xfId="392" xr:uid="{00000000-0005-0000-0000-000088010000}"/>
    <cellStyle name="s_B" xfId="393" xr:uid="{00000000-0005-0000-0000-000089010000}"/>
    <cellStyle name="s_Bal Sheets" xfId="394" xr:uid="{00000000-0005-0000-0000-00008A010000}"/>
    <cellStyle name="s_Bal Sheets_1" xfId="395" xr:uid="{00000000-0005-0000-0000-00008B010000}"/>
    <cellStyle name="s_Bal Sheets_2" xfId="396" xr:uid="{00000000-0005-0000-0000-00008C010000}"/>
    <cellStyle name="s_Credit (2)" xfId="397" xr:uid="{00000000-0005-0000-0000-00008D010000}"/>
    <cellStyle name="s_Credit (2)_1" xfId="398" xr:uid="{00000000-0005-0000-0000-00008E010000}"/>
    <cellStyle name="s_Credit (2)_2" xfId="399" xr:uid="{00000000-0005-0000-0000-00008F010000}"/>
    <cellStyle name="s_DCF Analysis for DPL" xfId="400" xr:uid="{00000000-0005-0000-0000-000090010000}"/>
    <cellStyle name="s_DCF Matrix" xfId="401" xr:uid="{00000000-0005-0000-0000-000091010000}"/>
    <cellStyle name="s_DCF Matrix_1" xfId="402" xr:uid="{00000000-0005-0000-0000-000092010000}"/>
    <cellStyle name="s_DCFLBO Code" xfId="403" xr:uid="{00000000-0005-0000-0000-000093010000}"/>
    <cellStyle name="s_DCFLBO Code_1" xfId="404" xr:uid="{00000000-0005-0000-0000-000094010000}"/>
    <cellStyle name="s_DPL Valuation1022" xfId="405" xr:uid="{00000000-0005-0000-0000-000095010000}"/>
    <cellStyle name="s_Earnings" xfId="406" xr:uid="{00000000-0005-0000-0000-000096010000}"/>
    <cellStyle name="s_Earnings (2)" xfId="407" xr:uid="{00000000-0005-0000-0000-000097010000}"/>
    <cellStyle name="s_Earnings (2)_1" xfId="408" xr:uid="{00000000-0005-0000-0000-000098010000}"/>
    <cellStyle name="s_Earnings_1" xfId="409" xr:uid="{00000000-0005-0000-0000-000099010000}"/>
    <cellStyle name="s_finsumm" xfId="410" xr:uid="{00000000-0005-0000-0000-00009A010000}"/>
    <cellStyle name="s_finsumm_1" xfId="411" xr:uid="{00000000-0005-0000-0000-00009B010000}"/>
    <cellStyle name="s_finsumm_2" xfId="412" xr:uid="{00000000-0005-0000-0000-00009C010000}"/>
    <cellStyle name="s_GoroWipTax-to2050_fromCo_Oct21_99" xfId="413" xr:uid="{00000000-0005-0000-0000-00009D010000}"/>
    <cellStyle name="s_HardInc " xfId="414" xr:uid="{00000000-0005-0000-0000-00009E010000}"/>
    <cellStyle name="s_Hist Inputs (2)" xfId="415" xr:uid="{00000000-0005-0000-0000-00009F010000}"/>
    <cellStyle name="s_Hist Inputs (2)_1" xfId="416" xr:uid="{00000000-0005-0000-0000-0000A0010000}"/>
    <cellStyle name="s_IEL_finsumm" xfId="417" xr:uid="{00000000-0005-0000-0000-0000A1010000}"/>
    <cellStyle name="s_IEL_finsumm_1" xfId="418" xr:uid="{00000000-0005-0000-0000-0000A2010000}"/>
    <cellStyle name="s_IEL_finsumm_2" xfId="419" xr:uid="{00000000-0005-0000-0000-0000A3010000}"/>
    <cellStyle name="s_IEL_finsumm1" xfId="420" xr:uid="{00000000-0005-0000-0000-0000A4010000}"/>
    <cellStyle name="s_IEL_finsumm1_1" xfId="421" xr:uid="{00000000-0005-0000-0000-0000A5010000}"/>
    <cellStyle name="s_IEL_finsumm1_2" xfId="422" xr:uid="{00000000-0005-0000-0000-0000A6010000}"/>
    <cellStyle name="s_Lbo" xfId="423" xr:uid="{00000000-0005-0000-0000-0000A7010000}"/>
    <cellStyle name="s_LBO Summary" xfId="424" xr:uid="{00000000-0005-0000-0000-0000A8010000}"/>
    <cellStyle name="s_LBO Summary_1" xfId="425" xr:uid="{00000000-0005-0000-0000-0000A9010000}"/>
    <cellStyle name="s_LBO Summary_2" xfId="426" xr:uid="{00000000-0005-0000-0000-0000AA010000}"/>
    <cellStyle name="s_Lbo_1" xfId="427" xr:uid="{00000000-0005-0000-0000-0000AB010000}"/>
    <cellStyle name="s_rvr_analysis_andrew" xfId="428" xr:uid="{00000000-0005-0000-0000-0000AC010000}"/>
    <cellStyle name="s_Schedules" xfId="429" xr:uid="{00000000-0005-0000-0000-0000AD010000}"/>
    <cellStyle name="s_Schedules_1" xfId="430" xr:uid="{00000000-0005-0000-0000-0000AE010000}"/>
    <cellStyle name="s_Trans Assump" xfId="431" xr:uid="{00000000-0005-0000-0000-0000AF010000}"/>
    <cellStyle name="s_Trans Assump (2)" xfId="432" xr:uid="{00000000-0005-0000-0000-0000B0010000}"/>
    <cellStyle name="s_Trans Assump (2)_1" xfId="433" xr:uid="{00000000-0005-0000-0000-0000B1010000}"/>
    <cellStyle name="s_Trans Assump_1" xfId="434" xr:uid="{00000000-0005-0000-0000-0000B2010000}"/>
    <cellStyle name="s_Trans Sum" xfId="435" xr:uid="{00000000-0005-0000-0000-0000B3010000}"/>
    <cellStyle name="s_Trans Sum_1" xfId="436" xr:uid="{00000000-0005-0000-0000-0000B4010000}"/>
    <cellStyle name="s_Unit Price Sen. (2)" xfId="437" xr:uid="{00000000-0005-0000-0000-0000B5010000}"/>
    <cellStyle name="s_Unit Price Sen. (2)_1" xfId="438" xr:uid="{00000000-0005-0000-0000-0000B6010000}"/>
    <cellStyle name="s_Unit Price Sen. (2)_2" xfId="439" xr:uid="{00000000-0005-0000-0000-0000B7010000}"/>
    <cellStyle name="Salomon Logo" xfId="440" xr:uid="{00000000-0005-0000-0000-0000B8010000}"/>
    <cellStyle name="SAPBEXaggData" xfId="441" xr:uid="{00000000-0005-0000-0000-0000B9010000}"/>
    <cellStyle name="SAPBEXaggDataEmph" xfId="442" xr:uid="{00000000-0005-0000-0000-0000BA010000}"/>
    <cellStyle name="SAPBEXaggItem" xfId="443" xr:uid="{00000000-0005-0000-0000-0000BB010000}"/>
    <cellStyle name="SAPBEXaggItemX" xfId="444" xr:uid="{00000000-0005-0000-0000-0000BC010000}"/>
    <cellStyle name="SAPBEXchaText" xfId="445" xr:uid="{00000000-0005-0000-0000-0000BD010000}"/>
    <cellStyle name="SAPBEXexcBad7" xfId="446" xr:uid="{00000000-0005-0000-0000-0000BE010000}"/>
    <cellStyle name="SAPBEXexcBad8" xfId="447" xr:uid="{00000000-0005-0000-0000-0000BF010000}"/>
    <cellStyle name="SAPBEXexcBad9" xfId="448" xr:uid="{00000000-0005-0000-0000-0000C0010000}"/>
    <cellStyle name="SAPBEXexcCritical4" xfId="449" xr:uid="{00000000-0005-0000-0000-0000C1010000}"/>
    <cellStyle name="SAPBEXexcCritical5" xfId="450" xr:uid="{00000000-0005-0000-0000-0000C2010000}"/>
    <cellStyle name="SAPBEXexcCritical6" xfId="451" xr:uid="{00000000-0005-0000-0000-0000C3010000}"/>
    <cellStyle name="SAPBEXexcGood1" xfId="452" xr:uid="{00000000-0005-0000-0000-0000C4010000}"/>
    <cellStyle name="SAPBEXexcGood2" xfId="453" xr:uid="{00000000-0005-0000-0000-0000C5010000}"/>
    <cellStyle name="SAPBEXexcGood3" xfId="454" xr:uid="{00000000-0005-0000-0000-0000C6010000}"/>
    <cellStyle name="SAPBEXfilterDrill" xfId="455" xr:uid="{00000000-0005-0000-0000-0000C7010000}"/>
    <cellStyle name="SAPBEXfilterItem" xfId="456" xr:uid="{00000000-0005-0000-0000-0000C8010000}"/>
    <cellStyle name="SAPBEXfilterText" xfId="457" xr:uid="{00000000-0005-0000-0000-0000C9010000}"/>
    <cellStyle name="SAPBEXformats" xfId="458" xr:uid="{00000000-0005-0000-0000-0000CA010000}"/>
    <cellStyle name="SAPBEXheaderItem" xfId="459" xr:uid="{00000000-0005-0000-0000-0000CB010000}"/>
    <cellStyle name="SAPBEXheaderText" xfId="460" xr:uid="{00000000-0005-0000-0000-0000CC010000}"/>
    <cellStyle name="SAPBEXHLevel0" xfId="461" xr:uid="{00000000-0005-0000-0000-0000CD010000}"/>
    <cellStyle name="SAPBEXHLevel0X" xfId="462" xr:uid="{00000000-0005-0000-0000-0000CE010000}"/>
    <cellStyle name="SAPBEXHLevel1" xfId="463" xr:uid="{00000000-0005-0000-0000-0000CF010000}"/>
    <cellStyle name="SAPBEXHLevel1X" xfId="464" xr:uid="{00000000-0005-0000-0000-0000D0010000}"/>
    <cellStyle name="SAPBEXHLevel2" xfId="465" xr:uid="{00000000-0005-0000-0000-0000D1010000}"/>
    <cellStyle name="SAPBEXHLevel2X" xfId="466" xr:uid="{00000000-0005-0000-0000-0000D2010000}"/>
    <cellStyle name="SAPBEXHLevel3" xfId="467" xr:uid="{00000000-0005-0000-0000-0000D3010000}"/>
    <cellStyle name="SAPBEXHLevel3X" xfId="468" xr:uid="{00000000-0005-0000-0000-0000D4010000}"/>
    <cellStyle name="SAPBEXinputData" xfId="469" xr:uid="{00000000-0005-0000-0000-0000D5010000}"/>
    <cellStyle name="SAPBEXItemHeader" xfId="470" xr:uid="{00000000-0005-0000-0000-0000D6010000}"/>
    <cellStyle name="SAPBEXresData" xfId="471" xr:uid="{00000000-0005-0000-0000-0000D7010000}"/>
    <cellStyle name="SAPBEXresDataEmph" xfId="472" xr:uid="{00000000-0005-0000-0000-0000D8010000}"/>
    <cellStyle name="SAPBEXresItem" xfId="473" xr:uid="{00000000-0005-0000-0000-0000D9010000}"/>
    <cellStyle name="SAPBEXresItemX" xfId="474" xr:uid="{00000000-0005-0000-0000-0000DA010000}"/>
    <cellStyle name="SAPBEXstdData" xfId="475" xr:uid="{00000000-0005-0000-0000-0000DB010000}"/>
    <cellStyle name="SAPBEXstdDataEmph" xfId="476" xr:uid="{00000000-0005-0000-0000-0000DC010000}"/>
    <cellStyle name="SAPBEXstdItem" xfId="477" xr:uid="{00000000-0005-0000-0000-0000DD010000}"/>
    <cellStyle name="SAPBEXstdItemX" xfId="478" xr:uid="{00000000-0005-0000-0000-0000DE010000}"/>
    <cellStyle name="SAPBEXtitle" xfId="479" xr:uid="{00000000-0005-0000-0000-0000DF010000}"/>
    <cellStyle name="SAPBEXunassignedItem" xfId="480" xr:uid="{00000000-0005-0000-0000-0000E0010000}"/>
    <cellStyle name="SAPBEXundefined" xfId="481" xr:uid="{00000000-0005-0000-0000-0000E1010000}"/>
    <cellStyle name="Sch_name" xfId="482" xr:uid="{00000000-0005-0000-0000-0000E2010000}"/>
    <cellStyle name="SECTION" xfId="483" xr:uid="{00000000-0005-0000-0000-0000E3010000}"/>
    <cellStyle name="Section Head" xfId="484" xr:uid="{00000000-0005-0000-0000-0000E4010000}"/>
    <cellStyle name="Separador de milhares_DADOS DO BALANCO" xfId="485" xr:uid="{00000000-0005-0000-0000-0000E5010000}"/>
    <cellStyle name="Shading" xfId="486" xr:uid="{00000000-0005-0000-0000-0000E6010000}"/>
    <cellStyle name="Sheet Header" xfId="487" xr:uid="{00000000-0005-0000-0000-0000E7010000}"/>
    <cellStyle name="Sheet Title" xfId="488" xr:uid="{00000000-0005-0000-0000-0000E8010000}"/>
    <cellStyle name="ShOut" xfId="489" xr:uid="{00000000-0005-0000-0000-0000E9010000}"/>
    <cellStyle name="sideways" xfId="490" xr:uid="{00000000-0005-0000-0000-0000EA010000}"/>
    <cellStyle name="SSN" xfId="491" xr:uid="{00000000-0005-0000-0000-0000EB010000}"/>
    <cellStyle name="Standaard_Blad1" xfId="492" xr:uid="{00000000-0005-0000-0000-0000EC010000}"/>
    <cellStyle name="Standard_Anpassen der Amortisation" xfId="493" xr:uid="{00000000-0005-0000-0000-0000ED010000}"/>
    <cellStyle name="Style 1" xfId="494" xr:uid="{00000000-0005-0000-0000-0000EE010000}"/>
    <cellStyle name="Style 2" xfId="495" xr:uid="{00000000-0005-0000-0000-0000EF010000}"/>
    <cellStyle name="Style 3" xfId="496" xr:uid="{00000000-0005-0000-0000-0000F0010000}"/>
    <cellStyle name="subhead" xfId="497" xr:uid="{00000000-0005-0000-0000-0000F1010000}"/>
    <cellStyle name="Subheading" xfId="498" xr:uid="{00000000-0005-0000-0000-0000F2010000}"/>
    <cellStyle name="Subtotal" xfId="499" xr:uid="{00000000-0005-0000-0000-0000F3010000}"/>
    <cellStyle name="Sub-total" xfId="500" xr:uid="{00000000-0005-0000-0000-0000F4010000}"/>
    <cellStyle name="swpBody01" xfId="501" xr:uid="{00000000-0005-0000-0000-0000F5010000}"/>
    <cellStyle name="System Defined" xfId="502" xr:uid="{00000000-0005-0000-0000-0000F6010000}"/>
    <cellStyle name="Table Head" xfId="503" xr:uid="{00000000-0005-0000-0000-0000F7010000}"/>
    <cellStyle name="Table Head Aligned" xfId="504" xr:uid="{00000000-0005-0000-0000-0000F8010000}"/>
    <cellStyle name="Table Head Blue" xfId="505" xr:uid="{00000000-0005-0000-0000-0000F9010000}"/>
    <cellStyle name="Table Head Green" xfId="506" xr:uid="{00000000-0005-0000-0000-0000FA010000}"/>
    <cellStyle name="Table Head_Val_Sum_Graph" xfId="507" xr:uid="{00000000-0005-0000-0000-0000FB010000}"/>
    <cellStyle name="Table Text" xfId="508" xr:uid="{00000000-0005-0000-0000-0000FC010000}"/>
    <cellStyle name="Table Title" xfId="509" xr:uid="{00000000-0005-0000-0000-0000FD010000}"/>
    <cellStyle name="Table Units" xfId="510" xr:uid="{00000000-0005-0000-0000-0000FE010000}"/>
    <cellStyle name="Table_Header" xfId="511" xr:uid="{00000000-0005-0000-0000-0000FF010000}"/>
    <cellStyle name="Text" xfId="512" xr:uid="{00000000-0005-0000-0000-000000020000}"/>
    <cellStyle name="Text 1" xfId="513" xr:uid="{00000000-0005-0000-0000-000001020000}"/>
    <cellStyle name="Text Head 1" xfId="514" xr:uid="{00000000-0005-0000-0000-000002020000}"/>
    <cellStyle name="Title Row" xfId="515" xr:uid="{00000000-0005-0000-0000-000003020000}"/>
    <cellStyle name="tons" xfId="516" xr:uid="{00000000-0005-0000-0000-000004020000}"/>
    <cellStyle name="Total" xfId="517" builtinId="25" customBuiltin="1"/>
    <cellStyle name="Total 1" xfId="518" xr:uid="{00000000-0005-0000-0000-000006020000}"/>
    <cellStyle name="Totals" xfId="519" xr:uid="{00000000-0005-0000-0000-000007020000}"/>
    <cellStyle name="Underline_Single" xfId="520" xr:uid="{00000000-0005-0000-0000-000008020000}"/>
    <cellStyle name="Unprot" xfId="521" xr:uid="{00000000-0005-0000-0000-000009020000}"/>
    <cellStyle name="Unprot$" xfId="522" xr:uid="{00000000-0005-0000-0000-00000A020000}"/>
    <cellStyle name="Unprot_CurrencySKorea" xfId="523" xr:uid="{00000000-0005-0000-0000-00000B020000}"/>
    <cellStyle name="Unprotect" xfId="524" xr:uid="{00000000-0005-0000-0000-00000C020000}"/>
    <cellStyle name="UNPROTECTED" xfId="525" xr:uid="{00000000-0005-0000-0000-00000D020000}"/>
    <cellStyle name="Währung [0]_Compiling Utility Macros" xfId="526" xr:uid="{00000000-0005-0000-0000-00000E020000}"/>
    <cellStyle name="Währung_Compiling Utility Macros" xfId="527" xr:uid="{00000000-0005-0000-0000-00000F020000}"/>
    <cellStyle name="Warning" xfId="528" xr:uid="{00000000-0005-0000-0000-000010020000}"/>
    <cellStyle name="x" xfId="529" xr:uid="{00000000-0005-0000-0000-000011020000}"/>
    <cellStyle name="year" xfId="530" xr:uid="{00000000-0005-0000-0000-000012020000}"/>
    <cellStyle name="YEARS" xfId="531" xr:uid="{00000000-0005-0000-0000-000013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4</xdr:col>
      <xdr:colOff>504825</xdr:colOff>
      <xdr:row>8</xdr:row>
      <xdr:rowOff>9525</xdr:rowOff>
    </xdr:to>
    <xdr:pic>
      <xdr:nvPicPr>
        <xdr:cNvPr id="1501" name="Picture 17">
          <a:extLst>
            <a:ext uri="{FF2B5EF4-FFF2-40B4-BE49-F238E27FC236}">
              <a16:creationId xmlns:a16="http://schemas.microsoft.com/office/drawing/2014/main" id="{B1420B4E-FE90-4233-916F-1F9EC1AE5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1371600"/>
          <a:ext cx="381000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133350</xdr:colOff>
      <xdr:row>17</xdr:row>
      <xdr:rowOff>66675</xdr:rowOff>
    </xdr:from>
    <xdr:to>
      <xdr:col>5</xdr:col>
      <xdr:colOff>85725</xdr:colOff>
      <xdr:row>20</xdr:row>
      <xdr:rowOff>247650</xdr:rowOff>
    </xdr:to>
    <xdr:pic>
      <xdr:nvPicPr>
        <xdr:cNvPr id="1502" name="Picture 19">
          <a:extLst>
            <a:ext uri="{FF2B5EF4-FFF2-40B4-BE49-F238E27FC236}">
              <a16:creationId xmlns:a16="http://schemas.microsoft.com/office/drawing/2014/main" id="{DF0640E3-FB03-43AC-8038-34C732C796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19275" y="3124200"/>
          <a:ext cx="29813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s>
    <sheetDataSet>
      <sheetData sheetId="0" refreshError="1"/>
      <sheetData sheetId="1" refreshError="1">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refreshError="1"/>
      <sheetData sheetId="3" refreshError="1"/>
      <sheetData sheetId="4" refreshError="1"/>
      <sheetData sheetId="5" refreshError="1"/>
      <sheetData sheetId="6" refreshError="1">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row r="18">
          <cell r="F18">
            <v>3.2199999999999999E-2</v>
          </cell>
        </row>
      </sheetData>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efreshError="1"/>
      <sheetData sheetId="118" refreshError="1">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refreshError="1"/>
      <sheetData sheetId="132" refreshError="1"/>
      <sheetData sheetId="133" refreshError="1"/>
      <sheetData sheetId="134" refreshError="1"/>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efreshError="1">
        <row r="1">
          <cell r="B1">
            <v>39083</v>
          </cell>
        </row>
        <row r="3">
          <cell r="B3">
            <v>8.2500000000000004E-2</v>
          </cell>
        </row>
        <row r="4">
          <cell r="B4">
            <v>4.4999999999999998E-2</v>
          </cell>
        </row>
        <row r="17">
          <cell r="C17">
            <v>2002</v>
          </cell>
        </row>
      </sheetData>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row r="23">
          <cell r="M23">
            <v>0</v>
          </cell>
        </row>
        <row r="24">
          <cell r="M24">
            <v>0.3</v>
          </cell>
        </row>
        <row r="25">
          <cell r="M25">
            <v>0.4</v>
          </cell>
        </row>
        <row r="26">
          <cell r="M26">
            <v>0.2</v>
          </cell>
        </row>
      </sheetData>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row r="5">
          <cell r="A5" t="str">
            <v>ACCT</v>
          </cell>
          <cell r="B5" t="str">
            <v>AREA_NO</v>
          </cell>
        </row>
        <row r="6">
          <cell r="A6" t="str">
            <v>?303*</v>
          </cell>
          <cell r="B6">
            <v>910</v>
          </cell>
        </row>
      </sheetData>
      <sheetData sheetId="272" refreshError="1"/>
      <sheetData sheetId="273" refreshError="1"/>
      <sheetData sheetId="274" refreshError="1"/>
      <sheetData sheetId="275" refreshError="1"/>
      <sheetData sheetId="276" refreshError="1">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refreshError="1"/>
      <sheetData sheetId="289" refreshError="1"/>
      <sheetData sheetId="290" refreshError="1"/>
      <sheetData sheetId="291" refreshError="1"/>
      <sheetData sheetId="292" refreshError="1"/>
      <sheetData sheetId="293" refreshError="1"/>
      <sheetData sheetId="294" refreshError="1">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23"/>
  <sheetViews>
    <sheetView tabSelected="1" zoomScaleNormal="100" zoomScaleSheetLayoutView="100" workbookViewId="0"/>
  </sheetViews>
  <sheetFormatPr defaultRowHeight="15"/>
  <cols>
    <col min="1" max="1" width="16" customWidth="1"/>
  </cols>
  <sheetData>
    <row r="1" spans="1:11">
      <c r="A1" s="1"/>
      <c r="B1" s="2"/>
      <c r="C1" s="3"/>
      <c r="D1" s="2"/>
      <c r="E1" s="2"/>
      <c r="F1" s="2"/>
      <c r="G1" s="2"/>
      <c r="H1" s="5"/>
      <c r="I1" s="5"/>
      <c r="J1" s="5"/>
      <c r="K1" s="5"/>
    </row>
    <row r="2" spans="1:11">
      <c r="A2" s="1"/>
      <c r="B2" s="2"/>
      <c r="C2" s="3"/>
      <c r="D2" s="2"/>
      <c r="E2" s="2"/>
      <c r="F2" s="2"/>
      <c r="G2" s="2"/>
      <c r="H2" s="1"/>
      <c r="I2" s="5"/>
      <c r="J2" s="5"/>
      <c r="K2" s="5" t="s">
        <v>0</v>
      </c>
    </row>
    <row r="3" spans="1:11">
      <c r="A3" s="1"/>
      <c r="B3" s="2"/>
      <c r="C3" s="3"/>
      <c r="D3" s="2"/>
      <c r="E3" s="2"/>
      <c r="F3" s="2"/>
      <c r="G3" s="2"/>
      <c r="H3" s="5"/>
      <c r="I3" s="51"/>
      <c r="J3" s="6"/>
      <c r="K3" s="6"/>
    </row>
    <row r="4" spans="1:11">
      <c r="A4" s="1"/>
      <c r="B4" s="73"/>
      <c r="C4" s="1061" t="str">
        <f>'Appendix A'!E6</f>
        <v xml:space="preserve">Rate Formula Template </v>
      </c>
      <c r="D4" s="2"/>
      <c r="E4" s="2"/>
      <c r="F4" s="2"/>
      <c r="G4" s="2"/>
      <c r="H4" s="1"/>
      <c r="I4" s="1"/>
      <c r="J4" s="1"/>
      <c r="K4" s="1"/>
    </row>
    <row r="5" spans="1:11">
      <c r="A5" s="1"/>
      <c r="B5" s="8"/>
      <c r="C5" s="55" t="str">
        <f>'Appendix A'!E7</f>
        <v xml:space="preserve"> Utilizing FERC Form 1 Data</v>
      </c>
      <c r="D5" s="8"/>
      <c r="E5" s="8"/>
      <c r="F5" s="8"/>
      <c r="G5" s="592"/>
      <c r="H5" s="592"/>
      <c r="I5" s="593"/>
      <c r="J5" s="590"/>
      <c r="K5" s="591" t="str">
        <f>'Appendix A'!M7</f>
        <v>Projected Annual Transmission Revenue Requirement</v>
      </c>
    </row>
    <row r="6" spans="1:11">
      <c r="A6" s="2"/>
      <c r="B6" s="7"/>
      <c r="C6" s="7"/>
      <c r="D6" s="7"/>
      <c r="E6" s="7"/>
      <c r="F6" s="7"/>
      <c r="G6" s="7"/>
      <c r="H6" s="7"/>
      <c r="I6" s="355"/>
      <c r="J6" s="210"/>
      <c r="K6" s="208" t="str">
        <f>'Appendix A'!M8</f>
        <v>For the 12 months ended 12/31/23</v>
      </c>
    </row>
    <row r="7" spans="1:11">
      <c r="A7" s="1"/>
      <c r="C7" s="831" t="str">
        <f>+'Appendix A'!E9</f>
        <v>New York Transco LLC</v>
      </c>
    </row>
    <row r="8" spans="1:11">
      <c r="A8" s="1"/>
      <c r="B8" s="1"/>
      <c r="C8" s="7"/>
    </row>
    <row r="12" spans="1:11">
      <c r="A12" t="s">
        <v>1</v>
      </c>
      <c r="C12" t="s">
        <v>2</v>
      </c>
    </row>
    <row r="13" spans="1:11">
      <c r="A13" t="s">
        <v>3</v>
      </c>
      <c r="C13" t="s">
        <v>4</v>
      </c>
    </row>
    <row r="14" spans="1:11">
      <c r="A14" t="s">
        <v>5</v>
      </c>
      <c r="C14" t="s">
        <v>6</v>
      </c>
    </row>
    <row r="15" spans="1:11">
      <c r="A15" t="s">
        <v>7</v>
      </c>
      <c r="C15" t="s">
        <v>8</v>
      </c>
    </row>
    <row r="16" spans="1:11">
      <c r="A16" t="s">
        <v>9</v>
      </c>
      <c r="C16" t="s">
        <v>10</v>
      </c>
    </row>
    <row r="17" spans="1:3">
      <c r="A17" t="s">
        <v>11</v>
      </c>
      <c r="C17" t="s">
        <v>12</v>
      </c>
    </row>
    <row r="18" spans="1:3">
      <c r="A18" t="s">
        <v>13</v>
      </c>
      <c r="C18" t="s">
        <v>14</v>
      </c>
    </row>
    <row r="19" spans="1:3">
      <c r="A19" t="s">
        <v>15</v>
      </c>
      <c r="C19" t="s">
        <v>16</v>
      </c>
    </row>
    <row r="20" spans="1:3">
      <c r="A20" t="s">
        <v>17</v>
      </c>
      <c r="C20" t="s">
        <v>18</v>
      </c>
    </row>
    <row r="21" spans="1:3">
      <c r="A21" t="s">
        <v>19</v>
      </c>
      <c r="C21" t="s">
        <v>20</v>
      </c>
    </row>
    <row r="22" spans="1:3">
      <c r="A22" t="s">
        <v>21</v>
      </c>
      <c r="C22" t="s">
        <v>22</v>
      </c>
    </row>
    <row r="23" spans="1:3">
      <c r="A23" t="s">
        <v>23</v>
      </c>
      <c r="C23" t="s">
        <v>24</v>
      </c>
    </row>
  </sheetData>
  <pageMargins left="0.7" right="0.7" top="0.75" bottom="0.75" header="0.3" footer="0.3"/>
  <pageSetup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U303"/>
  <sheetViews>
    <sheetView view="pageBreakPreview" zoomScale="60" zoomScaleNormal="50" workbookViewId="0"/>
  </sheetViews>
  <sheetFormatPr defaultColWidth="8.81640625" defaultRowHeight="15"/>
  <cols>
    <col min="1" max="1" width="6.81640625" style="983" customWidth="1"/>
    <col min="2" max="2" width="51.453125" style="380" customWidth="1"/>
    <col min="3" max="3" width="22.08984375" style="377" customWidth="1"/>
    <col min="4" max="4" width="21.54296875" style="377" customWidth="1"/>
    <col min="5" max="5" width="20.81640625" style="377" customWidth="1"/>
    <col min="6" max="6" width="16.6328125" style="377" customWidth="1"/>
    <col min="7" max="7" width="20.453125" style="377" customWidth="1"/>
    <col min="8" max="8" width="114.81640625" style="377" bestFit="1" customWidth="1"/>
    <col min="9" max="16384" width="8.81640625" style="377"/>
  </cols>
  <sheetData>
    <row r="1" spans="1:21" ht="17.399999999999999">
      <c r="B1" s="1369" t="str">
        <f>+'Appendix A'!E9</f>
        <v>New York Transco LLC</v>
      </c>
      <c r="C1" s="1370"/>
      <c r="D1" s="1370"/>
      <c r="E1" s="1370"/>
      <c r="F1" s="1370"/>
      <c r="G1" s="1370"/>
      <c r="H1" s="1370"/>
      <c r="I1" s="376"/>
      <c r="J1" s="376"/>
    </row>
    <row r="2" spans="1:21" ht="17.399999999999999">
      <c r="B2" s="1369" t="s">
        <v>846</v>
      </c>
      <c r="C2" s="1369"/>
      <c r="D2" s="1369"/>
      <c r="E2" s="1369"/>
      <c r="F2" s="1369"/>
      <c r="G2" s="1369"/>
      <c r="H2" s="1369"/>
      <c r="I2" s="376"/>
      <c r="J2" s="376"/>
    </row>
    <row r="3" spans="1:21" ht="17.399999999999999">
      <c r="B3" s="1368" t="s">
        <v>405</v>
      </c>
      <c r="C3" s="1368"/>
      <c r="D3" s="1368"/>
      <c r="E3" s="1368"/>
      <c r="F3" s="1368"/>
      <c r="G3" s="1368"/>
      <c r="H3" s="1368"/>
      <c r="I3" s="376"/>
      <c r="J3" s="376"/>
    </row>
    <row r="4" spans="1:21" ht="18">
      <c r="B4" s="409"/>
      <c r="C4" s="409"/>
      <c r="D4" s="409"/>
      <c r="E4" s="409"/>
      <c r="F4" s="409"/>
      <c r="G4" s="409"/>
      <c r="H4" s="409"/>
      <c r="I4" s="376"/>
      <c r="J4" s="376"/>
    </row>
    <row r="5" spans="1:21" ht="18">
      <c r="B5" s="381"/>
      <c r="C5" s="382"/>
      <c r="D5" s="409"/>
      <c r="E5" s="409"/>
      <c r="F5" s="382"/>
      <c r="G5" s="403"/>
      <c r="H5" s="382"/>
    </row>
    <row r="6" spans="1:21" ht="15.6">
      <c r="B6" s="381"/>
      <c r="C6" s="382"/>
      <c r="D6" s="403" t="s">
        <v>53</v>
      </c>
      <c r="E6" s="403" t="s">
        <v>755</v>
      </c>
      <c r="F6" s="403" t="s">
        <v>756</v>
      </c>
      <c r="G6" s="403" t="s">
        <v>43</v>
      </c>
      <c r="H6" s="382"/>
      <c r="U6" s="378"/>
    </row>
    <row r="7" spans="1:21" ht="15.6">
      <c r="B7" s="383" t="s">
        <v>36</v>
      </c>
      <c r="C7" s="382"/>
      <c r="D7" s="403" t="s">
        <v>758</v>
      </c>
      <c r="E7" s="403" t="s">
        <v>758</v>
      </c>
      <c r="F7" s="403" t="s">
        <v>758</v>
      </c>
      <c r="G7" s="403"/>
      <c r="H7" s="382"/>
      <c r="U7" s="378"/>
    </row>
    <row r="8" spans="1:21" ht="15.6">
      <c r="B8" s="383"/>
      <c r="C8" s="382"/>
      <c r="D8" s="382"/>
      <c r="E8" s="382"/>
      <c r="F8" s="382"/>
      <c r="G8" s="382"/>
      <c r="H8" s="382"/>
    </row>
    <row r="9" spans="1:21" ht="15.6">
      <c r="A9" s="983">
        <v>1</v>
      </c>
      <c r="B9" s="383">
        <v>1</v>
      </c>
      <c r="C9" s="382" t="s">
        <v>759</v>
      </c>
      <c r="D9" s="539">
        <f>+E67</f>
        <v>-33047620</v>
      </c>
      <c r="E9" s="539">
        <f>+F67</f>
        <v>0</v>
      </c>
      <c r="F9" s="539">
        <f>+G67</f>
        <v>0</v>
      </c>
      <c r="G9" s="539"/>
      <c r="H9" s="382" t="s">
        <v>760</v>
      </c>
    </row>
    <row r="10" spans="1:21" ht="15.6">
      <c r="A10" s="983">
        <v>2</v>
      </c>
      <c r="B10" s="383">
        <v>2</v>
      </c>
      <c r="C10" s="382" t="s">
        <v>761</v>
      </c>
      <c r="D10" s="539">
        <f>+E96</f>
        <v>-1348003</v>
      </c>
      <c r="E10" s="539">
        <f>+F96</f>
        <v>0</v>
      </c>
      <c r="F10" s="539">
        <f>+G96</f>
        <v>0</v>
      </c>
      <c r="G10" s="539"/>
      <c r="H10" s="382" t="s">
        <v>762</v>
      </c>
    </row>
    <row r="11" spans="1:21" ht="15.6">
      <c r="A11" s="983">
        <v>3</v>
      </c>
      <c r="B11" s="383">
        <v>3</v>
      </c>
      <c r="C11" s="382" t="s">
        <v>763</v>
      </c>
      <c r="D11" s="539">
        <f>E39</f>
        <v>1268095</v>
      </c>
      <c r="E11" s="539">
        <f>F39</f>
        <v>0</v>
      </c>
      <c r="F11" s="539">
        <f>G39</f>
        <v>0</v>
      </c>
      <c r="G11" s="539"/>
      <c r="H11" s="382" t="s">
        <v>764</v>
      </c>
    </row>
    <row r="12" spans="1:21" ht="15.6">
      <c r="A12" s="983">
        <v>4</v>
      </c>
      <c r="B12" s="383">
        <v>4</v>
      </c>
      <c r="C12" s="382" t="s">
        <v>765</v>
      </c>
      <c r="D12" s="539">
        <f>SUM(D9:D11)</f>
        <v>-33127528</v>
      </c>
      <c r="E12" s="539">
        <f>SUM(E9:E11)</f>
        <v>0</v>
      </c>
      <c r="F12" s="539">
        <f>SUM(F9:F11)</f>
        <v>0</v>
      </c>
      <c r="G12" s="539"/>
      <c r="H12" s="384"/>
    </row>
    <row r="13" spans="1:21" ht="15.6">
      <c r="A13" s="983">
        <v>5</v>
      </c>
      <c r="B13" s="383">
        <v>5</v>
      </c>
      <c r="C13" s="382" t="s">
        <v>766</v>
      </c>
      <c r="D13" s="539"/>
      <c r="E13" s="539"/>
      <c r="F13" s="539">
        <f>+'Appendix A'!J230</f>
        <v>1</v>
      </c>
      <c r="G13" s="539"/>
      <c r="H13" s="382"/>
    </row>
    <row r="14" spans="1:21" ht="15.6">
      <c r="A14" s="983">
        <v>6</v>
      </c>
      <c r="B14" s="383">
        <v>6</v>
      </c>
      <c r="C14" s="382" t="s">
        <v>97</v>
      </c>
      <c r="D14" s="539"/>
      <c r="E14" s="539">
        <f>+'Appendix A'!H97</f>
        <v>1</v>
      </c>
      <c r="F14" s="539"/>
      <c r="G14" s="539"/>
      <c r="H14" s="382"/>
    </row>
    <row r="15" spans="1:21" ht="15.6">
      <c r="A15" s="983">
        <v>7</v>
      </c>
      <c r="B15" s="383">
        <v>7</v>
      </c>
      <c r="C15" s="382" t="s">
        <v>847</v>
      </c>
      <c r="D15" s="539">
        <f>+D12</f>
        <v>-33127528</v>
      </c>
      <c r="E15" s="539">
        <f>+E12</f>
        <v>0</v>
      </c>
      <c r="F15" s="539">
        <f>+F13*F12</f>
        <v>0</v>
      </c>
      <c r="G15" s="539">
        <f>+D15+E15+F15</f>
        <v>-33127528</v>
      </c>
      <c r="H15" s="385"/>
    </row>
    <row r="16" spans="1:21" ht="15.6">
      <c r="B16" s="381"/>
      <c r="C16" s="382"/>
      <c r="D16" s="384"/>
      <c r="E16" s="384"/>
      <c r="F16" s="384"/>
      <c r="G16" s="384"/>
      <c r="H16" s="385"/>
    </row>
    <row r="17" spans="1:8" ht="15.6">
      <c r="B17" s="382"/>
      <c r="C17" s="382"/>
      <c r="D17" s="382"/>
      <c r="E17" s="382"/>
      <c r="F17" s="382"/>
      <c r="G17" s="382"/>
      <c r="H17" s="384"/>
    </row>
    <row r="18" spans="1:8" ht="15.6">
      <c r="B18" s="382"/>
      <c r="C18" s="382"/>
      <c r="D18" s="384"/>
      <c r="E18" s="382"/>
      <c r="F18" s="382"/>
      <c r="G18" s="382"/>
      <c r="H18" s="365"/>
    </row>
    <row r="19" spans="1:8" ht="15.6">
      <c r="B19" s="382"/>
      <c r="C19" s="382"/>
      <c r="D19" s="382"/>
      <c r="E19" s="382"/>
      <c r="F19" s="382"/>
      <c r="G19" s="382"/>
      <c r="H19" s="386"/>
    </row>
    <row r="20" spans="1:8" ht="15.6">
      <c r="B20" s="381" t="s">
        <v>768</v>
      </c>
      <c r="C20" s="382"/>
      <c r="D20" s="382"/>
      <c r="E20" s="382"/>
      <c r="F20" s="382"/>
      <c r="G20" s="382"/>
      <c r="H20" s="382"/>
    </row>
    <row r="21" spans="1:8" ht="15.6">
      <c r="B21" s="381" t="s">
        <v>848</v>
      </c>
      <c r="C21" s="382"/>
      <c r="D21" s="382"/>
      <c r="E21" s="382"/>
      <c r="F21" s="382"/>
      <c r="G21" s="382"/>
      <c r="H21" s="382"/>
    </row>
    <row r="22" spans="1:8" ht="15.6">
      <c r="B22" s="403" t="s">
        <v>212</v>
      </c>
      <c r="C22" s="403" t="s">
        <v>215</v>
      </c>
      <c r="D22" s="403" t="s">
        <v>217</v>
      </c>
      <c r="E22" s="403" t="s">
        <v>220</v>
      </c>
      <c r="F22" s="403" t="s">
        <v>227</v>
      </c>
      <c r="G22" s="403" t="s">
        <v>231</v>
      </c>
      <c r="H22" s="403" t="s">
        <v>249</v>
      </c>
    </row>
    <row r="23" spans="1:8" ht="18">
      <c r="B23" s="381"/>
      <c r="C23" s="403" t="s">
        <v>43</v>
      </c>
      <c r="D23" s="403" t="s">
        <v>770</v>
      </c>
      <c r="E23" s="409"/>
      <c r="F23" s="409"/>
      <c r="G23" s="409"/>
      <c r="H23" s="382"/>
    </row>
    <row r="24" spans="1:8" ht="15.6">
      <c r="A24" s="983" t="s">
        <v>849</v>
      </c>
      <c r="B24" s="381" t="s">
        <v>763</v>
      </c>
      <c r="C24" s="403"/>
      <c r="D24" s="403" t="s">
        <v>772</v>
      </c>
      <c r="E24" s="403" t="s">
        <v>53</v>
      </c>
      <c r="F24" s="403" t="s">
        <v>755</v>
      </c>
      <c r="G24" s="403" t="s">
        <v>756</v>
      </c>
      <c r="H24" s="382"/>
    </row>
    <row r="25" spans="1:8" ht="15.6">
      <c r="B25" s="381"/>
      <c r="C25" s="403"/>
      <c r="D25" s="403" t="s">
        <v>758</v>
      </c>
      <c r="E25" s="403" t="s">
        <v>758</v>
      </c>
      <c r="F25" s="403" t="s">
        <v>758</v>
      </c>
      <c r="G25" s="403" t="s">
        <v>758</v>
      </c>
      <c r="H25" s="403" t="s">
        <v>773</v>
      </c>
    </row>
    <row r="26" spans="1:8" ht="35.1" customHeight="1">
      <c r="A26" s="983" t="s">
        <v>307</v>
      </c>
      <c r="B26" s="1220" t="s">
        <v>777</v>
      </c>
      <c r="C26" s="387">
        <v>381095</v>
      </c>
      <c r="D26" s="388"/>
      <c r="E26" s="388">
        <v>381095</v>
      </c>
      <c r="F26" s="388"/>
      <c r="G26" s="388"/>
      <c r="H26" s="389" t="s">
        <v>778</v>
      </c>
    </row>
    <row r="27" spans="1:8" ht="35.1" customHeight="1">
      <c r="A27" s="983" t="s">
        <v>309</v>
      </c>
      <c r="B27" s="390" t="s">
        <v>780</v>
      </c>
      <c r="C27" s="387">
        <v>887000</v>
      </c>
      <c r="D27" s="388"/>
      <c r="E27" s="388">
        <v>887000</v>
      </c>
      <c r="F27" s="388"/>
      <c r="G27" s="388"/>
      <c r="H27" s="389" t="s">
        <v>781</v>
      </c>
    </row>
    <row r="28" spans="1:8" ht="35.1" customHeight="1">
      <c r="A28" s="983" t="s">
        <v>311</v>
      </c>
      <c r="B28" s="390" t="s">
        <v>784</v>
      </c>
      <c r="C28" s="387">
        <v>4373088</v>
      </c>
      <c r="D28" s="388"/>
      <c r="E28" s="388">
        <v>4373088</v>
      </c>
      <c r="F28" s="388"/>
      <c r="G28" s="388"/>
      <c r="H28" s="389" t="s">
        <v>785</v>
      </c>
    </row>
    <row r="29" spans="1:8" ht="35.1" customHeight="1">
      <c r="A29" s="983" t="s">
        <v>313</v>
      </c>
      <c r="B29" s="390"/>
      <c r="C29" s="387"/>
      <c r="D29" s="388"/>
      <c r="E29" s="388"/>
      <c r="F29" s="388"/>
      <c r="G29" s="388"/>
      <c r="H29" s="389"/>
    </row>
    <row r="30" spans="1:8" ht="35.1" customHeight="1">
      <c r="A30" s="983" t="s">
        <v>315</v>
      </c>
      <c r="B30" s="390"/>
      <c r="C30" s="387"/>
      <c r="D30" s="388"/>
      <c r="E30" s="388"/>
      <c r="F30" s="388"/>
      <c r="G30" s="388"/>
      <c r="H30" s="389"/>
    </row>
    <row r="31" spans="1:8" ht="35.1" customHeight="1">
      <c r="A31" s="983" t="s">
        <v>298</v>
      </c>
      <c r="B31" s="390"/>
      <c r="C31" s="387"/>
      <c r="D31" s="388"/>
      <c r="E31" s="388"/>
      <c r="F31" s="388"/>
      <c r="G31" s="388"/>
      <c r="H31" s="389"/>
    </row>
    <row r="32" spans="1:8" ht="35.1" customHeight="1">
      <c r="A32" s="983" t="s">
        <v>298</v>
      </c>
      <c r="B32" s="390"/>
      <c r="C32" s="387"/>
      <c r="D32" s="388"/>
      <c r="E32" s="388"/>
      <c r="F32" s="388"/>
      <c r="G32" s="388"/>
      <c r="H32" s="389"/>
    </row>
    <row r="33" spans="1:8" ht="35.1" customHeight="1">
      <c r="A33" s="983" t="s">
        <v>298</v>
      </c>
      <c r="B33" s="390"/>
      <c r="C33" s="387"/>
      <c r="D33" s="391"/>
      <c r="E33" s="388"/>
      <c r="F33" s="388"/>
      <c r="G33" s="388"/>
      <c r="H33" s="389"/>
    </row>
    <row r="34" spans="1:8" ht="35.1" customHeight="1">
      <c r="A34" s="983" t="s">
        <v>298</v>
      </c>
      <c r="B34" s="390"/>
      <c r="C34" s="387"/>
      <c r="D34" s="388"/>
      <c r="E34" s="388"/>
      <c r="F34" s="388"/>
      <c r="G34" s="388"/>
      <c r="H34" s="389"/>
    </row>
    <row r="35" spans="1:8" ht="35.1" customHeight="1">
      <c r="A35" s="983" t="s">
        <v>298</v>
      </c>
      <c r="B35" s="390"/>
      <c r="C35" s="387"/>
      <c r="D35" s="387"/>
      <c r="E35" s="387"/>
      <c r="F35" s="387"/>
      <c r="G35" s="387"/>
      <c r="H35" s="389"/>
    </row>
    <row r="36" spans="1:8" ht="35.1" customHeight="1">
      <c r="A36" s="983" t="s">
        <v>771</v>
      </c>
      <c r="B36" s="410" t="s">
        <v>787</v>
      </c>
      <c r="C36" s="411">
        <f>SUBTOTAL(9,C26:C35)</f>
        <v>5641183</v>
      </c>
      <c r="D36" s="402">
        <f>SUM(D26:D35)</f>
        <v>0</v>
      </c>
      <c r="E36" s="402">
        <f>SUM(E26:E35)</f>
        <v>5641183</v>
      </c>
      <c r="F36" s="402">
        <f>SUM(F26:F35)</f>
        <v>0</v>
      </c>
      <c r="G36" s="402">
        <f>SUM(G26:G35)</f>
        <v>0</v>
      </c>
      <c r="H36" s="392"/>
    </row>
    <row r="37" spans="1:8" ht="35.1" customHeight="1">
      <c r="A37" s="983" t="s">
        <v>850</v>
      </c>
      <c r="B37" s="412" t="s">
        <v>789</v>
      </c>
      <c r="C37" s="393">
        <f>SUM(D37:E37)</f>
        <v>4373088</v>
      </c>
      <c r="D37" s="393"/>
      <c r="E37" s="388">
        <v>4373088</v>
      </c>
      <c r="F37" s="394"/>
      <c r="G37" s="395"/>
      <c r="H37" s="389"/>
    </row>
    <row r="38" spans="1:8" ht="35.1" customHeight="1">
      <c r="A38" s="983" t="s">
        <v>786</v>
      </c>
      <c r="B38" s="413" t="s">
        <v>791</v>
      </c>
      <c r="C38" s="393">
        <f>SUM(D38:E38)</f>
        <v>0</v>
      </c>
      <c r="D38" s="396"/>
      <c r="E38" s="396">
        <v>0</v>
      </c>
      <c r="F38" s="396"/>
      <c r="G38" s="396"/>
      <c r="H38" s="397"/>
    </row>
    <row r="39" spans="1:8" ht="35.1" customHeight="1" thickBot="1">
      <c r="A39" s="983" t="s">
        <v>788</v>
      </c>
      <c r="B39" s="414" t="s">
        <v>43</v>
      </c>
      <c r="C39" s="415">
        <f>+C36-C37-C38</f>
        <v>1268095</v>
      </c>
      <c r="D39" s="415">
        <f>+D36-D37-D38</f>
        <v>0</v>
      </c>
      <c r="E39" s="415">
        <f>+E36-E37-E38</f>
        <v>1268095</v>
      </c>
      <c r="F39" s="415">
        <f>+F36-F37-F38</f>
        <v>0</v>
      </c>
      <c r="G39" s="415">
        <f>+G36-G37-G38</f>
        <v>0</v>
      </c>
      <c r="H39" s="416"/>
    </row>
    <row r="40" spans="1:8" ht="35.1" customHeight="1" thickTop="1">
      <c r="B40" s="382" t="s">
        <v>793</v>
      </c>
      <c r="C40" s="384"/>
      <c r="D40" s="404"/>
      <c r="E40" s="403">
        <v>6165230</v>
      </c>
      <c r="F40" s="382"/>
      <c r="G40" s="417"/>
      <c r="H40" s="382"/>
    </row>
    <row r="41" spans="1:8" ht="15.6">
      <c r="A41" s="983" t="s">
        <v>790</v>
      </c>
      <c r="B41" s="1366" t="s">
        <v>795</v>
      </c>
      <c r="C41" s="1366"/>
      <c r="D41" s="1366"/>
      <c r="E41" s="1366"/>
      <c r="F41" s="1366"/>
      <c r="G41" s="1366"/>
      <c r="H41" s="382"/>
    </row>
    <row r="42" spans="1:8" ht="15.6">
      <c r="A42" s="983" t="s">
        <v>792</v>
      </c>
      <c r="B42" s="381" t="s">
        <v>797</v>
      </c>
      <c r="C42" s="382"/>
      <c r="D42" s="382"/>
      <c r="E42" s="382"/>
      <c r="F42" s="403"/>
      <c r="G42" s="403"/>
      <c r="H42" s="382"/>
    </row>
    <row r="43" spans="1:8" ht="15.6">
      <c r="A43" s="983" t="s">
        <v>794</v>
      </c>
      <c r="B43" s="381" t="s">
        <v>799</v>
      </c>
      <c r="C43" s="382"/>
      <c r="D43" s="382"/>
      <c r="E43" s="382"/>
      <c r="F43" s="403"/>
      <c r="G43" s="403"/>
      <c r="H43" s="382"/>
    </row>
    <row r="44" spans="1:8" ht="15.6">
      <c r="A44" s="983" t="s">
        <v>796</v>
      </c>
      <c r="B44" s="381" t="s">
        <v>801</v>
      </c>
      <c r="C44" s="382"/>
      <c r="D44" s="382"/>
      <c r="E44" s="382"/>
      <c r="F44" s="403"/>
      <c r="G44" s="403"/>
      <c r="H44" s="382"/>
    </row>
    <row r="45" spans="1:8" ht="15.6">
      <c r="A45" s="983" t="s">
        <v>798</v>
      </c>
      <c r="B45" s="382" t="s">
        <v>803</v>
      </c>
      <c r="C45" s="382"/>
      <c r="D45" s="382"/>
      <c r="E45" s="382"/>
      <c r="F45" s="382"/>
      <c r="G45" s="382"/>
      <c r="H45" s="398"/>
    </row>
    <row r="46" spans="1:8" ht="35.1" customHeight="1">
      <c r="B46" s="398"/>
      <c r="C46" s="398"/>
      <c r="D46" s="398"/>
      <c r="E46" s="398"/>
      <c r="F46" s="398"/>
      <c r="G46" s="398"/>
      <c r="H46" s="398"/>
    </row>
    <row r="47" spans="1:8" s="376" customFormat="1" ht="25.2" customHeight="1">
      <c r="A47" s="984"/>
      <c r="B47" s="1363" t="str">
        <f>+B1</f>
        <v>New York Transco LLC</v>
      </c>
      <c r="C47" s="1364"/>
      <c r="D47" s="1364"/>
      <c r="E47" s="1364"/>
      <c r="F47" s="1364"/>
      <c r="G47" s="1364"/>
      <c r="H47" s="1364"/>
    </row>
    <row r="48" spans="1:8" s="376" customFormat="1" ht="25.2" customHeight="1">
      <c r="A48" s="984"/>
      <c r="B48" s="1363" t="s">
        <v>846</v>
      </c>
      <c r="C48" s="1363"/>
      <c r="D48" s="1363"/>
      <c r="E48" s="1363"/>
      <c r="F48" s="1363"/>
      <c r="G48" s="1363"/>
      <c r="H48" s="1363"/>
    </row>
    <row r="49" spans="1:8" s="376" customFormat="1" ht="25.2" customHeight="1">
      <c r="A49" s="984"/>
      <c r="B49" s="1368" t="s">
        <v>405</v>
      </c>
      <c r="C49" s="1368"/>
      <c r="D49" s="1368"/>
      <c r="E49" s="1368"/>
      <c r="F49" s="1368"/>
      <c r="G49" s="1368"/>
      <c r="H49" s="1368"/>
    </row>
    <row r="50" spans="1:8" ht="25.2" customHeight="1">
      <c r="B50" s="382"/>
      <c r="C50" s="382"/>
      <c r="D50" s="382"/>
      <c r="E50" s="382"/>
      <c r="F50" s="382"/>
      <c r="G50" s="382"/>
      <c r="H50" s="382"/>
    </row>
    <row r="51" spans="1:8" ht="25.2" customHeight="1">
      <c r="B51" s="403" t="s">
        <v>212</v>
      </c>
      <c r="C51" s="403" t="s">
        <v>215</v>
      </c>
      <c r="D51" s="403" t="s">
        <v>217</v>
      </c>
      <c r="E51" s="403" t="s">
        <v>220</v>
      </c>
      <c r="F51" s="403" t="s">
        <v>227</v>
      </c>
      <c r="G51" s="403" t="s">
        <v>231</v>
      </c>
      <c r="H51" s="403" t="s">
        <v>249</v>
      </c>
    </row>
    <row r="52" spans="1:8" ht="25.2" customHeight="1">
      <c r="B52" s="382"/>
      <c r="C52" s="403" t="s">
        <v>43</v>
      </c>
      <c r="D52" s="403" t="s">
        <v>770</v>
      </c>
      <c r="E52" s="409"/>
      <c r="F52" s="409"/>
      <c r="G52" s="409"/>
      <c r="H52" s="382"/>
    </row>
    <row r="53" spans="1:8" ht="25.2" customHeight="1">
      <c r="A53" s="983" t="s">
        <v>800</v>
      </c>
      <c r="B53" s="382" t="s">
        <v>805</v>
      </c>
      <c r="C53" s="403"/>
      <c r="D53" s="403" t="s">
        <v>772</v>
      </c>
      <c r="E53" s="403" t="s">
        <v>53</v>
      </c>
      <c r="F53" s="403" t="s">
        <v>755</v>
      </c>
      <c r="G53" s="403" t="s">
        <v>756</v>
      </c>
      <c r="H53" s="382"/>
    </row>
    <row r="54" spans="1:8" ht="25.2" customHeight="1">
      <c r="B54" s="381"/>
      <c r="C54" s="403"/>
      <c r="D54" s="403" t="s">
        <v>758</v>
      </c>
      <c r="E54" s="403" t="s">
        <v>758</v>
      </c>
      <c r="F54" s="403" t="s">
        <v>758</v>
      </c>
      <c r="G54" s="403" t="s">
        <v>758</v>
      </c>
      <c r="H54" s="403" t="s">
        <v>773</v>
      </c>
    </row>
    <row r="55" spans="1:8" ht="35.1" customHeight="1">
      <c r="A55" s="983" t="s">
        <v>851</v>
      </c>
      <c r="B55" s="390" t="s">
        <v>807</v>
      </c>
      <c r="C55" s="387">
        <f>SUM(D55:G55)</f>
        <v>-33098591</v>
      </c>
      <c r="D55" s="388"/>
      <c r="E55" s="388">
        <f>-29786171-ROUND(11775399*0.2813,0)</f>
        <v>-33098591</v>
      </c>
      <c r="F55" s="388"/>
      <c r="G55" s="388"/>
      <c r="H55" s="389" t="s">
        <v>852</v>
      </c>
    </row>
    <row r="56" spans="1:8" ht="35.1" customHeight="1">
      <c r="A56" s="983" t="s">
        <v>853</v>
      </c>
      <c r="B56" s="390"/>
      <c r="C56" s="387"/>
      <c r="D56" s="388"/>
      <c r="E56" s="388"/>
      <c r="F56" s="388"/>
      <c r="G56" s="388"/>
      <c r="H56" s="389"/>
    </row>
    <row r="57" spans="1:8" ht="35.1" customHeight="1">
      <c r="A57" s="983" t="s">
        <v>854</v>
      </c>
      <c r="B57" s="390"/>
      <c r="C57" s="387"/>
      <c r="D57" s="388"/>
      <c r="E57" s="388"/>
      <c r="F57" s="388"/>
      <c r="G57" s="388"/>
      <c r="H57" s="389"/>
    </row>
    <row r="58" spans="1:8" ht="35.1" customHeight="1">
      <c r="A58" s="983" t="s">
        <v>298</v>
      </c>
      <c r="B58" s="390"/>
      <c r="C58" s="387"/>
      <c r="D58" s="388"/>
      <c r="E58" s="388"/>
      <c r="F58" s="388"/>
      <c r="G58" s="388"/>
      <c r="H58" s="389"/>
    </row>
    <row r="59" spans="1:8" ht="35.1" customHeight="1">
      <c r="A59" s="983" t="s">
        <v>298</v>
      </c>
      <c r="B59" s="390"/>
      <c r="C59" s="388"/>
      <c r="D59" s="388"/>
      <c r="E59" s="388"/>
      <c r="F59" s="388"/>
      <c r="G59" s="388"/>
      <c r="H59" s="389"/>
    </row>
    <row r="60" spans="1:8" ht="35.1" customHeight="1">
      <c r="A60" s="983" t="s">
        <v>298</v>
      </c>
      <c r="B60" s="390"/>
      <c r="C60" s="388"/>
      <c r="D60" s="388"/>
      <c r="E60" s="388"/>
      <c r="F60" s="388"/>
      <c r="G60" s="388"/>
      <c r="H60" s="389"/>
    </row>
    <row r="61" spans="1:8" ht="35.1" customHeight="1">
      <c r="A61" s="983" t="s">
        <v>298</v>
      </c>
      <c r="B61" s="399"/>
      <c r="C61" s="400"/>
      <c r="D61" s="400"/>
      <c r="E61" s="400"/>
      <c r="F61" s="400"/>
      <c r="G61" s="400"/>
      <c r="H61" s="389"/>
    </row>
    <row r="62" spans="1:8" ht="35.1" customHeight="1">
      <c r="A62" s="983" t="s">
        <v>298</v>
      </c>
      <c r="B62" s="401"/>
      <c r="C62" s="400"/>
      <c r="D62" s="400"/>
      <c r="E62" s="400"/>
      <c r="F62" s="400"/>
      <c r="G62" s="400"/>
      <c r="H62" s="389"/>
    </row>
    <row r="63" spans="1:8" ht="35.1" customHeight="1">
      <c r="A63" s="983" t="s">
        <v>298</v>
      </c>
      <c r="B63" s="401"/>
      <c r="C63" s="400"/>
      <c r="D63" s="400"/>
      <c r="E63" s="400"/>
      <c r="F63" s="400"/>
      <c r="G63" s="400"/>
      <c r="H63" s="389"/>
    </row>
    <row r="64" spans="1:8" ht="35.1" customHeight="1">
      <c r="A64" s="983" t="s">
        <v>804</v>
      </c>
      <c r="B64" s="418" t="s">
        <v>812</v>
      </c>
      <c r="C64" s="402">
        <f>SUBTOTAL(9,C55:C63)</f>
        <v>-33098591</v>
      </c>
      <c r="D64" s="402">
        <f>SUM(D55:D63)</f>
        <v>0</v>
      </c>
      <c r="E64" s="402">
        <f>SUM(E55:E63)</f>
        <v>-33098591</v>
      </c>
      <c r="F64" s="402">
        <f>SUM(F55:F63)</f>
        <v>0</v>
      </c>
      <c r="G64" s="402">
        <f>SUM(G55:G63)</f>
        <v>0</v>
      </c>
      <c r="H64" s="392"/>
    </row>
    <row r="65" spans="1:8" ht="35.1" customHeight="1">
      <c r="A65" s="983" t="s">
        <v>855</v>
      </c>
      <c r="B65" s="418" t="s">
        <v>789</v>
      </c>
      <c r="C65" s="393">
        <f>SUM(D65:E65)</f>
        <v>-50971</v>
      </c>
      <c r="D65" s="393"/>
      <c r="E65" s="393">
        <v>-50971</v>
      </c>
      <c r="F65" s="393"/>
      <c r="G65" s="393"/>
      <c r="H65" s="389"/>
    </row>
    <row r="66" spans="1:8" ht="35.1" customHeight="1">
      <c r="A66" s="983" t="s">
        <v>811</v>
      </c>
      <c r="B66" s="419" t="s">
        <v>791</v>
      </c>
      <c r="C66" s="393">
        <f>SUM(D66:E66)</f>
        <v>0</v>
      </c>
      <c r="D66" s="396"/>
      <c r="E66" s="396">
        <v>0</v>
      </c>
      <c r="F66" s="396"/>
      <c r="G66" s="396"/>
      <c r="H66" s="397"/>
    </row>
    <row r="67" spans="1:8" ht="35.1" customHeight="1" thickBot="1">
      <c r="A67" s="983" t="s">
        <v>813</v>
      </c>
      <c r="B67" s="414" t="s">
        <v>43</v>
      </c>
      <c r="C67" s="415">
        <f>+C64-C65-C66</f>
        <v>-33047620</v>
      </c>
      <c r="D67" s="415">
        <f>+D64-D65-D66</f>
        <v>0</v>
      </c>
      <c r="E67" s="415">
        <f>+E64-E65-E66</f>
        <v>-33047620</v>
      </c>
      <c r="F67" s="415">
        <f>+F64-F65-F66</f>
        <v>0</v>
      </c>
      <c r="G67" s="415">
        <f>+G64-G65-G66</f>
        <v>0</v>
      </c>
      <c r="H67" s="416"/>
    </row>
    <row r="68" spans="1:8" ht="35.1" customHeight="1" thickTop="1">
      <c r="B68" s="381"/>
      <c r="C68" s="382"/>
      <c r="D68" s="382"/>
      <c r="E68" s="384"/>
      <c r="F68" s="403"/>
      <c r="G68" s="404"/>
      <c r="H68" s="398"/>
    </row>
    <row r="69" spans="1:8" ht="35.1" customHeight="1">
      <c r="B69" s="382" t="s">
        <v>816</v>
      </c>
      <c r="C69" s="382"/>
      <c r="D69" s="403"/>
      <c r="E69" s="404"/>
      <c r="F69" s="382"/>
      <c r="G69" s="398"/>
      <c r="H69" s="382"/>
    </row>
    <row r="70" spans="1:8" ht="15.6">
      <c r="A70" s="983" t="s">
        <v>814</v>
      </c>
      <c r="B70" s="382" t="s">
        <v>795</v>
      </c>
      <c r="C70" s="382"/>
      <c r="D70" s="382"/>
      <c r="E70" s="382"/>
      <c r="F70" s="382"/>
      <c r="G70" s="382"/>
      <c r="H70" s="382"/>
    </row>
    <row r="71" spans="1:8" ht="15.6">
      <c r="A71" s="983" t="s">
        <v>815</v>
      </c>
      <c r="B71" s="381" t="s">
        <v>797</v>
      </c>
      <c r="C71" s="382"/>
      <c r="D71" s="382"/>
      <c r="E71" s="382"/>
      <c r="F71" s="403"/>
      <c r="G71" s="403"/>
      <c r="H71" s="382"/>
    </row>
    <row r="72" spans="1:8" ht="15.6">
      <c r="A72" s="983" t="s">
        <v>817</v>
      </c>
      <c r="B72" s="381" t="s">
        <v>799</v>
      </c>
      <c r="C72" s="382"/>
      <c r="D72" s="382"/>
      <c r="E72" s="382"/>
      <c r="F72" s="403"/>
      <c r="G72" s="403"/>
      <c r="H72" s="382"/>
    </row>
    <row r="73" spans="1:8" ht="15.6">
      <c r="A73" s="983" t="s">
        <v>818</v>
      </c>
      <c r="B73" s="381" t="s">
        <v>801</v>
      </c>
      <c r="C73" s="382"/>
      <c r="D73" s="382"/>
      <c r="E73" s="382"/>
      <c r="F73" s="403"/>
      <c r="G73" s="403"/>
      <c r="H73" s="382"/>
    </row>
    <row r="74" spans="1:8" ht="15.6">
      <c r="A74" s="983" t="s">
        <v>819</v>
      </c>
      <c r="B74" s="382" t="s">
        <v>803</v>
      </c>
      <c r="C74" s="382"/>
      <c r="D74" s="382"/>
      <c r="E74" s="382"/>
      <c r="F74" s="382"/>
      <c r="G74" s="382"/>
      <c r="H74" s="398"/>
    </row>
    <row r="75" spans="1:8" s="376" customFormat="1" ht="25.2" customHeight="1">
      <c r="A75" s="984"/>
      <c r="B75" s="1363" t="str">
        <f>+B47</f>
        <v>New York Transco LLC</v>
      </c>
      <c r="C75" s="1364"/>
      <c r="D75" s="1364"/>
      <c r="E75" s="1364"/>
      <c r="F75" s="1364"/>
      <c r="G75" s="1364"/>
      <c r="H75" s="1364"/>
    </row>
    <row r="76" spans="1:8" s="376" customFormat="1" ht="25.2" customHeight="1">
      <c r="A76" s="984"/>
      <c r="B76" s="1363" t="s">
        <v>846</v>
      </c>
      <c r="C76" s="1363"/>
      <c r="D76" s="1363"/>
      <c r="E76" s="1363"/>
      <c r="F76" s="1363"/>
      <c r="G76" s="1363"/>
      <c r="H76" s="1363"/>
    </row>
    <row r="77" spans="1:8" s="376" customFormat="1" ht="25.2" customHeight="1">
      <c r="A77" s="984"/>
      <c r="B77" s="1368" t="s">
        <v>405</v>
      </c>
      <c r="C77" s="1368"/>
      <c r="D77" s="1368"/>
      <c r="E77" s="1368"/>
      <c r="F77" s="1368"/>
      <c r="G77" s="1368"/>
      <c r="H77" s="1368"/>
    </row>
    <row r="78" spans="1:8" ht="25.2" customHeight="1">
      <c r="B78" s="381"/>
      <c r="C78" s="382"/>
      <c r="D78" s="382"/>
      <c r="E78" s="382"/>
      <c r="F78" s="382"/>
      <c r="G78" s="382"/>
      <c r="H78" s="398"/>
    </row>
    <row r="79" spans="1:8" ht="35.1" customHeight="1">
      <c r="B79" s="403" t="s">
        <v>212</v>
      </c>
      <c r="C79" s="403" t="s">
        <v>215</v>
      </c>
      <c r="D79" s="403" t="s">
        <v>217</v>
      </c>
      <c r="E79" s="403" t="s">
        <v>220</v>
      </c>
      <c r="F79" s="403" t="s">
        <v>227</v>
      </c>
      <c r="G79" s="403" t="s">
        <v>231</v>
      </c>
      <c r="H79" s="403" t="s">
        <v>249</v>
      </c>
    </row>
    <row r="80" spans="1:8" ht="30" customHeight="1">
      <c r="B80" s="382"/>
      <c r="C80" s="403" t="s">
        <v>43</v>
      </c>
      <c r="D80" s="403" t="s">
        <v>770</v>
      </c>
      <c r="E80" s="409"/>
      <c r="F80" s="409"/>
      <c r="G80" s="409"/>
      <c r="H80" s="382"/>
    </row>
    <row r="81" spans="1:8" ht="30" customHeight="1">
      <c r="A81" s="983" t="s">
        <v>820</v>
      </c>
      <c r="B81" s="382" t="s">
        <v>823</v>
      </c>
      <c r="C81" s="403"/>
      <c r="D81" s="403" t="s">
        <v>772</v>
      </c>
      <c r="E81" s="403" t="s">
        <v>53</v>
      </c>
      <c r="F81" s="403" t="s">
        <v>755</v>
      </c>
      <c r="G81" s="403" t="s">
        <v>756</v>
      </c>
      <c r="H81" s="382"/>
    </row>
    <row r="82" spans="1:8" ht="30" customHeight="1">
      <c r="B82" s="382"/>
      <c r="C82" s="403"/>
      <c r="D82" s="403" t="s">
        <v>758</v>
      </c>
      <c r="E82" s="403" t="s">
        <v>758</v>
      </c>
      <c r="F82" s="403" t="s">
        <v>758</v>
      </c>
      <c r="G82" s="403" t="s">
        <v>758</v>
      </c>
      <c r="H82" s="382"/>
    </row>
    <row r="83" spans="1:8" ht="35.1" customHeight="1">
      <c r="A83" s="983" t="s">
        <v>856</v>
      </c>
      <c r="B83" s="405" t="s">
        <v>857</v>
      </c>
      <c r="C83" s="387">
        <f>SUM(D83:G83)</f>
        <v>-1268952</v>
      </c>
      <c r="D83" s="388"/>
      <c r="E83" s="388">
        <f>-987652-ROUND(1000000*0.2813,0)</f>
        <v>-1268952</v>
      </c>
      <c r="F83" s="388"/>
      <c r="G83" s="388"/>
      <c r="H83" s="389" t="s">
        <v>858</v>
      </c>
    </row>
    <row r="84" spans="1:8" ht="35.1" customHeight="1">
      <c r="A84" s="983" t="s">
        <v>859</v>
      </c>
      <c r="B84" s="390" t="s">
        <v>826</v>
      </c>
      <c r="C84" s="387">
        <f>SUM(D84:G84)</f>
        <v>-19330</v>
      </c>
      <c r="D84" s="388"/>
      <c r="E84" s="388">
        <v>-19330</v>
      </c>
      <c r="F84" s="388"/>
      <c r="G84" s="388"/>
      <c r="H84" s="389" t="s">
        <v>860</v>
      </c>
    </row>
    <row r="85" spans="1:8" ht="35.1" customHeight="1">
      <c r="A85" s="983" t="s">
        <v>861</v>
      </c>
      <c r="B85" s="390" t="s">
        <v>829</v>
      </c>
      <c r="C85" s="387">
        <f>SUM(D85:G85)</f>
        <v>-46431</v>
      </c>
      <c r="D85" s="388"/>
      <c r="E85" s="388">
        <v>-46431</v>
      </c>
      <c r="F85" s="388"/>
      <c r="G85" s="388"/>
      <c r="H85" s="389" t="s">
        <v>830</v>
      </c>
    </row>
    <row r="86" spans="1:8" ht="35.1" customHeight="1">
      <c r="A86" s="983" t="s">
        <v>862</v>
      </c>
      <c r="B86" s="390" t="s">
        <v>832</v>
      </c>
      <c r="C86" s="388">
        <f>SUM(D86:G86)</f>
        <v>-32620</v>
      </c>
      <c r="D86" s="400"/>
      <c r="E86" s="388">
        <v>-32620</v>
      </c>
      <c r="F86" s="388"/>
      <c r="G86" s="388"/>
      <c r="H86" s="389" t="s">
        <v>833</v>
      </c>
    </row>
    <row r="87" spans="1:8" ht="35.1" customHeight="1">
      <c r="A87" s="983" t="s">
        <v>863</v>
      </c>
      <c r="B87" s="390"/>
      <c r="C87" s="388"/>
      <c r="D87" s="400"/>
      <c r="E87" s="388"/>
      <c r="F87" s="388"/>
      <c r="G87" s="388"/>
      <c r="H87" s="389"/>
    </row>
    <row r="88" spans="1:8" ht="35.1" customHeight="1">
      <c r="A88" s="983" t="s">
        <v>298</v>
      </c>
      <c r="B88" s="390"/>
      <c r="C88" s="388"/>
      <c r="D88" s="400"/>
      <c r="E88" s="388"/>
      <c r="F88" s="388"/>
      <c r="G88" s="388"/>
      <c r="H88" s="389"/>
    </row>
    <row r="89" spans="1:8" ht="35.1" customHeight="1">
      <c r="A89" s="983" t="s">
        <v>298</v>
      </c>
      <c r="B89" s="390"/>
      <c r="C89" s="388"/>
      <c r="D89" s="400"/>
      <c r="E89" s="388"/>
      <c r="F89" s="388"/>
      <c r="G89" s="388"/>
      <c r="H89" s="389"/>
    </row>
    <row r="90" spans="1:8" ht="35.1" customHeight="1">
      <c r="A90" s="983" t="s">
        <v>298</v>
      </c>
      <c r="B90" s="390"/>
      <c r="C90" s="388"/>
      <c r="D90" s="391"/>
      <c r="E90" s="388"/>
      <c r="F90" s="388"/>
      <c r="G90" s="388"/>
      <c r="H90" s="389"/>
    </row>
    <row r="91" spans="1:8" ht="35.1" customHeight="1">
      <c r="A91" s="983" t="s">
        <v>298</v>
      </c>
      <c r="B91" s="390"/>
      <c r="C91" s="388"/>
      <c r="D91" s="388"/>
      <c r="E91" s="388"/>
      <c r="F91" s="388"/>
      <c r="G91" s="388"/>
      <c r="H91" s="389"/>
    </row>
    <row r="92" spans="1:8" ht="35.1" customHeight="1">
      <c r="A92" s="983" t="s">
        <v>298</v>
      </c>
      <c r="B92" s="390"/>
      <c r="C92" s="388"/>
      <c r="D92" s="388"/>
      <c r="E92" s="388"/>
      <c r="F92" s="388"/>
      <c r="G92" s="388"/>
      <c r="H92" s="389"/>
    </row>
    <row r="93" spans="1:8" ht="20.100000000000001" customHeight="1">
      <c r="A93" s="983" t="s">
        <v>822</v>
      </c>
      <c r="B93" s="410" t="s">
        <v>836</v>
      </c>
      <c r="C93" s="411">
        <f>SUBTOTAL(9,C83:C92)</f>
        <v>-1367333</v>
      </c>
      <c r="D93" s="411">
        <f>SUM(D83:D92)</f>
        <v>0</v>
      </c>
      <c r="E93" s="411">
        <f>SUM(E83:E92)</f>
        <v>-1367333</v>
      </c>
      <c r="F93" s="411">
        <f>SUM(F83:F92)</f>
        <v>0</v>
      </c>
      <c r="G93" s="411">
        <f>SUM(G83:G92)</f>
        <v>0</v>
      </c>
      <c r="H93" s="389"/>
    </row>
    <row r="94" spans="1:8" ht="20.100000000000001" customHeight="1">
      <c r="A94" s="983" t="s">
        <v>864</v>
      </c>
      <c r="B94" s="410" t="s">
        <v>789</v>
      </c>
      <c r="C94" s="394">
        <f>SUM(D94:G94)</f>
        <v>-19330</v>
      </c>
      <c r="D94" s="394"/>
      <c r="E94" s="394">
        <f>+E84</f>
        <v>-19330</v>
      </c>
      <c r="F94" s="394"/>
      <c r="G94" s="394"/>
      <c r="H94" s="389"/>
    </row>
    <row r="95" spans="1:8" ht="20.100000000000001" customHeight="1">
      <c r="A95" s="983" t="s">
        <v>835</v>
      </c>
      <c r="B95" s="420" t="s">
        <v>791</v>
      </c>
      <c r="C95" s="394">
        <f>SUM(D95:G95)</f>
        <v>0</v>
      </c>
      <c r="D95" s="406"/>
      <c r="E95" s="406">
        <v>0</v>
      </c>
      <c r="F95" s="406"/>
      <c r="G95" s="406"/>
      <c r="H95" s="397"/>
    </row>
    <row r="96" spans="1:8" ht="20.100000000000001" customHeight="1" thickBot="1">
      <c r="A96" s="983" t="s">
        <v>837</v>
      </c>
      <c r="B96" s="414" t="s">
        <v>43</v>
      </c>
      <c r="C96" s="421">
        <f>+C93-C94-C95</f>
        <v>-1348003</v>
      </c>
      <c r="D96" s="421">
        <f>+D93-D94-D95</f>
        <v>0</v>
      </c>
      <c r="E96" s="421">
        <f>+E93-E94-E95</f>
        <v>-1348003</v>
      </c>
      <c r="F96" s="421">
        <f>+F93-F94-F95</f>
        <v>0</v>
      </c>
      <c r="G96" s="421">
        <f>+G93-G94-G95</f>
        <v>0</v>
      </c>
      <c r="H96" s="416"/>
    </row>
    <row r="97" spans="1:9" ht="35.1" customHeight="1" thickTop="1">
      <c r="B97" s="422" t="s">
        <v>840</v>
      </c>
      <c r="C97" s="382"/>
      <c r="D97" s="382"/>
      <c r="E97" s="403"/>
      <c r="F97" s="403"/>
      <c r="G97" s="382"/>
      <c r="H97" s="407"/>
    </row>
    <row r="98" spans="1:9" ht="20.100000000000001" customHeight="1">
      <c r="A98" s="983" t="s">
        <v>838</v>
      </c>
      <c r="B98" s="1366" t="s">
        <v>795</v>
      </c>
      <c r="C98" s="1366"/>
      <c r="D98" s="1366"/>
      <c r="E98" s="1366"/>
      <c r="F98" s="1366"/>
      <c r="G98" s="1366"/>
      <c r="H98" s="382"/>
    </row>
    <row r="99" spans="1:9" ht="20.100000000000001" customHeight="1">
      <c r="A99" s="983" t="s">
        <v>839</v>
      </c>
      <c r="B99" s="381" t="s">
        <v>797</v>
      </c>
      <c r="C99" s="382"/>
      <c r="D99" s="382"/>
      <c r="E99" s="382"/>
      <c r="F99" s="403"/>
      <c r="G99" s="403"/>
      <c r="H99" s="382"/>
    </row>
    <row r="100" spans="1:9" ht="20.100000000000001" customHeight="1">
      <c r="A100" s="983" t="s">
        <v>841</v>
      </c>
      <c r="B100" s="381" t="s">
        <v>799</v>
      </c>
      <c r="C100" s="382"/>
      <c r="D100" s="382"/>
      <c r="E100" s="382"/>
      <c r="F100" s="403"/>
      <c r="G100" s="403"/>
      <c r="H100" s="382"/>
    </row>
    <row r="101" spans="1:9" ht="20.100000000000001" customHeight="1">
      <c r="A101" s="983" t="s">
        <v>842</v>
      </c>
      <c r="B101" s="381" t="s">
        <v>801</v>
      </c>
      <c r="C101" s="382"/>
      <c r="D101" s="382"/>
      <c r="E101" s="382"/>
      <c r="F101" s="403"/>
      <c r="G101" s="403"/>
      <c r="H101" s="382"/>
    </row>
    <row r="102" spans="1:9" ht="15.6">
      <c r="A102" s="983" t="s">
        <v>843</v>
      </c>
      <c r="B102" s="1366" t="s">
        <v>803</v>
      </c>
      <c r="C102" s="1366"/>
      <c r="D102" s="1366"/>
      <c r="E102" s="1366"/>
      <c r="F102" s="1366"/>
      <c r="G102" s="1366"/>
      <c r="H102" s="382"/>
    </row>
    <row r="103" spans="1:9" ht="15.6">
      <c r="B103" s="381"/>
      <c r="C103" s="382"/>
      <c r="D103" s="382"/>
      <c r="E103" s="382"/>
      <c r="F103" s="382"/>
      <c r="G103" s="382"/>
      <c r="H103" s="382"/>
    </row>
    <row r="104" spans="1:9" ht="15.75" customHeight="1">
      <c r="B104" s="408"/>
      <c r="C104" s="408"/>
      <c r="D104" s="408"/>
      <c r="E104" s="408"/>
      <c r="F104" s="408"/>
      <c r="G104" s="408"/>
      <c r="H104" s="408"/>
    </row>
    <row r="105" spans="1:9" ht="15.6">
      <c r="B105" s="1367"/>
      <c r="C105" s="1367"/>
      <c r="D105" s="1367"/>
      <c r="E105" s="1367"/>
      <c r="F105" s="1367"/>
      <c r="G105" s="1367"/>
      <c r="H105" s="1367"/>
    </row>
    <row r="106" spans="1:9" ht="15.6">
      <c r="B106" s="382"/>
      <c r="C106" s="382"/>
      <c r="D106" s="382"/>
      <c r="E106" s="382"/>
      <c r="F106" s="382"/>
      <c r="G106" s="382"/>
      <c r="H106" s="382"/>
    </row>
    <row r="107" spans="1:9" ht="15.6">
      <c r="B107" s="382"/>
      <c r="C107" s="382"/>
      <c r="D107" s="382"/>
      <c r="E107" s="382"/>
      <c r="F107" s="382"/>
      <c r="G107" s="382"/>
      <c r="H107" s="382"/>
    </row>
    <row r="108" spans="1:9" ht="15.75" customHeight="1">
      <c r="B108" s="382"/>
      <c r="C108" s="382"/>
      <c r="D108" s="382"/>
      <c r="E108" s="382"/>
      <c r="F108" s="382"/>
      <c r="G108" s="382"/>
      <c r="H108" s="382"/>
    </row>
    <row r="109" spans="1:9" ht="15.6">
      <c r="B109" s="382"/>
      <c r="C109" s="382"/>
      <c r="D109" s="423"/>
      <c r="E109" s="423"/>
      <c r="F109" s="423"/>
      <c r="G109" s="423"/>
      <c r="H109" s="423"/>
      <c r="I109" s="379"/>
    </row>
    <row r="110" spans="1:9" ht="15.6">
      <c r="B110" s="382"/>
      <c r="C110" s="382"/>
      <c r="D110" s="423"/>
      <c r="E110" s="423"/>
      <c r="F110" s="423"/>
      <c r="G110" s="423"/>
      <c r="H110" s="423"/>
      <c r="I110" s="379"/>
    </row>
    <row r="111" spans="1:9" ht="15.6">
      <c r="B111" s="381"/>
      <c r="C111" s="382"/>
      <c r="D111" s="403"/>
      <c r="E111" s="403"/>
      <c r="F111" s="382"/>
      <c r="G111" s="382"/>
      <c r="H111" s="382"/>
    </row>
    <row r="112" spans="1:9" ht="15.6">
      <c r="B112" s="381"/>
      <c r="C112" s="382"/>
      <c r="D112" s="91"/>
      <c r="E112" s="91"/>
      <c r="F112" s="382"/>
      <c r="G112" s="382"/>
      <c r="H112" s="382"/>
    </row>
    <row r="113" spans="2:8" ht="15.6">
      <c r="B113" s="381"/>
      <c r="C113" s="382"/>
      <c r="D113" s="91"/>
      <c r="E113" s="91"/>
      <c r="F113" s="382"/>
      <c r="G113" s="382"/>
      <c r="H113" s="382"/>
    </row>
    <row r="114" spans="2:8" ht="15.6">
      <c r="B114" s="381"/>
      <c r="C114" s="382"/>
      <c r="D114" s="91"/>
      <c r="E114" s="91"/>
      <c r="F114" s="382"/>
      <c r="G114" s="382"/>
      <c r="H114" s="382"/>
    </row>
    <row r="115" spans="2:8" ht="15.6">
      <c r="B115" s="381"/>
      <c r="C115" s="382"/>
      <c r="D115" s="91"/>
      <c r="E115" s="91"/>
      <c r="F115" s="382"/>
      <c r="G115" s="382"/>
      <c r="H115" s="382"/>
    </row>
    <row r="116" spans="2:8" ht="15.6">
      <c r="B116" s="381"/>
      <c r="C116" s="382"/>
      <c r="D116" s="91"/>
      <c r="E116" s="91"/>
      <c r="F116" s="382"/>
      <c r="G116" s="382"/>
      <c r="H116" s="382"/>
    </row>
    <row r="117" spans="2:8" ht="15.6">
      <c r="B117" s="381"/>
      <c r="C117" s="382"/>
      <c r="D117" s="91"/>
      <c r="E117" s="91"/>
      <c r="F117" s="382"/>
      <c r="G117" s="382"/>
      <c r="H117" s="382"/>
    </row>
    <row r="118" spans="2:8" ht="15.6">
      <c r="B118" s="381"/>
      <c r="C118" s="382"/>
      <c r="D118" s="91"/>
      <c r="E118" s="91"/>
      <c r="F118" s="382"/>
      <c r="G118" s="382"/>
      <c r="H118" s="382"/>
    </row>
    <row r="119" spans="2:8" ht="15.6">
      <c r="B119" s="381"/>
      <c r="C119" s="382"/>
      <c r="D119" s="91"/>
      <c r="E119" s="91"/>
      <c r="F119" s="382"/>
      <c r="G119" s="382"/>
      <c r="H119" s="382"/>
    </row>
    <row r="120" spans="2:8" ht="15.6">
      <c r="B120" s="381"/>
      <c r="C120" s="382"/>
      <c r="D120" s="91"/>
      <c r="E120" s="91"/>
      <c r="F120" s="382"/>
      <c r="G120" s="382"/>
      <c r="H120" s="382"/>
    </row>
    <row r="121" spans="2:8" ht="15.6">
      <c r="B121" s="381"/>
      <c r="C121" s="382"/>
      <c r="D121" s="91"/>
      <c r="E121" s="91"/>
      <c r="F121" s="382"/>
      <c r="G121" s="382"/>
      <c r="H121" s="382"/>
    </row>
    <row r="122" spans="2:8" ht="15.6">
      <c r="B122" s="382"/>
      <c r="C122" s="382"/>
      <c r="D122" s="91"/>
      <c r="E122" s="91"/>
      <c r="F122" s="382"/>
      <c r="G122" s="382"/>
      <c r="H122" s="382"/>
    </row>
    <row r="123" spans="2:8" ht="15.6">
      <c r="B123" s="381"/>
      <c r="C123" s="382"/>
      <c r="D123" s="91"/>
      <c r="E123" s="91"/>
      <c r="F123" s="382"/>
      <c r="G123" s="382"/>
      <c r="H123" s="382"/>
    </row>
    <row r="124" spans="2:8" ht="15.6">
      <c r="B124" s="382"/>
      <c r="C124" s="382"/>
      <c r="D124" s="91"/>
      <c r="E124" s="91"/>
      <c r="F124" s="382"/>
      <c r="G124" s="382"/>
      <c r="H124" s="382"/>
    </row>
    <row r="125" spans="2:8" ht="15.6">
      <c r="B125" s="381"/>
      <c r="C125" s="382"/>
      <c r="D125" s="382"/>
      <c r="E125" s="382"/>
      <c r="F125" s="382"/>
      <c r="G125" s="382"/>
      <c r="H125" s="382"/>
    </row>
    <row r="126" spans="2:8" ht="15.6">
      <c r="B126" s="381"/>
      <c r="C126" s="382"/>
      <c r="D126" s="382"/>
      <c r="E126" s="382"/>
      <c r="F126" s="382"/>
      <c r="G126" s="382"/>
      <c r="H126" s="382"/>
    </row>
    <row r="127" spans="2:8" ht="15.6">
      <c r="B127" s="381"/>
      <c r="C127" s="382"/>
      <c r="D127" s="382"/>
      <c r="E127" s="382"/>
      <c r="F127" s="382"/>
      <c r="G127" s="382"/>
      <c r="H127" s="382"/>
    </row>
    <row r="128" spans="2:8" ht="15.6">
      <c r="B128" s="381"/>
      <c r="C128" s="382"/>
      <c r="D128" s="382"/>
      <c r="E128" s="382"/>
      <c r="F128" s="382"/>
      <c r="G128" s="382"/>
      <c r="H128" s="382"/>
    </row>
    <row r="129" spans="2:8" ht="15.6">
      <c r="B129" s="381"/>
      <c r="C129" s="382"/>
      <c r="D129" s="382"/>
      <c r="E129" s="382"/>
      <c r="F129" s="382"/>
      <c r="G129" s="382"/>
      <c r="H129" s="382"/>
    </row>
    <row r="130" spans="2:8" ht="15.6">
      <c r="B130" s="381"/>
      <c r="C130" s="382"/>
      <c r="D130" s="382"/>
      <c r="E130" s="382"/>
      <c r="F130" s="382"/>
      <c r="G130" s="382"/>
      <c r="H130" s="382"/>
    </row>
    <row r="131" spans="2:8" ht="15.6">
      <c r="B131" s="381"/>
      <c r="C131" s="382"/>
      <c r="D131" s="382"/>
      <c r="E131" s="382"/>
      <c r="F131" s="382"/>
      <c r="G131" s="382"/>
      <c r="H131" s="382"/>
    </row>
    <row r="132" spans="2:8" ht="15.6">
      <c r="B132" s="381"/>
      <c r="C132" s="382"/>
      <c r="D132" s="382"/>
      <c r="E132" s="382"/>
      <c r="F132" s="382"/>
      <c r="G132" s="382"/>
      <c r="H132" s="382"/>
    </row>
    <row r="133" spans="2:8" ht="15.6">
      <c r="B133" s="381"/>
      <c r="C133" s="382"/>
      <c r="D133" s="382"/>
      <c r="E133" s="382"/>
      <c r="F133" s="382"/>
      <c r="G133" s="382"/>
      <c r="H133" s="382"/>
    </row>
    <row r="134" spans="2:8" ht="15.6">
      <c r="B134" s="381"/>
      <c r="C134" s="382"/>
      <c r="D134" s="382"/>
      <c r="E134" s="382"/>
      <c r="F134" s="382"/>
      <c r="G134" s="382"/>
      <c r="H134" s="382"/>
    </row>
    <row r="135" spans="2:8" ht="15.6">
      <c r="B135" s="381"/>
      <c r="C135" s="382"/>
      <c r="D135" s="382"/>
      <c r="E135" s="382"/>
      <c r="F135" s="382"/>
      <c r="G135" s="382"/>
      <c r="H135" s="382"/>
    </row>
    <row r="136" spans="2:8" ht="15.6">
      <c r="B136" s="381"/>
      <c r="C136" s="382"/>
      <c r="D136" s="382"/>
      <c r="E136" s="382"/>
      <c r="F136" s="382"/>
      <c r="G136" s="382"/>
      <c r="H136" s="382"/>
    </row>
    <row r="137" spans="2:8" ht="15.6">
      <c r="B137" s="381"/>
      <c r="C137" s="382"/>
      <c r="D137" s="382"/>
      <c r="E137" s="382"/>
      <c r="F137" s="382"/>
      <c r="G137" s="382"/>
      <c r="H137" s="382"/>
    </row>
    <row r="138" spans="2:8" ht="15.6">
      <c r="B138" s="381"/>
      <c r="C138" s="382"/>
      <c r="D138" s="382"/>
      <c r="E138" s="382"/>
      <c r="F138" s="382"/>
      <c r="G138" s="382"/>
      <c r="H138" s="382"/>
    </row>
    <row r="139" spans="2:8" ht="15.6">
      <c r="B139" s="381"/>
      <c r="C139" s="382"/>
      <c r="D139" s="382"/>
      <c r="E139" s="382"/>
      <c r="F139" s="382"/>
      <c r="G139" s="382"/>
      <c r="H139" s="382"/>
    </row>
    <row r="140" spans="2:8" ht="15.6">
      <c r="B140" s="381"/>
      <c r="C140" s="382"/>
      <c r="D140" s="382"/>
      <c r="E140" s="382"/>
      <c r="F140" s="382"/>
      <c r="G140" s="382"/>
      <c r="H140" s="382"/>
    </row>
    <row r="141" spans="2:8" ht="15.6">
      <c r="B141" s="381"/>
      <c r="C141" s="382"/>
      <c r="D141" s="382"/>
      <c r="E141" s="382"/>
      <c r="F141" s="382"/>
      <c r="G141" s="382"/>
      <c r="H141" s="382"/>
    </row>
    <row r="142" spans="2:8" ht="15.6">
      <c r="B142" s="381"/>
      <c r="C142" s="382"/>
      <c r="D142" s="382"/>
      <c r="E142" s="382"/>
      <c r="F142" s="382"/>
      <c r="G142" s="382"/>
      <c r="H142" s="382"/>
    </row>
    <row r="143" spans="2:8" ht="15.6">
      <c r="B143" s="381"/>
      <c r="C143" s="382"/>
      <c r="D143" s="382"/>
      <c r="E143" s="382"/>
      <c r="F143" s="382"/>
      <c r="G143" s="382"/>
      <c r="H143" s="382"/>
    </row>
    <row r="144" spans="2:8" ht="15.6">
      <c r="B144" s="381"/>
      <c r="C144" s="382"/>
      <c r="D144" s="382"/>
      <c r="E144" s="382"/>
      <c r="F144" s="382"/>
      <c r="G144" s="382"/>
      <c r="H144" s="382"/>
    </row>
    <row r="145" spans="2:8" ht="15.6">
      <c r="B145" s="381"/>
      <c r="C145" s="382"/>
      <c r="D145" s="382"/>
      <c r="E145" s="382"/>
      <c r="F145" s="382"/>
      <c r="G145" s="382"/>
      <c r="H145" s="382"/>
    </row>
    <row r="146" spans="2:8" ht="15.6">
      <c r="B146" s="381"/>
      <c r="C146" s="382"/>
      <c r="D146" s="382"/>
      <c r="E146" s="382"/>
      <c r="F146" s="382"/>
      <c r="G146" s="382"/>
      <c r="H146" s="382"/>
    </row>
    <row r="147" spans="2:8" ht="15.6">
      <c r="B147" s="381"/>
      <c r="C147" s="382"/>
      <c r="D147" s="382"/>
      <c r="E147" s="382"/>
      <c r="F147" s="382"/>
      <c r="G147" s="382"/>
      <c r="H147" s="382"/>
    </row>
    <row r="148" spans="2:8" ht="15.6">
      <c r="B148" s="381"/>
      <c r="C148" s="382"/>
      <c r="D148" s="382"/>
      <c r="E148" s="382"/>
      <c r="F148" s="382"/>
      <c r="G148" s="382"/>
      <c r="H148" s="382"/>
    </row>
    <row r="149" spans="2:8" ht="15.6">
      <c r="B149" s="381"/>
      <c r="C149" s="382"/>
      <c r="D149" s="382"/>
      <c r="E149" s="382"/>
      <c r="F149" s="382"/>
      <c r="G149" s="382"/>
      <c r="H149" s="382"/>
    </row>
    <row r="150" spans="2:8" ht="15.6">
      <c r="B150" s="381"/>
      <c r="C150" s="382"/>
      <c r="D150" s="382"/>
      <c r="E150" s="382"/>
      <c r="F150" s="382"/>
      <c r="G150" s="382"/>
      <c r="H150" s="382"/>
    </row>
    <row r="151" spans="2:8" ht="15.6">
      <c r="B151" s="381"/>
      <c r="C151" s="382"/>
      <c r="D151" s="382"/>
      <c r="E151" s="382"/>
      <c r="F151" s="382"/>
      <c r="G151" s="382"/>
      <c r="H151" s="382"/>
    </row>
    <row r="152" spans="2:8" ht="15.6">
      <c r="B152" s="381"/>
      <c r="C152" s="382"/>
      <c r="D152" s="382"/>
      <c r="E152" s="382"/>
      <c r="F152" s="382"/>
      <c r="G152" s="382"/>
      <c r="H152" s="382"/>
    </row>
    <row r="153" spans="2:8" ht="15.6">
      <c r="B153" s="381"/>
      <c r="C153" s="382"/>
      <c r="D153" s="382"/>
      <c r="E153" s="382"/>
      <c r="F153" s="382"/>
      <c r="G153" s="382"/>
      <c r="H153" s="382"/>
    </row>
    <row r="154" spans="2:8" ht="15.6">
      <c r="B154" s="381"/>
      <c r="C154" s="382"/>
      <c r="D154" s="382"/>
      <c r="E154" s="382"/>
      <c r="F154" s="382"/>
      <c r="G154" s="382"/>
      <c r="H154" s="382"/>
    </row>
    <row r="155" spans="2:8" ht="15.6">
      <c r="B155" s="381"/>
      <c r="C155" s="382"/>
      <c r="D155" s="382"/>
      <c r="E155" s="382"/>
      <c r="F155" s="382"/>
      <c r="G155" s="382"/>
      <c r="H155" s="382"/>
    </row>
    <row r="156" spans="2:8" ht="15.6">
      <c r="B156" s="381"/>
      <c r="C156" s="382"/>
      <c r="D156" s="382"/>
      <c r="E156" s="382"/>
      <c r="F156" s="382"/>
      <c r="G156" s="382"/>
      <c r="H156" s="382"/>
    </row>
    <row r="157" spans="2:8" ht="15.6">
      <c r="B157" s="381"/>
      <c r="C157" s="382"/>
      <c r="D157" s="382"/>
      <c r="E157" s="382"/>
      <c r="F157" s="382"/>
      <c r="G157" s="382"/>
      <c r="H157" s="382"/>
    </row>
    <row r="158" spans="2:8" ht="15.6">
      <c r="B158" s="381"/>
      <c r="C158" s="382"/>
      <c r="D158" s="382"/>
      <c r="E158" s="382"/>
      <c r="F158" s="382"/>
      <c r="G158" s="382"/>
      <c r="H158" s="382"/>
    </row>
    <row r="159" spans="2:8" ht="15.6">
      <c r="B159" s="381"/>
      <c r="C159" s="382"/>
      <c r="D159" s="382"/>
      <c r="E159" s="382"/>
      <c r="F159" s="382"/>
      <c r="G159" s="382"/>
      <c r="H159" s="382"/>
    </row>
    <row r="160" spans="2:8" ht="15.6">
      <c r="B160" s="381"/>
      <c r="C160" s="382"/>
      <c r="D160" s="382"/>
      <c r="E160" s="382"/>
      <c r="F160" s="382"/>
      <c r="G160" s="382"/>
      <c r="H160" s="382"/>
    </row>
    <row r="161" spans="2:8" ht="15.6">
      <c r="B161" s="381"/>
      <c r="C161" s="382"/>
      <c r="D161" s="382"/>
      <c r="E161" s="382"/>
      <c r="F161" s="382"/>
      <c r="G161" s="382"/>
      <c r="H161" s="382"/>
    </row>
    <row r="162" spans="2:8" ht="15.6">
      <c r="B162" s="381"/>
      <c r="C162" s="382"/>
      <c r="D162" s="382"/>
      <c r="E162" s="382"/>
      <c r="F162" s="382"/>
      <c r="G162" s="382"/>
      <c r="H162" s="382"/>
    </row>
    <row r="163" spans="2:8" ht="15.6">
      <c r="B163" s="381"/>
      <c r="C163" s="382"/>
      <c r="D163" s="382"/>
      <c r="E163" s="382"/>
      <c r="F163" s="382"/>
      <c r="G163" s="382"/>
      <c r="H163" s="382"/>
    </row>
    <row r="164" spans="2:8" ht="15.6">
      <c r="B164" s="381"/>
      <c r="C164" s="382"/>
      <c r="D164" s="382"/>
      <c r="E164" s="382"/>
      <c r="F164" s="382"/>
      <c r="G164" s="382"/>
      <c r="H164" s="382"/>
    </row>
    <row r="165" spans="2:8" ht="15.6">
      <c r="B165" s="381"/>
      <c r="C165" s="382"/>
      <c r="D165" s="382"/>
      <c r="E165" s="382"/>
      <c r="F165" s="382"/>
      <c r="G165" s="382"/>
      <c r="H165" s="382"/>
    </row>
    <row r="166" spans="2:8" ht="15.6">
      <c r="B166" s="381"/>
      <c r="C166" s="382"/>
      <c r="D166" s="382"/>
      <c r="E166" s="382"/>
      <c r="F166" s="382"/>
      <c r="G166" s="382"/>
      <c r="H166" s="382"/>
    </row>
    <row r="167" spans="2:8" ht="15.6">
      <c r="B167" s="381"/>
      <c r="C167" s="382"/>
      <c r="D167" s="382"/>
      <c r="E167" s="382"/>
      <c r="F167" s="382"/>
      <c r="G167" s="382"/>
      <c r="H167" s="382"/>
    </row>
    <row r="168" spans="2:8" ht="15.6">
      <c r="B168" s="381"/>
      <c r="C168" s="382"/>
      <c r="D168" s="382"/>
      <c r="E168" s="382"/>
      <c r="F168" s="382"/>
      <c r="G168" s="382"/>
      <c r="H168" s="382"/>
    </row>
    <row r="169" spans="2:8" ht="15.6">
      <c r="B169" s="381"/>
      <c r="C169" s="382"/>
      <c r="D169" s="382"/>
      <c r="E169" s="382"/>
      <c r="F169" s="382"/>
      <c r="G169" s="382"/>
      <c r="H169" s="382"/>
    </row>
    <row r="170" spans="2:8" ht="15.6">
      <c r="B170" s="381"/>
      <c r="C170" s="382"/>
      <c r="D170" s="382"/>
      <c r="E170" s="382"/>
      <c r="F170" s="382"/>
      <c r="G170" s="382"/>
      <c r="H170" s="382"/>
    </row>
    <row r="171" spans="2:8" ht="15.6">
      <c r="B171" s="381"/>
      <c r="C171" s="382"/>
      <c r="D171" s="382"/>
      <c r="E171" s="382"/>
      <c r="F171" s="382"/>
      <c r="G171" s="382"/>
      <c r="H171" s="382"/>
    </row>
    <row r="172" spans="2:8" ht="15.6">
      <c r="B172" s="381"/>
      <c r="C172" s="382"/>
      <c r="D172" s="382"/>
      <c r="E172" s="382"/>
      <c r="F172" s="382"/>
      <c r="G172" s="382"/>
      <c r="H172" s="382"/>
    </row>
    <row r="173" spans="2:8" ht="15.6">
      <c r="B173" s="381"/>
      <c r="C173" s="382"/>
      <c r="D173" s="382"/>
      <c r="E173" s="382"/>
      <c r="F173" s="382"/>
      <c r="G173" s="382"/>
      <c r="H173" s="382"/>
    </row>
    <row r="174" spans="2:8" ht="15.6">
      <c r="B174" s="381"/>
      <c r="C174" s="382"/>
      <c r="D174" s="382"/>
      <c r="E174" s="382"/>
      <c r="F174" s="382"/>
      <c r="G174" s="382"/>
      <c r="H174" s="382"/>
    </row>
    <row r="175" spans="2:8" ht="15.6">
      <c r="B175" s="381"/>
      <c r="C175" s="382"/>
      <c r="D175" s="382"/>
      <c r="E175" s="382"/>
      <c r="F175" s="382"/>
      <c r="G175" s="382"/>
      <c r="H175" s="382"/>
    </row>
    <row r="176" spans="2:8" ht="15.6">
      <c r="B176" s="381"/>
      <c r="C176" s="382"/>
      <c r="D176" s="382"/>
      <c r="E176" s="382"/>
      <c r="F176" s="382"/>
      <c r="G176" s="382"/>
      <c r="H176" s="382"/>
    </row>
    <row r="177" spans="2:8" ht="15.6">
      <c r="B177" s="381"/>
      <c r="C177" s="382"/>
      <c r="D177" s="382"/>
      <c r="E177" s="382"/>
      <c r="F177" s="382"/>
      <c r="G177" s="382"/>
      <c r="H177" s="382"/>
    </row>
    <row r="178" spans="2:8" ht="15.6">
      <c r="B178" s="381"/>
      <c r="C178" s="382"/>
      <c r="D178" s="382"/>
      <c r="E178" s="382"/>
      <c r="F178" s="382"/>
      <c r="G178" s="382"/>
      <c r="H178" s="382"/>
    </row>
    <row r="179" spans="2:8" ht="15.6">
      <c r="B179" s="381"/>
      <c r="C179" s="382"/>
      <c r="D179" s="382"/>
      <c r="E179" s="382"/>
      <c r="F179" s="382"/>
      <c r="G179" s="382"/>
      <c r="H179" s="382"/>
    </row>
    <row r="180" spans="2:8" ht="15.6">
      <c r="B180" s="381"/>
      <c r="C180" s="382"/>
      <c r="D180" s="382"/>
      <c r="E180" s="382"/>
      <c r="F180" s="382"/>
      <c r="G180" s="382"/>
      <c r="H180" s="382"/>
    </row>
    <row r="181" spans="2:8" ht="15.6">
      <c r="B181" s="381"/>
      <c r="C181" s="382"/>
      <c r="D181" s="382"/>
      <c r="E181" s="382"/>
      <c r="F181" s="382"/>
      <c r="G181" s="382"/>
      <c r="H181" s="382"/>
    </row>
    <row r="182" spans="2:8" ht="15.6">
      <c r="B182" s="381"/>
      <c r="C182" s="382"/>
      <c r="D182" s="382"/>
      <c r="E182" s="382"/>
      <c r="F182" s="382"/>
      <c r="G182" s="382"/>
      <c r="H182" s="382"/>
    </row>
    <row r="183" spans="2:8" ht="15.6">
      <c r="B183" s="381"/>
      <c r="C183" s="382"/>
      <c r="D183" s="382"/>
      <c r="E183" s="382"/>
      <c r="F183" s="382"/>
      <c r="G183" s="382"/>
      <c r="H183" s="382"/>
    </row>
    <row r="184" spans="2:8" ht="15.6">
      <c r="B184" s="381"/>
      <c r="C184" s="382"/>
      <c r="D184" s="382"/>
      <c r="E184" s="382"/>
      <c r="F184" s="382"/>
      <c r="G184" s="382"/>
      <c r="H184" s="382"/>
    </row>
    <row r="185" spans="2:8" ht="15.6">
      <c r="B185" s="381"/>
      <c r="C185" s="382"/>
      <c r="D185" s="382"/>
      <c r="E185" s="382"/>
      <c r="F185" s="382"/>
      <c r="G185" s="382"/>
      <c r="H185" s="382"/>
    </row>
    <row r="186" spans="2:8" ht="15.6">
      <c r="B186" s="381"/>
      <c r="C186" s="382"/>
      <c r="D186" s="382"/>
      <c r="E186" s="382"/>
      <c r="F186" s="382"/>
      <c r="G186" s="382"/>
      <c r="H186" s="382"/>
    </row>
    <row r="187" spans="2:8" ht="15.6">
      <c r="B187" s="381"/>
      <c r="C187" s="382"/>
      <c r="D187" s="382"/>
      <c r="E187" s="382"/>
      <c r="F187" s="382"/>
      <c r="G187" s="382"/>
      <c r="H187" s="382"/>
    </row>
    <row r="188" spans="2:8" ht="15.6">
      <c r="B188" s="381"/>
      <c r="C188" s="382"/>
      <c r="D188" s="382"/>
      <c r="E188" s="382"/>
      <c r="F188" s="382"/>
      <c r="G188" s="382"/>
      <c r="H188" s="382"/>
    </row>
    <row r="189" spans="2:8" ht="15.6">
      <c r="B189" s="381"/>
      <c r="C189" s="382"/>
      <c r="D189" s="382"/>
      <c r="E189" s="382"/>
      <c r="F189" s="382"/>
      <c r="G189" s="382"/>
      <c r="H189" s="382"/>
    </row>
    <row r="190" spans="2:8" ht="15.6">
      <c r="B190" s="381"/>
      <c r="C190" s="382"/>
      <c r="D190" s="382"/>
      <c r="E190" s="382"/>
      <c r="F190" s="382"/>
      <c r="G190" s="382"/>
      <c r="H190" s="382"/>
    </row>
    <row r="191" spans="2:8" ht="15.6">
      <c r="B191" s="381"/>
      <c r="C191" s="382"/>
      <c r="D191" s="382"/>
      <c r="E191" s="382"/>
      <c r="F191" s="382"/>
      <c r="G191" s="382"/>
      <c r="H191" s="382"/>
    </row>
    <row r="192" spans="2:8" ht="15.6">
      <c r="B192" s="381"/>
      <c r="C192" s="382"/>
      <c r="D192" s="382"/>
      <c r="E192" s="382"/>
      <c r="F192" s="382"/>
      <c r="G192" s="382"/>
      <c r="H192" s="382"/>
    </row>
    <row r="193" spans="2:8" ht="15.6">
      <c r="B193" s="381"/>
      <c r="C193" s="382"/>
      <c r="D193" s="382"/>
      <c r="E193" s="382"/>
      <c r="F193" s="382"/>
      <c r="G193" s="382"/>
      <c r="H193" s="382"/>
    </row>
    <row r="194" spans="2:8" ht="15.6">
      <c r="B194" s="381"/>
      <c r="C194" s="382"/>
      <c r="D194" s="382"/>
      <c r="E194" s="382"/>
      <c r="F194" s="382"/>
      <c r="G194" s="382"/>
      <c r="H194" s="382"/>
    </row>
    <row r="195" spans="2:8" ht="15.6">
      <c r="B195" s="381"/>
      <c r="C195" s="382"/>
      <c r="D195" s="382"/>
      <c r="E195" s="382"/>
      <c r="F195" s="382"/>
      <c r="G195" s="382"/>
      <c r="H195" s="382"/>
    </row>
    <row r="196" spans="2:8" ht="15.6">
      <c r="B196" s="381"/>
      <c r="C196" s="382"/>
      <c r="D196" s="382"/>
      <c r="E196" s="382"/>
      <c r="F196" s="382"/>
      <c r="G196" s="382"/>
      <c r="H196" s="382"/>
    </row>
    <row r="197" spans="2:8" ht="15.6">
      <c r="B197" s="381"/>
      <c r="C197" s="382"/>
      <c r="D197" s="382"/>
      <c r="E197" s="382"/>
      <c r="F197" s="382"/>
      <c r="G197" s="382"/>
      <c r="H197" s="382"/>
    </row>
    <row r="198" spans="2:8" ht="15.6">
      <c r="B198" s="381"/>
      <c r="C198" s="382"/>
      <c r="D198" s="382"/>
      <c r="E198" s="382"/>
      <c r="F198" s="382"/>
      <c r="G198" s="382"/>
      <c r="H198" s="382"/>
    </row>
    <row r="199" spans="2:8" ht="15.6">
      <c r="B199" s="381"/>
      <c r="C199" s="382"/>
      <c r="D199" s="382"/>
      <c r="E199" s="382"/>
      <c r="F199" s="382"/>
      <c r="G199" s="382"/>
      <c r="H199" s="382"/>
    </row>
    <row r="200" spans="2:8" ht="15.6">
      <c r="B200" s="381"/>
      <c r="C200" s="382"/>
      <c r="D200" s="382"/>
      <c r="E200" s="382"/>
      <c r="F200" s="382"/>
      <c r="G200" s="382"/>
      <c r="H200" s="382"/>
    </row>
    <row r="201" spans="2:8" ht="15.6">
      <c r="B201" s="381"/>
      <c r="C201" s="382"/>
      <c r="D201" s="382"/>
      <c r="E201" s="382"/>
      <c r="F201" s="382"/>
      <c r="G201" s="382"/>
      <c r="H201" s="382"/>
    </row>
    <row r="202" spans="2:8" ht="15.6">
      <c r="B202" s="381"/>
      <c r="C202" s="382"/>
      <c r="D202" s="382"/>
      <c r="E202" s="382"/>
      <c r="F202" s="382"/>
      <c r="G202" s="382"/>
      <c r="H202" s="382"/>
    </row>
    <row r="203" spans="2:8" ht="15.6">
      <c r="B203" s="381"/>
      <c r="C203" s="382"/>
      <c r="D203" s="382"/>
      <c r="E203" s="382"/>
      <c r="F203" s="382"/>
      <c r="G203" s="382"/>
      <c r="H203" s="382"/>
    </row>
    <row r="204" spans="2:8" ht="15.6">
      <c r="B204" s="381"/>
      <c r="C204" s="382"/>
      <c r="D204" s="382"/>
      <c r="E204" s="382"/>
      <c r="F204" s="382"/>
      <c r="G204" s="382"/>
      <c r="H204" s="382"/>
    </row>
    <row r="205" spans="2:8" ht="15.6">
      <c r="B205" s="381"/>
      <c r="C205" s="382"/>
      <c r="D205" s="382"/>
      <c r="E205" s="382"/>
      <c r="F205" s="382"/>
      <c r="G205" s="382"/>
      <c r="H205" s="382"/>
    </row>
    <row r="206" spans="2:8" ht="15.6">
      <c r="B206" s="381"/>
      <c r="C206" s="382"/>
      <c r="D206" s="382"/>
      <c r="E206" s="382"/>
      <c r="F206" s="382"/>
      <c r="G206" s="382"/>
      <c r="H206" s="382"/>
    </row>
    <row r="207" spans="2:8" ht="15.6">
      <c r="B207" s="381"/>
      <c r="C207" s="382"/>
      <c r="D207" s="382"/>
      <c r="E207" s="382"/>
      <c r="F207" s="382"/>
      <c r="G207" s="382"/>
      <c r="H207" s="382"/>
    </row>
    <row r="208" spans="2:8" ht="15.6">
      <c r="B208" s="381"/>
      <c r="C208" s="382"/>
      <c r="D208" s="382"/>
      <c r="E208" s="382"/>
      <c r="F208" s="382"/>
      <c r="G208" s="382"/>
      <c r="H208" s="382"/>
    </row>
    <row r="209" spans="2:8" ht="15.6">
      <c r="B209" s="381"/>
      <c r="C209" s="382"/>
      <c r="D209" s="382"/>
      <c r="E209" s="382"/>
      <c r="F209" s="382"/>
      <c r="G209" s="382"/>
      <c r="H209" s="382"/>
    </row>
    <row r="210" spans="2:8" ht="15.6">
      <c r="B210" s="381"/>
      <c r="C210" s="382"/>
      <c r="D210" s="382"/>
      <c r="E210" s="382"/>
      <c r="F210" s="382"/>
      <c r="G210" s="382"/>
      <c r="H210" s="382"/>
    </row>
    <row r="211" spans="2:8" ht="15.6">
      <c r="B211" s="381"/>
      <c r="C211" s="382"/>
      <c r="D211" s="382"/>
      <c r="E211" s="382"/>
      <c r="F211" s="382"/>
      <c r="G211" s="382"/>
      <c r="H211" s="382"/>
    </row>
    <row r="212" spans="2:8" ht="15.6">
      <c r="B212" s="381"/>
      <c r="C212" s="382"/>
      <c r="D212" s="382"/>
      <c r="E212" s="382"/>
      <c r="F212" s="382"/>
      <c r="G212" s="382"/>
      <c r="H212" s="382"/>
    </row>
    <row r="213" spans="2:8" ht="15.6">
      <c r="B213" s="381"/>
      <c r="C213" s="382"/>
      <c r="D213" s="382"/>
      <c r="E213" s="382"/>
      <c r="F213" s="382"/>
      <c r="G213" s="382"/>
      <c r="H213" s="382"/>
    </row>
    <row r="214" spans="2:8" ht="15.6">
      <c r="B214" s="381"/>
      <c r="C214" s="382"/>
      <c r="D214" s="382"/>
      <c r="E214" s="382"/>
      <c r="F214" s="382"/>
      <c r="G214" s="382"/>
      <c r="H214" s="382"/>
    </row>
    <row r="215" spans="2:8" ht="15.6">
      <c r="B215" s="381"/>
      <c r="C215" s="382"/>
      <c r="D215" s="382"/>
      <c r="E215" s="382"/>
      <c r="F215" s="382"/>
      <c r="G215" s="382"/>
      <c r="H215" s="382"/>
    </row>
    <row r="216" spans="2:8" ht="15.6">
      <c r="B216" s="381"/>
      <c r="C216" s="382"/>
      <c r="D216" s="382"/>
      <c r="E216" s="382"/>
      <c r="F216" s="382"/>
      <c r="G216" s="382"/>
      <c r="H216" s="382"/>
    </row>
    <row r="217" spans="2:8" ht="15.6">
      <c r="B217" s="381"/>
      <c r="C217" s="382"/>
      <c r="D217" s="382"/>
      <c r="E217" s="382"/>
      <c r="F217" s="382"/>
      <c r="G217" s="382"/>
      <c r="H217" s="382"/>
    </row>
    <row r="218" spans="2:8" ht="15.6">
      <c r="B218" s="381"/>
      <c r="C218" s="382"/>
      <c r="D218" s="382"/>
      <c r="E218" s="382"/>
      <c r="F218" s="382"/>
      <c r="G218" s="382"/>
      <c r="H218" s="382"/>
    </row>
    <row r="219" spans="2:8" ht="15.6">
      <c r="B219" s="381"/>
      <c r="C219" s="382"/>
      <c r="D219" s="382"/>
      <c r="E219" s="382"/>
      <c r="F219" s="382"/>
      <c r="G219" s="382"/>
      <c r="H219" s="382"/>
    </row>
    <row r="220" spans="2:8" ht="15.6">
      <c r="B220" s="381"/>
      <c r="C220" s="382"/>
      <c r="D220" s="382"/>
      <c r="E220" s="382"/>
      <c r="F220" s="382"/>
      <c r="G220" s="382"/>
      <c r="H220" s="382"/>
    </row>
    <row r="221" spans="2:8" ht="15.6">
      <c r="B221" s="381"/>
      <c r="C221" s="382"/>
      <c r="D221" s="382"/>
      <c r="E221" s="382"/>
      <c r="F221" s="382"/>
      <c r="G221" s="382"/>
      <c r="H221" s="382"/>
    </row>
    <row r="222" spans="2:8" ht="15.6">
      <c r="B222" s="381"/>
      <c r="C222" s="382"/>
      <c r="D222" s="382"/>
      <c r="E222" s="382"/>
      <c r="F222" s="382"/>
      <c r="G222" s="382"/>
      <c r="H222" s="382"/>
    </row>
    <row r="223" spans="2:8" ht="15.6">
      <c r="B223" s="381"/>
      <c r="C223" s="382"/>
      <c r="D223" s="382"/>
      <c r="E223" s="382"/>
      <c r="F223" s="382"/>
      <c r="G223" s="382"/>
      <c r="H223" s="382"/>
    </row>
    <row r="224" spans="2:8" ht="15.6">
      <c r="B224" s="381"/>
      <c r="C224" s="382"/>
      <c r="D224" s="382"/>
      <c r="E224" s="382"/>
      <c r="F224" s="382"/>
      <c r="G224" s="382"/>
      <c r="H224" s="382"/>
    </row>
    <row r="225" spans="2:8" ht="15.6">
      <c r="B225" s="381"/>
      <c r="C225" s="382"/>
      <c r="D225" s="382"/>
      <c r="E225" s="382"/>
      <c r="F225" s="382"/>
      <c r="G225" s="382"/>
      <c r="H225" s="382"/>
    </row>
    <row r="226" spans="2:8" ht="15.6">
      <c r="B226" s="381"/>
      <c r="C226" s="382"/>
      <c r="D226" s="382"/>
      <c r="E226" s="382"/>
      <c r="F226" s="382"/>
      <c r="G226" s="382"/>
      <c r="H226" s="382"/>
    </row>
    <row r="227" spans="2:8" ht="15.6">
      <c r="B227" s="381"/>
      <c r="C227" s="382"/>
      <c r="D227" s="382"/>
      <c r="E227" s="382"/>
      <c r="F227" s="382"/>
      <c r="G227" s="382"/>
      <c r="H227" s="382"/>
    </row>
    <row r="228" spans="2:8" ht="15.6">
      <c r="B228" s="381"/>
      <c r="C228" s="382"/>
      <c r="D228" s="382"/>
      <c r="E228" s="382"/>
      <c r="F228" s="382"/>
      <c r="G228" s="382"/>
      <c r="H228" s="382"/>
    </row>
    <row r="229" spans="2:8" ht="15.6">
      <c r="B229" s="381"/>
      <c r="C229" s="382"/>
      <c r="D229" s="382"/>
      <c r="E229" s="382"/>
      <c r="F229" s="382"/>
      <c r="G229" s="382"/>
      <c r="H229" s="382"/>
    </row>
    <row r="230" spans="2:8" ht="15.6">
      <c r="B230" s="381"/>
      <c r="C230" s="382"/>
      <c r="D230" s="382"/>
      <c r="E230" s="382"/>
      <c r="F230" s="382"/>
      <c r="G230" s="382"/>
      <c r="H230" s="382"/>
    </row>
    <row r="231" spans="2:8" ht="15.6">
      <c r="B231" s="381"/>
      <c r="C231" s="382"/>
      <c r="D231" s="382"/>
      <c r="E231" s="382"/>
      <c r="F231" s="382"/>
      <c r="G231" s="382"/>
      <c r="H231" s="382"/>
    </row>
    <row r="232" spans="2:8" ht="15.6">
      <c r="B232" s="381"/>
      <c r="C232" s="382"/>
      <c r="D232" s="382"/>
      <c r="E232" s="382"/>
      <c r="F232" s="382"/>
      <c r="G232" s="382"/>
      <c r="H232" s="382"/>
    </row>
    <row r="233" spans="2:8" ht="15.6">
      <c r="B233" s="381"/>
      <c r="C233" s="382"/>
      <c r="D233" s="382"/>
      <c r="E233" s="382"/>
      <c r="F233" s="382"/>
      <c r="G233" s="382"/>
      <c r="H233" s="382"/>
    </row>
    <row r="234" spans="2:8" ht="15.6">
      <c r="B234" s="381"/>
      <c r="C234" s="382"/>
      <c r="D234" s="382"/>
      <c r="E234" s="382"/>
      <c r="F234" s="382"/>
      <c r="G234" s="382"/>
      <c r="H234" s="382"/>
    </row>
    <row r="235" spans="2:8" ht="15.6">
      <c r="B235" s="381"/>
      <c r="C235" s="382"/>
      <c r="D235" s="382"/>
      <c r="E235" s="382"/>
      <c r="F235" s="382"/>
      <c r="G235" s="382"/>
      <c r="H235" s="382"/>
    </row>
    <row r="236" spans="2:8" ht="15.6">
      <c r="B236" s="381"/>
      <c r="C236" s="382"/>
      <c r="D236" s="382"/>
      <c r="E236" s="382"/>
      <c r="F236" s="382"/>
      <c r="G236" s="382"/>
      <c r="H236" s="382"/>
    </row>
    <row r="237" spans="2:8" ht="15.6">
      <c r="B237" s="381"/>
      <c r="C237" s="382"/>
      <c r="D237" s="382"/>
      <c r="E237" s="382"/>
      <c r="F237" s="382"/>
      <c r="G237" s="382"/>
      <c r="H237" s="382"/>
    </row>
    <row r="238" spans="2:8" ht="15.6">
      <c r="B238" s="381"/>
      <c r="C238" s="382"/>
      <c r="D238" s="382"/>
      <c r="E238" s="382"/>
      <c r="F238" s="382"/>
      <c r="G238" s="382"/>
      <c r="H238" s="382"/>
    </row>
    <row r="239" spans="2:8" ht="15.6">
      <c r="B239" s="381"/>
      <c r="C239" s="382"/>
      <c r="D239" s="382"/>
      <c r="E239" s="382"/>
      <c r="F239" s="382"/>
      <c r="G239" s="382"/>
      <c r="H239" s="382"/>
    </row>
    <row r="240" spans="2:8" ht="15.6">
      <c r="B240" s="381"/>
      <c r="C240" s="382"/>
      <c r="D240" s="382"/>
      <c r="E240" s="382"/>
      <c r="F240" s="382"/>
      <c r="G240" s="382"/>
      <c r="H240" s="382"/>
    </row>
    <row r="241" spans="2:8" ht="15.6">
      <c r="B241" s="381"/>
      <c r="C241" s="382"/>
      <c r="D241" s="382"/>
      <c r="E241" s="382"/>
      <c r="F241" s="382"/>
      <c r="G241" s="382"/>
      <c r="H241" s="382"/>
    </row>
    <row r="242" spans="2:8" ht="15.6">
      <c r="B242" s="381"/>
      <c r="C242" s="382"/>
      <c r="D242" s="382"/>
      <c r="E242" s="382"/>
      <c r="F242" s="382"/>
      <c r="G242" s="382"/>
      <c r="H242" s="382"/>
    </row>
    <row r="243" spans="2:8" ht="15.6">
      <c r="B243" s="381"/>
      <c r="C243" s="382"/>
      <c r="D243" s="382"/>
      <c r="E243" s="382"/>
      <c r="F243" s="382"/>
      <c r="G243" s="382"/>
      <c r="H243" s="382"/>
    </row>
    <row r="244" spans="2:8" ht="15.6">
      <c r="B244" s="381"/>
      <c r="C244" s="382"/>
      <c r="D244" s="382"/>
      <c r="E244" s="382"/>
      <c r="F244" s="382"/>
      <c r="G244" s="382"/>
      <c r="H244" s="382"/>
    </row>
    <row r="245" spans="2:8" ht="15.6">
      <c r="B245" s="381"/>
      <c r="C245" s="382"/>
      <c r="D245" s="382"/>
      <c r="E245" s="382"/>
      <c r="F245" s="382"/>
      <c r="G245" s="382"/>
      <c r="H245" s="382"/>
    </row>
    <row r="246" spans="2:8" ht="15.6">
      <c r="B246" s="381"/>
      <c r="C246" s="382"/>
      <c r="D246" s="382"/>
      <c r="E246" s="382"/>
      <c r="F246" s="382"/>
      <c r="G246" s="382"/>
      <c r="H246" s="382"/>
    </row>
    <row r="247" spans="2:8" ht="15.6">
      <c r="B247" s="381"/>
      <c r="C247" s="382"/>
      <c r="D247" s="382"/>
      <c r="E247" s="382"/>
      <c r="F247" s="382"/>
      <c r="G247" s="382"/>
      <c r="H247" s="382"/>
    </row>
    <row r="248" spans="2:8" ht="15.6">
      <c r="B248" s="381"/>
      <c r="C248" s="382"/>
      <c r="D248" s="382"/>
      <c r="E248" s="382"/>
      <c r="F248" s="382"/>
      <c r="G248" s="382"/>
      <c r="H248" s="382"/>
    </row>
    <row r="249" spans="2:8" ht="15.6">
      <c r="B249" s="381"/>
      <c r="C249" s="382"/>
      <c r="D249" s="382"/>
      <c r="E249" s="382"/>
      <c r="F249" s="382"/>
      <c r="G249" s="382"/>
      <c r="H249" s="382"/>
    </row>
    <row r="250" spans="2:8" ht="15.6">
      <c r="B250" s="381"/>
      <c r="C250" s="382"/>
      <c r="D250" s="382"/>
      <c r="E250" s="382"/>
      <c r="F250" s="382"/>
      <c r="G250" s="382"/>
      <c r="H250" s="382"/>
    </row>
    <row r="251" spans="2:8" ht="15.6">
      <c r="B251" s="381"/>
      <c r="C251" s="382"/>
      <c r="D251" s="382"/>
      <c r="E251" s="382"/>
      <c r="F251" s="382"/>
      <c r="G251" s="382"/>
      <c r="H251" s="382"/>
    </row>
    <row r="252" spans="2:8" ht="15.6">
      <c r="B252" s="381"/>
      <c r="C252" s="382"/>
      <c r="D252" s="382"/>
      <c r="E252" s="382"/>
      <c r="F252" s="382"/>
      <c r="G252" s="382"/>
      <c r="H252" s="382"/>
    </row>
    <row r="253" spans="2:8" ht="15.6">
      <c r="B253" s="381"/>
      <c r="C253" s="382"/>
      <c r="D253" s="382"/>
      <c r="E253" s="382"/>
      <c r="F253" s="382"/>
      <c r="G253" s="382"/>
      <c r="H253" s="382"/>
    </row>
    <row r="254" spans="2:8" ht="15.6">
      <c r="B254" s="381"/>
      <c r="C254" s="382"/>
      <c r="D254" s="382"/>
      <c r="E254" s="382"/>
      <c r="F254" s="382"/>
      <c r="G254" s="382"/>
      <c r="H254" s="382"/>
    </row>
    <row r="255" spans="2:8" ht="15.6">
      <c r="B255" s="381"/>
      <c r="C255" s="382"/>
      <c r="D255" s="382"/>
      <c r="E255" s="382"/>
      <c r="F255" s="382"/>
      <c r="G255" s="382"/>
      <c r="H255" s="382"/>
    </row>
    <row r="256" spans="2:8" ht="15.6">
      <c r="B256" s="381"/>
      <c r="C256" s="382"/>
      <c r="D256" s="382"/>
      <c r="E256" s="382"/>
      <c r="F256" s="382"/>
      <c r="G256" s="382"/>
      <c r="H256" s="382"/>
    </row>
    <row r="257" spans="2:8" ht="15.6">
      <c r="B257" s="381"/>
      <c r="C257" s="382"/>
      <c r="D257" s="382"/>
      <c r="E257" s="382"/>
      <c r="F257" s="382"/>
      <c r="G257" s="382"/>
      <c r="H257" s="382"/>
    </row>
    <row r="258" spans="2:8" ht="15.6">
      <c r="B258" s="381"/>
      <c r="C258" s="382"/>
      <c r="D258" s="382"/>
      <c r="E258" s="382"/>
      <c r="F258" s="382"/>
      <c r="G258" s="382"/>
      <c r="H258" s="382"/>
    </row>
    <row r="259" spans="2:8" ht="15.6">
      <c r="B259" s="381"/>
      <c r="C259" s="382"/>
      <c r="D259" s="382"/>
      <c r="E259" s="382"/>
      <c r="F259" s="382"/>
      <c r="G259" s="382"/>
      <c r="H259" s="382"/>
    </row>
    <row r="260" spans="2:8" ht="15.6">
      <c r="B260" s="381"/>
      <c r="C260" s="382"/>
      <c r="D260" s="382"/>
      <c r="E260" s="382"/>
      <c r="F260" s="382"/>
      <c r="G260" s="382"/>
      <c r="H260" s="382"/>
    </row>
    <row r="261" spans="2:8" ht="15.6">
      <c r="B261" s="381"/>
      <c r="C261" s="382"/>
      <c r="D261" s="382"/>
      <c r="E261" s="382"/>
      <c r="F261" s="382"/>
      <c r="G261" s="382"/>
      <c r="H261" s="382"/>
    </row>
    <row r="262" spans="2:8" ht="15.6">
      <c r="B262" s="381"/>
      <c r="C262" s="382"/>
      <c r="D262" s="382"/>
      <c r="E262" s="382"/>
      <c r="F262" s="382"/>
      <c r="G262" s="382"/>
      <c r="H262" s="382"/>
    </row>
    <row r="263" spans="2:8" ht="15.6">
      <c r="B263" s="381"/>
      <c r="C263" s="382"/>
      <c r="D263" s="382"/>
      <c r="E263" s="382"/>
      <c r="F263" s="382"/>
      <c r="G263" s="382"/>
      <c r="H263" s="382"/>
    </row>
    <row r="264" spans="2:8" ht="15.6">
      <c r="B264" s="381"/>
      <c r="C264" s="382"/>
      <c r="D264" s="382"/>
      <c r="E264" s="382"/>
      <c r="F264" s="382"/>
      <c r="G264" s="382"/>
      <c r="H264" s="382"/>
    </row>
    <row r="265" spans="2:8" ht="15.6">
      <c r="B265" s="381"/>
      <c r="C265" s="382"/>
      <c r="D265" s="382"/>
      <c r="E265" s="382"/>
      <c r="F265" s="382"/>
      <c r="G265" s="382"/>
      <c r="H265" s="382"/>
    </row>
    <row r="266" spans="2:8" ht="15.6">
      <c r="B266" s="381"/>
      <c r="C266" s="382"/>
      <c r="D266" s="382"/>
      <c r="E266" s="382"/>
      <c r="F266" s="382"/>
      <c r="G266" s="382"/>
      <c r="H266" s="382"/>
    </row>
    <row r="267" spans="2:8" ht="15.6">
      <c r="B267" s="381"/>
      <c r="C267" s="382"/>
      <c r="D267" s="382"/>
      <c r="E267" s="382"/>
      <c r="F267" s="382"/>
      <c r="G267" s="382"/>
      <c r="H267" s="382"/>
    </row>
    <row r="268" spans="2:8" ht="15.6">
      <c r="B268" s="381"/>
      <c r="C268" s="382"/>
      <c r="D268" s="382"/>
      <c r="E268" s="382"/>
      <c r="F268" s="382"/>
      <c r="G268" s="382"/>
      <c r="H268" s="382"/>
    </row>
    <row r="269" spans="2:8" ht="15.6">
      <c r="B269" s="381"/>
      <c r="C269" s="382"/>
      <c r="D269" s="382"/>
      <c r="E269" s="382"/>
      <c r="F269" s="382"/>
      <c r="G269" s="382"/>
      <c r="H269" s="382"/>
    </row>
    <row r="270" spans="2:8" ht="15.6">
      <c r="B270" s="381"/>
      <c r="C270" s="382"/>
      <c r="D270" s="382"/>
      <c r="E270" s="382"/>
      <c r="F270" s="382"/>
      <c r="G270" s="382"/>
      <c r="H270" s="382"/>
    </row>
    <row r="271" spans="2:8" ht="15.6">
      <c r="B271" s="381"/>
      <c r="C271" s="382"/>
      <c r="D271" s="382"/>
      <c r="E271" s="382"/>
      <c r="F271" s="382"/>
      <c r="G271" s="382"/>
      <c r="H271" s="382"/>
    </row>
    <row r="272" spans="2:8" ht="15.6">
      <c r="B272" s="381"/>
      <c r="C272" s="382"/>
      <c r="D272" s="382"/>
      <c r="E272" s="382"/>
      <c r="F272" s="382"/>
      <c r="G272" s="382"/>
      <c r="H272" s="382"/>
    </row>
    <row r="273" spans="2:8" ht="15.6">
      <c r="B273" s="381"/>
      <c r="C273" s="382"/>
      <c r="D273" s="382"/>
      <c r="E273" s="382"/>
      <c r="F273" s="382"/>
      <c r="G273" s="382"/>
      <c r="H273" s="382"/>
    </row>
    <row r="274" spans="2:8" ht="15.6">
      <c r="B274" s="381"/>
      <c r="C274" s="382"/>
      <c r="D274" s="382"/>
      <c r="E274" s="382"/>
      <c r="F274" s="382"/>
      <c r="G274" s="382"/>
      <c r="H274" s="382"/>
    </row>
    <row r="275" spans="2:8" ht="15.6">
      <c r="B275" s="381"/>
      <c r="C275" s="382"/>
      <c r="D275" s="382"/>
      <c r="E275" s="382"/>
      <c r="F275" s="382"/>
      <c r="G275" s="382"/>
      <c r="H275" s="382"/>
    </row>
    <row r="276" spans="2:8" ht="15.6">
      <c r="B276" s="381"/>
      <c r="C276" s="382"/>
      <c r="D276" s="382"/>
      <c r="E276" s="382"/>
      <c r="F276" s="382"/>
      <c r="G276" s="382"/>
      <c r="H276" s="382"/>
    </row>
    <row r="277" spans="2:8" ht="15.6">
      <c r="B277" s="381"/>
      <c r="C277" s="382"/>
      <c r="D277" s="382"/>
      <c r="E277" s="382"/>
      <c r="F277" s="382"/>
      <c r="G277" s="382"/>
      <c r="H277" s="382"/>
    </row>
    <row r="278" spans="2:8" ht="15.6">
      <c r="B278" s="381"/>
      <c r="C278" s="382"/>
      <c r="D278" s="382"/>
      <c r="E278" s="382"/>
      <c r="F278" s="382"/>
      <c r="G278" s="382"/>
      <c r="H278" s="382"/>
    </row>
    <row r="279" spans="2:8" ht="15.6">
      <c r="B279" s="381"/>
      <c r="C279" s="382"/>
      <c r="D279" s="382"/>
      <c r="E279" s="382"/>
      <c r="F279" s="382"/>
      <c r="G279" s="382"/>
      <c r="H279" s="382"/>
    </row>
    <row r="280" spans="2:8" ht="15.6">
      <c r="B280" s="381"/>
      <c r="C280" s="382"/>
      <c r="D280" s="382"/>
      <c r="E280" s="382"/>
      <c r="F280" s="382"/>
      <c r="G280" s="382"/>
      <c r="H280" s="382"/>
    </row>
    <row r="281" spans="2:8" ht="15.6">
      <c r="B281" s="381"/>
      <c r="C281" s="382"/>
      <c r="D281" s="382"/>
      <c r="E281" s="382"/>
      <c r="F281" s="382"/>
      <c r="G281" s="382"/>
      <c r="H281" s="382"/>
    </row>
    <row r="282" spans="2:8" ht="15.6">
      <c r="B282" s="381"/>
      <c r="C282" s="382"/>
      <c r="D282" s="382"/>
      <c r="E282" s="382"/>
      <c r="F282" s="382"/>
      <c r="G282" s="382"/>
      <c r="H282" s="382"/>
    </row>
    <row r="283" spans="2:8" ht="15.6">
      <c r="B283" s="381"/>
      <c r="C283" s="382"/>
      <c r="D283" s="382"/>
      <c r="E283" s="382"/>
      <c r="F283" s="382"/>
      <c r="G283" s="382"/>
      <c r="H283" s="382"/>
    </row>
    <row r="284" spans="2:8" ht="15.6">
      <c r="B284" s="381"/>
      <c r="C284" s="382"/>
      <c r="D284" s="382"/>
      <c r="E284" s="382"/>
      <c r="F284" s="382"/>
      <c r="G284" s="382"/>
      <c r="H284" s="382"/>
    </row>
    <row r="285" spans="2:8" ht="15.6">
      <c r="B285" s="381"/>
      <c r="C285" s="382"/>
      <c r="D285" s="382"/>
      <c r="E285" s="382"/>
      <c r="F285" s="382"/>
      <c r="G285" s="382"/>
      <c r="H285" s="382"/>
    </row>
    <row r="286" spans="2:8" ht="15.6">
      <c r="B286" s="381"/>
      <c r="C286" s="382"/>
      <c r="D286" s="382"/>
      <c r="E286" s="382"/>
      <c r="F286" s="382"/>
      <c r="G286" s="382"/>
      <c r="H286" s="382"/>
    </row>
    <row r="287" spans="2:8" ht="15.6">
      <c r="B287" s="381"/>
      <c r="C287" s="382"/>
      <c r="D287" s="382"/>
      <c r="E287" s="382"/>
      <c r="F287" s="382"/>
      <c r="G287" s="382"/>
      <c r="H287" s="382"/>
    </row>
    <row r="288" spans="2:8" ht="15.6">
      <c r="B288" s="381"/>
      <c r="C288" s="382"/>
      <c r="D288" s="382"/>
      <c r="E288" s="382"/>
      <c r="F288" s="382"/>
      <c r="G288" s="382"/>
      <c r="H288" s="382"/>
    </row>
    <row r="289" spans="2:8" ht="15.6">
      <c r="B289" s="381"/>
      <c r="C289" s="382"/>
      <c r="D289" s="382"/>
      <c r="E289" s="382"/>
      <c r="F289" s="382"/>
      <c r="G289" s="382"/>
      <c r="H289" s="382"/>
    </row>
    <row r="290" spans="2:8" ht="15.6">
      <c r="B290" s="381"/>
      <c r="C290" s="382"/>
      <c r="D290" s="382"/>
      <c r="E290" s="382"/>
      <c r="F290" s="382"/>
      <c r="G290" s="382"/>
      <c r="H290" s="382"/>
    </row>
    <row r="291" spans="2:8" ht="15.6">
      <c r="B291" s="381"/>
      <c r="C291" s="382"/>
      <c r="D291" s="382"/>
      <c r="E291" s="382"/>
      <c r="F291" s="382"/>
      <c r="G291" s="382"/>
      <c r="H291" s="382"/>
    </row>
    <row r="292" spans="2:8" ht="15.6">
      <c r="B292" s="381"/>
      <c r="C292" s="382"/>
      <c r="D292" s="382"/>
      <c r="E292" s="382"/>
      <c r="F292" s="382"/>
      <c r="G292" s="382"/>
      <c r="H292" s="382"/>
    </row>
    <row r="293" spans="2:8" ht="15.6">
      <c r="B293" s="381"/>
      <c r="C293" s="382"/>
      <c r="D293" s="382"/>
      <c r="E293" s="382"/>
      <c r="F293" s="382"/>
      <c r="G293" s="382"/>
      <c r="H293" s="382"/>
    </row>
    <row r="294" spans="2:8" ht="15.6">
      <c r="B294" s="381"/>
      <c r="C294" s="382"/>
      <c r="D294" s="382"/>
      <c r="E294" s="382"/>
      <c r="F294" s="382"/>
      <c r="G294" s="382"/>
      <c r="H294" s="382"/>
    </row>
    <row r="295" spans="2:8" ht="15.6">
      <c r="B295" s="381"/>
      <c r="C295" s="382"/>
      <c r="D295" s="382"/>
      <c r="E295" s="382"/>
      <c r="F295" s="382"/>
      <c r="G295" s="382"/>
      <c r="H295" s="382"/>
    </row>
    <row r="296" spans="2:8" ht="15.6">
      <c r="B296" s="381"/>
      <c r="C296" s="382"/>
      <c r="D296" s="382"/>
      <c r="E296" s="382"/>
      <c r="F296" s="382"/>
      <c r="G296" s="382"/>
      <c r="H296" s="382"/>
    </row>
    <row r="297" spans="2:8" ht="15.6">
      <c r="B297" s="381"/>
      <c r="C297" s="382"/>
      <c r="D297" s="382"/>
      <c r="E297" s="382"/>
      <c r="F297" s="382"/>
      <c r="G297" s="382"/>
      <c r="H297" s="382"/>
    </row>
    <row r="298" spans="2:8" ht="15.6">
      <c r="B298" s="381"/>
      <c r="C298" s="382"/>
      <c r="D298" s="382"/>
      <c r="E298" s="382"/>
      <c r="F298" s="382"/>
      <c r="G298" s="382"/>
      <c r="H298" s="382"/>
    </row>
    <row r="299" spans="2:8" ht="15.6">
      <c r="B299" s="381"/>
      <c r="C299" s="382"/>
      <c r="D299" s="382"/>
      <c r="E299" s="382"/>
      <c r="F299" s="382"/>
      <c r="G299" s="382"/>
      <c r="H299" s="382"/>
    </row>
    <row r="300" spans="2:8" ht="15.6">
      <c r="B300" s="381"/>
      <c r="C300" s="382"/>
      <c r="D300" s="382"/>
      <c r="E300" s="382"/>
      <c r="F300" s="382"/>
      <c r="G300" s="382"/>
      <c r="H300" s="382"/>
    </row>
    <row r="301" spans="2:8" ht="15.6">
      <c r="B301" s="381"/>
      <c r="C301" s="382"/>
      <c r="D301" s="382"/>
      <c r="E301" s="382"/>
      <c r="F301" s="382"/>
      <c r="G301" s="382"/>
      <c r="H301" s="382"/>
    </row>
    <row r="302" spans="2:8" ht="15.6">
      <c r="B302" s="381"/>
      <c r="C302" s="382"/>
      <c r="D302" s="382"/>
      <c r="E302" s="382"/>
      <c r="F302" s="382"/>
      <c r="G302" s="382"/>
      <c r="H302" s="382"/>
    </row>
    <row r="303" spans="2:8" ht="15.6">
      <c r="B303" s="381"/>
      <c r="C303" s="382"/>
      <c r="D303" s="382"/>
      <c r="E303" s="382"/>
      <c r="F303" s="382"/>
      <c r="G303" s="382"/>
      <c r="H303" s="382"/>
    </row>
  </sheetData>
  <mergeCells count="13">
    <mergeCell ref="B1:H1"/>
    <mergeCell ref="B2:H2"/>
    <mergeCell ref="B41:G41"/>
    <mergeCell ref="B47:H47"/>
    <mergeCell ref="B98:G98"/>
    <mergeCell ref="B102:G102"/>
    <mergeCell ref="B105:H105"/>
    <mergeCell ref="B3:H3"/>
    <mergeCell ref="B75:H75"/>
    <mergeCell ref="B48:H48"/>
    <mergeCell ref="B49:H49"/>
    <mergeCell ref="B76:H76"/>
    <mergeCell ref="B77:H77"/>
  </mergeCells>
  <phoneticPr fontId="61" type="noConversion"/>
  <printOptions horizontalCentered="1"/>
  <pageMargins left="0.25" right="0.25" top="0.75" bottom="0.75" header="0.3" footer="0.3"/>
  <pageSetup scale="41" fitToHeight="0" orientation="landscape" r:id="rId1"/>
  <headerFooter alignWithMargins="0"/>
  <rowBreaks count="2" manualBreakCount="2">
    <brk id="46" max="7" man="1"/>
    <brk id="74"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M67"/>
  <sheetViews>
    <sheetView view="pageBreakPreview" zoomScale="60" zoomScaleNormal="70" workbookViewId="0">
      <selection sqref="A1:K1"/>
    </sheetView>
  </sheetViews>
  <sheetFormatPr defaultColWidth="8.81640625" defaultRowHeight="15"/>
  <cols>
    <col min="1" max="1" width="28.08984375" customWidth="1"/>
    <col min="2" max="2" width="22.90625" customWidth="1"/>
    <col min="3" max="3" width="2.1796875" customWidth="1"/>
    <col min="4" max="4" width="20.08984375" customWidth="1"/>
    <col min="5" max="5" width="1.81640625" customWidth="1"/>
    <col min="6" max="6" width="18.6328125" customWidth="1"/>
    <col min="7" max="7" width="12.81640625" customWidth="1"/>
    <col min="8" max="8" width="12.453125" customWidth="1"/>
    <col min="9" max="9" width="12.81640625" customWidth="1"/>
    <col min="10" max="10" width="1.453125" customWidth="1"/>
    <col min="11" max="11" width="13.453125" customWidth="1"/>
    <col min="13" max="13" width="8.453125" bestFit="1" customWidth="1"/>
    <col min="17" max="17" width="12.6328125" bestFit="1" customWidth="1"/>
  </cols>
  <sheetData>
    <row r="1" spans="1:12" s="212" customFormat="1" ht="15.6">
      <c r="A1" s="1371"/>
      <c r="B1" s="1371"/>
      <c r="C1" s="1371"/>
      <c r="D1" s="1371"/>
      <c r="E1" s="1371"/>
      <c r="F1" s="1371"/>
      <c r="G1" s="1371"/>
      <c r="H1" s="1371"/>
      <c r="I1" s="1371"/>
      <c r="J1" s="1371"/>
      <c r="K1" s="1371"/>
      <c r="L1" s="220"/>
    </row>
    <row r="2" spans="1:12" s="212" customFormat="1" ht="17.399999999999999">
      <c r="A2" s="1372" t="s">
        <v>865</v>
      </c>
      <c r="B2" s="1372"/>
      <c r="C2" s="1372"/>
      <c r="D2" s="1372"/>
      <c r="E2" s="1372"/>
      <c r="F2" s="1372"/>
      <c r="G2" s="1372"/>
      <c r="H2" s="1372"/>
      <c r="I2" s="1372"/>
      <c r="J2" s="1372"/>
      <c r="K2" s="1372"/>
      <c r="L2" s="220"/>
    </row>
    <row r="3" spans="1:12" s="212" customFormat="1" ht="17.399999999999999">
      <c r="A3" s="1372" t="str">
        <f>'Appendix A'!$E$9</f>
        <v>New York Transco LLC</v>
      </c>
      <c r="B3" s="1372"/>
      <c r="C3" s="1372"/>
      <c r="D3" s="1372"/>
      <c r="E3" s="1372"/>
      <c r="F3" s="1372"/>
      <c r="G3" s="1372"/>
      <c r="H3" s="1372"/>
      <c r="I3" s="1372"/>
      <c r="J3" s="1372"/>
      <c r="K3" s="1372"/>
      <c r="L3" s="220"/>
    </row>
    <row r="4" spans="1:12">
      <c r="A4" s="223"/>
      <c r="B4" s="223"/>
      <c r="C4" s="223"/>
      <c r="D4" s="223"/>
      <c r="E4" s="223"/>
      <c r="F4" s="223"/>
      <c r="G4" s="223"/>
      <c r="H4" s="223"/>
      <c r="I4" s="223"/>
      <c r="J4" s="223"/>
      <c r="K4" s="223"/>
    </row>
    <row r="5" spans="1:12">
      <c r="A5" s="223"/>
      <c r="B5" s="223"/>
      <c r="C5" s="223"/>
      <c r="D5" s="223"/>
      <c r="E5" s="223"/>
      <c r="F5" s="223"/>
      <c r="G5" s="223"/>
      <c r="H5" s="223"/>
      <c r="I5" s="223"/>
      <c r="J5" s="223"/>
      <c r="K5" s="223"/>
    </row>
    <row r="6" spans="1:12" ht="16.2" thickBot="1">
      <c r="B6" s="364"/>
      <c r="C6" s="364"/>
      <c r="D6" s="363">
        <v>2021</v>
      </c>
      <c r="E6" s="225"/>
      <c r="F6" s="225"/>
      <c r="G6" s="363">
        <v>2021</v>
      </c>
      <c r="H6" s="225"/>
      <c r="J6" s="225"/>
      <c r="K6" s="225"/>
      <c r="L6" s="220"/>
    </row>
    <row r="7" spans="1:12" ht="46.8">
      <c r="A7" s="1107" t="s">
        <v>866</v>
      </c>
      <c r="B7" s="225"/>
      <c r="C7" s="225"/>
      <c r="D7" s="1132" t="s">
        <v>867</v>
      </c>
      <c r="E7" s="225"/>
      <c r="F7" s="225"/>
      <c r="G7" s="1132" t="s">
        <v>868</v>
      </c>
      <c r="I7" s="1132" t="s">
        <v>869</v>
      </c>
      <c r="J7" s="222"/>
      <c r="K7" s="222"/>
      <c r="L7" s="220"/>
    </row>
    <row r="8" spans="1:12" ht="15.6">
      <c r="B8" s="225"/>
      <c r="C8" s="225"/>
      <c r="D8" s="284"/>
      <c r="E8" s="225"/>
      <c r="F8" s="225"/>
      <c r="G8" s="284"/>
      <c r="I8" s="285"/>
      <c r="J8" s="222"/>
      <c r="K8" s="222"/>
      <c r="L8" s="220"/>
    </row>
    <row r="9" spans="1:12" ht="15.6">
      <c r="A9" s="1127" t="s">
        <v>870</v>
      </c>
      <c r="C9" s="226"/>
      <c r="D9" s="1128">
        <v>33040030</v>
      </c>
      <c r="E9" s="227"/>
      <c r="F9" s="228" t="s">
        <v>871</v>
      </c>
      <c r="G9" s="1128">
        <v>30640587</v>
      </c>
      <c r="H9" s="228" t="s">
        <v>872</v>
      </c>
      <c r="I9" s="1130">
        <f t="shared" ref="I9:I14" si="0">IF(G9=0,0,D9-G9)</f>
        <v>2399443</v>
      </c>
      <c r="J9" s="222"/>
      <c r="K9" s="222"/>
      <c r="L9" s="220"/>
    </row>
    <row r="10" spans="1:12" ht="15.6">
      <c r="A10" s="1126" t="s">
        <v>873</v>
      </c>
      <c r="C10" s="226"/>
      <c r="D10" s="1128">
        <v>0</v>
      </c>
      <c r="E10" s="227"/>
      <c r="F10" s="228"/>
      <c r="G10" s="1128">
        <v>0</v>
      </c>
      <c r="H10" s="228"/>
      <c r="I10" s="1130">
        <f t="shared" si="0"/>
        <v>0</v>
      </c>
      <c r="J10" s="222"/>
      <c r="K10" s="222"/>
      <c r="L10" s="220"/>
    </row>
    <row r="11" spans="1:12" ht="15.6" customHeight="1">
      <c r="A11" s="1126" t="s">
        <v>874</v>
      </c>
      <c r="C11" s="226"/>
      <c r="D11" s="1128">
        <v>496355</v>
      </c>
      <c r="E11" s="227"/>
      <c r="F11" s="228"/>
      <c r="G11" s="1128">
        <v>496227</v>
      </c>
      <c r="H11" s="228"/>
      <c r="I11" s="1130">
        <f t="shared" si="0"/>
        <v>128</v>
      </c>
      <c r="J11" s="222"/>
      <c r="K11" s="222"/>
      <c r="L11" s="220"/>
    </row>
    <row r="12" spans="1:12" ht="15.6" customHeight="1">
      <c r="A12" s="1222" t="s">
        <v>875</v>
      </c>
      <c r="C12" s="226"/>
      <c r="D12" s="1128">
        <v>17152574</v>
      </c>
      <c r="E12" s="227"/>
      <c r="F12" s="228"/>
      <c r="G12" s="1128">
        <v>13247271</v>
      </c>
      <c r="H12" s="228"/>
      <c r="I12" s="1130">
        <f t="shared" si="0"/>
        <v>3905303</v>
      </c>
      <c r="J12" s="222"/>
      <c r="K12" s="222"/>
      <c r="L12" s="220"/>
    </row>
    <row r="13" spans="1:12" ht="15.6" customHeight="1">
      <c r="A13" s="1278" t="s">
        <v>876</v>
      </c>
      <c r="C13" s="226"/>
      <c r="D13" s="1128">
        <v>0</v>
      </c>
      <c r="E13" s="227"/>
      <c r="F13" s="228"/>
      <c r="G13" s="1128">
        <v>937372</v>
      </c>
      <c r="H13" s="228"/>
      <c r="I13" s="1130">
        <f t="shared" si="0"/>
        <v>-937372</v>
      </c>
      <c r="J13" s="222"/>
      <c r="K13" s="222"/>
      <c r="L13" s="220"/>
    </row>
    <row r="14" spans="1:12" ht="15.6">
      <c r="A14" s="1278" t="s">
        <v>877</v>
      </c>
      <c r="C14" s="226"/>
      <c r="D14" s="1128">
        <v>0</v>
      </c>
      <c r="E14" s="227"/>
      <c r="F14" s="228"/>
      <c r="G14" s="1128">
        <v>5646190</v>
      </c>
      <c r="H14" s="228"/>
      <c r="I14" s="1130">
        <f t="shared" si="0"/>
        <v>-5646190</v>
      </c>
      <c r="J14" s="222"/>
      <c r="K14" s="222"/>
      <c r="L14" s="220"/>
    </row>
    <row r="15" spans="1:12" ht="16.2" thickBot="1">
      <c r="A15" s="363"/>
      <c r="C15" s="226"/>
      <c r="D15" s="1128"/>
      <c r="E15" s="227"/>
      <c r="F15" s="228"/>
      <c r="G15" s="1128"/>
      <c r="H15" s="228"/>
      <c r="I15" s="1130"/>
      <c r="J15" s="222"/>
      <c r="K15" s="222"/>
      <c r="L15" s="220"/>
    </row>
    <row r="16" spans="1:12" ht="16.2" thickBot="1">
      <c r="A16" s="363" t="s">
        <v>43</v>
      </c>
      <c r="C16" s="226"/>
      <c r="D16" s="1129">
        <f>SUM(D9:D15)</f>
        <v>50688959</v>
      </c>
      <c r="E16" s="227"/>
      <c r="F16" s="228"/>
      <c r="G16" s="1129">
        <f>SUM(G9:G15)</f>
        <v>50967647</v>
      </c>
      <c r="H16" s="228"/>
      <c r="I16" s="1131">
        <f>SUM(I9:I15)</f>
        <v>-278688</v>
      </c>
      <c r="J16" s="222"/>
      <c r="K16" s="222"/>
      <c r="L16" s="220"/>
    </row>
    <row r="17" spans="1:12" ht="15.6">
      <c r="A17" s="227"/>
      <c r="B17" s="226"/>
      <c r="C17" s="226"/>
      <c r="D17" s="227"/>
      <c r="E17" s="227"/>
      <c r="F17" s="226"/>
      <c r="G17" s="227"/>
      <c r="H17" s="222"/>
      <c r="I17" s="222"/>
      <c r="J17" s="222"/>
      <c r="K17" s="222"/>
      <c r="L17" s="220"/>
    </row>
    <row r="18" spans="1:12" ht="16.2" thickBot="1">
      <c r="A18" s="229"/>
      <c r="B18" s="230"/>
      <c r="C18" s="230"/>
      <c r="D18" s="229"/>
      <c r="E18" s="229"/>
      <c r="F18" s="230"/>
      <c r="G18" s="229"/>
      <c r="H18" s="231"/>
      <c r="I18" s="231"/>
      <c r="J18" s="231"/>
      <c r="K18" s="231"/>
      <c r="L18" s="220"/>
    </row>
    <row r="19" spans="1:12" ht="8.25" customHeight="1">
      <c r="A19" s="286"/>
      <c r="B19" s="226"/>
      <c r="C19" s="226"/>
      <c r="D19" s="227"/>
      <c r="E19" s="227"/>
      <c r="F19" s="226"/>
      <c r="G19" s="227"/>
      <c r="H19" s="222"/>
      <c r="I19" s="222"/>
      <c r="J19" s="222"/>
      <c r="K19" s="222"/>
      <c r="L19" s="220"/>
    </row>
    <row r="20" spans="1:12" ht="53.25" customHeight="1">
      <c r="A20" s="232" t="s">
        <v>878</v>
      </c>
      <c r="B20" s="226"/>
      <c r="C20" s="226"/>
      <c r="D20" s="233" t="s">
        <v>879</v>
      </c>
      <c r="E20" s="227"/>
      <c r="F20" s="233" t="s">
        <v>880</v>
      </c>
      <c r="G20" s="228" t="s">
        <v>881</v>
      </c>
      <c r="H20" s="234" t="s">
        <v>882</v>
      </c>
      <c r="I20" s="233" t="s">
        <v>883</v>
      </c>
      <c r="J20" s="235"/>
      <c r="K20" s="233" t="s">
        <v>884</v>
      </c>
      <c r="L20" s="220"/>
    </row>
    <row r="21" spans="1:12" ht="15.6">
      <c r="A21" s="232"/>
      <c r="B21" s="226"/>
      <c r="C21" s="226"/>
      <c r="D21" s="222"/>
      <c r="E21" s="236"/>
      <c r="F21" s="366">
        <f>'7a-Interest Rate'!H13</f>
        <v>2.7083333333333334E-3</v>
      </c>
      <c r="G21" s="227"/>
      <c r="H21" s="222"/>
      <c r="I21" s="222"/>
      <c r="J21" s="222"/>
      <c r="K21" s="222"/>
      <c r="L21" s="220"/>
    </row>
    <row r="22" spans="1:12" ht="15.6">
      <c r="A22" s="232"/>
      <c r="B22" s="226"/>
      <c r="C22" s="226"/>
      <c r="D22" s="222"/>
      <c r="E22" s="236"/>
      <c r="F22" s="236"/>
      <c r="G22" s="227"/>
      <c r="H22" s="222"/>
      <c r="I22" s="222"/>
      <c r="J22" s="222"/>
      <c r="K22" s="222"/>
      <c r="L22" s="220"/>
    </row>
    <row r="23" spans="1:12" ht="15.6">
      <c r="A23" s="232" t="s">
        <v>885</v>
      </c>
      <c r="B23" s="226"/>
      <c r="C23" s="226"/>
      <c r="D23" s="222"/>
      <c r="E23" s="236"/>
      <c r="F23" s="236"/>
      <c r="G23" s="227"/>
      <c r="H23" s="222"/>
      <c r="I23" s="222"/>
      <c r="J23" s="222"/>
      <c r="K23" s="222"/>
      <c r="L23" s="220"/>
    </row>
    <row r="24" spans="1:12" ht="15.6">
      <c r="A24" s="258" t="s">
        <v>886</v>
      </c>
      <c r="B24" s="226"/>
      <c r="C24" s="226"/>
      <c r="D24" s="226"/>
      <c r="E24" s="226"/>
      <c r="F24" s="226"/>
      <c r="G24" s="222"/>
      <c r="H24" s="222"/>
      <c r="I24" s="222"/>
      <c r="J24" s="222"/>
      <c r="K24" s="222"/>
      <c r="L24" s="220"/>
    </row>
    <row r="25" spans="1:12" ht="15.6">
      <c r="A25" s="258" t="s">
        <v>887</v>
      </c>
      <c r="B25" s="226"/>
      <c r="C25" s="226"/>
      <c r="D25" s="226"/>
      <c r="E25" s="226"/>
      <c r="F25" s="226"/>
      <c r="G25" s="222"/>
      <c r="H25" s="222"/>
      <c r="I25" s="222"/>
      <c r="J25" s="222"/>
      <c r="K25" s="222"/>
      <c r="L25" s="220"/>
    </row>
    <row r="26" spans="1:12" ht="15.6">
      <c r="A26" s="247"/>
      <c r="B26" s="226"/>
      <c r="C26" s="226"/>
      <c r="D26" s="226"/>
      <c r="E26" s="226"/>
      <c r="F26" s="222"/>
      <c r="G26" s="222"/>
      <c r="H26" s="228"/>
      <c r="I26" s="226"/>
      <c r="J26" s="226"/>
      <c r="K26" s="226"/>
      <c r="L26" s="220"/>
    </row>
    <row r="27" spans="1:12" ht="15.6">
      <c r="A27" s="247" t="s">
        <v>888</v>
      </c>
      <c r="B27" s="226"/>
      <c r="C27" s="226"/>
      <c r="D27" s="226"/>
      <c r="E27" s="226"/>
      <c r="F27" s="222"/>
      <c r="G27" s="222"/>
      <c r="H27" s="228" t="s">
        <v>889</v>
      </c>
      <c r="I27" s="226"/>
      <c r="J27" s="226"/>
      <c r="K27" s="226"/>
      <c r="L27" s="220"/>
    </row>
    <row r="28" spans="1:12" ht="15.6">
      <c r="A28" s="225" t="s">
        <v>331</v>
      </c>
      <c r="B28" s="362" t="s">
        <v>890</v>
      </c>
      <c r="C28" s="225"/>
      <c r="D28" s="287">
        <f>I16/12</f>
        <v>-23224</v>
      </c>
      <c r="E28" s="287"/>
      <c r="F28" s="251">
        <f>+F21</f>
        <v>2.7083333333333334E-3</v>
      </c>
      <c r="G28" s="287">
        <v>12</v>
      </c>
      <c r="H28" s="287">
        <f>F28*D28*G28*-1</f>
        <v>754.78</v>
      </c>
      <c r="I28" s="287"/>
      <c r="J28" s="287"/>
      <c r="K28" s="287">
        <f>(-H28+D28)*-1</f>
        <v>23978.78</v>
      </c>
      <c r="L28" s="220"/>
    </row>
    <row r="29" spans="1:12" ht="15.6">
      <c r="A29" s="225" t="s">
        <v>333</v>
      </c>
      <c r="B29" s="362" t="str">
        <f>+B28</f>
        <v>Year 2021</v>
      </c>
      <c r="C29" s="225"/>
      <c r="D29" s="287">
        <f>+D28</f>
        <v>-23224</v>
      </c>
      <c r="E29" s="287"/>
      <c r="F29" s="251">
        <f>+F28</f>
        <v>2.7083333333333334E-3</v>
      </c>
      <c r="G29" s="365">
        <f t="shared" ref="G29:G39" si="1">+G28-1</f>
        <v>11</v>
      </c>
      <c r="H29" s="287">
        <f t="shared" ref="H29:H39" si="2">F29*D29*G29*-1</f>
        <v>691.88166666666666</v>
      </c>
      <c r="I29" s="287"/>
      <c r="J29" s="287"/>
      <c r="K29" s="287">
        <f t="shared" ref="K29:K39" si="3">(-H29+D29)*-1</f>
        <v>23915.881666666668</v>
      </c>
      <c r="L29" s="220"/>
    </row>
    <row r="30" spans="1:12" ht="15.6">
      <c r="A30" s="225" t="s">
        <v>334</v>
      </c>
      <c r="B30" s="362" t="str">
        <f t="shared" ref="B30:B39" si="4">+B29</f>
        <v>Year 2021</v>
      </c>
      <c r="C30" s="225"/>
      <c r="D30" s="287">
        <f t="shared" ref="D30:D39" si="5">+D29</f>
        <v>-23224</v>
      </c>
      <c r="E30" s="287"/>
      <c r="F30" s="251">
        <f t="shared" ref="F30:F39" si="6">+F29</f>
        <v>2.7083333333333334E-3</v>
      </c>
      <c r="G30" s="365">
        <f t="shared" si="1"/>
        <v>10</v>
      </c>
      <c r="H30" s="287">
        <f t="shared" si="2"/>
        <v>628.98333333333335</v>
      </c>
      <c r="I30" s="287"/>
      <c r="J30" s="287"/>
      <c r="K30" s="287">
        <f t="shared" si="3"/>
        <v>23852.983333333334</v>
      </c>
      <c r="L30" s="220"/>
    </row>
    <row r="31" spans="1:12" ht="15.6">
      <c r="A31" s="225" t="s">
        <v>335</v>
      </c>
      <c r="B31" s="362" t="str">
        <f t="shared" si="4"/>
        <v>Year 2021</v>
      </c>
      <c r="C31" s="225"/>
      <c r="D31" s="287">
        <f t="shared" si="5"/>
        <v>-23224</v>
      </c>
      <c r="E31" s="287"/>
      <c r="F31" s="251">
        <f t="shared" si="6"/>
        <v>2.7083333333333334E-3</v>
      </c>
      <c r="G31" s="365">
        <f t="shared" si="1"/>
        <v>9</v>
      </c>
      <c r="H31" s="287">
        <f t="shared" si="2"/>
        <v>566.08500000000004</v>
      </c>
      <c r="I31" s="287"/>
      <c r="J31" s="287"/>
      <c r="K31" s="287">
        <f t="shared" si="3"/>
        <v>23790.084999999999</v>
      </c>
      <c r="L31" s="220"/>
    </row>
    <row r="32" spans="1:12" ht="15.6">
      <c r="A32" s="225" t="s">
        <v>336</v>
      </c>
      <c r="B32" s="362" t="str">
        <f t="shared" si="4"/>
        <v>Year 2021</v>
      </c>
      <c r="C32" s="225"/>
      <c r="D32" s="287">
        <f t="shared" si="5"/>
        <v>-23224</v>
      </c>
      <c r="E32" s="287"/>
      <c r="F32" s="251">
        <f t="shared" si="6"/>
        <v>2.7083333333333334E-3</v>
      </c>
      <c r="G32" s="365">
        <f t="shared" si="1"/>
        <v>8</v>
      </c>
      <c r="H32" s="287">
        <f t="shared" si="2"/>
        <v>503.18666666666667</v>
      </c>
      <c r="I32" s="287"/>
      <c r="J32" s="287"/>
      <c r="K32" s="287">
        <f t="shared" si="3"/>
        <v>23727.186666666668</v>
      </c>
      <c r="L32" s="220"/>
    </row>
    <row r="33" spans="1:13" ht="15.6">
      <c r="A33" s="225" t="s">
        <v>507</v>
      </c>
      <c r="B33" s="362" t="str">
        <f t="shared" si="4"/>
        <v>Year 2021</v>
      </c>
      <c r="C33" s="225"/>
      <c r="D33" s="287">
        <f t="shared" si="5"/>
        <v>-23224</v>
      </c>
      <c r="E33" s="287"/>
      <c r="F33" s="251">
        <f t="shared" si="6"/>
        <v>2.7083333333333334E-3</v>
      </c>
      <c r="G33" s="365">
        <f t="shared" si="1"/>
        <v>7</v>
      </c>
      <c r="H33" s="287">
        <f t="shared" si="2"/>
        <v>440.28833333333336</v>
      </c>
      <c r="I33" s="287"/>
      <c r="J33" s="287"/>
      <c r="K33" s="287">
        <f t="shared" si="3"/>
        <v>23664.288333333334</v>
      </c>
      <c r="L33" s="220"/>
    </row>
    <row r="34" spans="1:13" ht="15.6">
      <c r="A34" s="225" t="s">
        <v>338</v>
      </c>
      <c r="B34" s="362" t="str">
        <f t="shared" si="4"/>
        <v>Year 2021</v>
      </c>
      <c r="C34" s="225"/>
      <c r="D34" s="287">
        <f t="shared" si="5"/>
        <v>-23224</v>
      </c>
      <c r="E34" s="287"/>
      <c r="F34" s="251">
        <f t="shared" si="6"/>
        <v>2.7083333333333334E-3</v>
      </c>
      <c r="G34" s="365">
        <f t="shared" si="1"/>
        <v>6</v>
      </c>
      <c r="H34" s="287">
        <f t="shared" si="2"/>
        <v>377.39</v>
      </c>
      <c r="I34" s="287"/>
      <c r="J34" s="287"/>
      <c r="K34" s="287">
        <f t="shared" si="3"/>
        <v>23601.39</v>
      </c>
      <c r="L34" s="220"/>
    </row>
    <row r="35" spans="1:13" ht="15.6">
      <c r="A35" s="225" t="s">
        <v>339</v>
      </c>
      <c r="B35" s="362" t="str">
        <f t="shared" si="4"/>
        <v>Year 2021</v>
      </c>
      <c r="C35" s="225"/>
      <c r="D35" s="287">
        <f t="shared" si="5"/>
        <v>-23224</v>
      </c>
      <c r="E35" s="287"/>
      <c r="F35" s="251">
        <f t="shared" si="6"/>
        <v>2.7083333333333334E-3</v>
      </c>
      <c r="G35" s="365">
        <f t="shared" si="1"/>
        <v>5</v>
      </c>
      <c r="H35" s="287">
        <f t="shared" si="2"/>
        <v>314.49166666666667</v>
      </c>
      <c r="I35" s="287"/>
      <c r="J35" s="287"/>
      <c r="K35" s="287">
        <f t="shared" si="3"/>
        <v>23538.491666666665</v>
      </c>
      <c r="L35" s="220"/>
    </row>
    <row r="36" spans="1:13" ht="15.6">
      <c r="A36" s="225" t="s">
        <v>340</v>
      </c>
      <c r="B36" s="362" t="str">
        <f t="shared" si="4"/>
        <v>Year 2021</v>
      </c>
      <c r="C36" s="225"/>
      <c r="D36" s="287">
        <f t="shared" si="5"/>
        <v>-23224</v>
      </c>
      <c r="E36" s="287"/>
      <c r="F36" s="251">
        <f t="shared" si="6"/>
        <v>2.7083333333333334E-3</v>
      </c>
      <c r="G36" s="365">
        <f t="shared" si="1"/>
        <v>4</v>
      </c>
      <c r="H36" s="287">
        <f t="shared" si="2"/>
        <v>251.59333333333333</v>
      </c>
      <c r="I36" s="287"/>
      <c r="J36" s="287"/>
      <c r="K36" s="287">
        <f t="shared" si="3"/>
        <v>23475.593333333334</v>
      </c>
      <c r="L36" s="220"/>
    </row>
    <row r="37" spans="1:13" ht="15.6">
      <c r="A37" s="225" t="s">
        <v>347</v>
      </c>
      <c r="B37" s="362" t="str">
        <f t="shared" si="4"/>
        <v>Year 2021</v>
      </c>
      <c r="C37" s="225"/>
      <c r="D37" s="287">
        <f t="shared" si="5"/>
        <v>-23224</v>
      </c>
      <c r="E37" s="287"/>
      <c r="F37" s="251">
        <f t="shared" si="6"/>
        <v>2.7083333333333334E-3</v>
      </c>
      <c r="G37" s="365">
        <f t="shared" si="1"/>
        <v>3</v>
      </c>
      <c r="H37" s="287">
        <f t="shared" si="2"/>
        <v>188.69499999999999</v>
      </c>
      <c r="I37" s="287"/>
      <c r="J37" s="287"/>
      <c r="K37" s="287">
        <f t="shared" si="3"/>
        <v>23412.695</v>
      </c>
      <c r="L37" s="220"/>
    </row>
    <row r="38" spans="1:13" ht="15.6">
      <c r="A38" s="225" t="s">
        <v>342</v>
      </c>
      <c r="B38" s="362" t="str">
        <f t="shared" si="4"/>
        <v>Year 2021</v>
      </c>
      <c r="C38" s="225"/>
      <c r="D38" s="287">
        <f t="shared" si="5"/>
        <v>-23224</v>
      </c>
      <c r="E38" s="287"/>
      <c r="F38" s="251">
        <f t="shared" si="6"/>
        <v>2.7083333333333334E-3</v>
      </c>
      <c r="G38" s="365">
        <f t="shared" si="1"/>
        <v>2</v>
      </c>
      <c r="H38" s="287">
        <f t="shared" si="2"/>
        <v>125.79666666666667</v>
      </c>
      <c r="I38" s="287"/>
      <c r="J38" s="287"/>
      <c r="K38" s="287">
        <f t="shared" si="3"/>
        <v>23349.796666666665</v>
      </c>
      <c r="L38" s="220"/>
    </row>
    <row r="39" spans="1:13" ht="15.6">
      <c r="A39" s="225" t="s">
        <v>329</v>
      </c>
      <c r="B39" s="362" t="str">
        <f t="shared" si="4"/>
        <v>Year 2021</v>
      </c>
      <c r="C39" s="225"/>
      <c r="D39" s="287">
        <f t="shared" si="5"/>
        <v>-23224</v>
      </c>
      <c r="E39" s="287"/>
      <c r="F39" s="251">
        <f t="shared" si="6"/>
        <v>2.7083333333333334E-3</v>
      </c>
      <c r="G39" s="365">
        <f t="shared" si="1"/>
        <v>1</v>
      </c>
      <c r="H39" s="238">
        <f t="shared" si="2"/>
        <v>62.898333333333333</v>
      </c>
      <c r="I39" s="287"/>
      <c r="J39" s="287"/>
      <c r="K39" s="287">
        <f t="shared" si="3"/>
        <v>23286.898333333334</v>
      </c>
      <c r="L39" s="220"/>
    </row>
    <row r="40" spans="1:13" ht="15.6">
      <c r="A40" s="225"/>
      <c r="B40" s="225"/>
      <c r="C40" s="225"/>
      <c r="D40" s="287"/>
      <c r="E40" s="287"/>
      <c r="F40" s="251"/>
      <c r="G40" s="365"/>
      <c r="H40" s="287">
        <f>SUM(H28:H39)</f>
        <v>4906.07</v>
      </c>
      <c r="I40" s="287"/>
      <c r="J40" s="287"/>
      <c r="K40" s="288">
        <f>SUM(K28:K39)</f>
        <v>283594.07</v>
      </c>
      <c r="L40" s="220"/>
    </row>
    <row r="41" spans="1:13" ht="15.6">
      <c r="A41" s="225"/>
      <c r="B41" s="225"/>
      <c r="C41" s="225"/>
      <c r="D41" s="287"/>
      <c r="E41" s="287"/>
      <c r="F41" s="251"/>
      <c r="G41" s="287"/>
      <c r="H41" s="287"/>
      <c r="I41" s="287" t="s">
        <v>28</v>
      </c>
      <c r="J41" s="287"/>
      <c r="K41" s="220"/>
      <c r="L41" s="220"/>
    </row>
    <row r="42" spans="1:13" ht="15.6">
      <c r="A42" s="225"/>
      <c r="B42" s="225"/>
      <c r="C42" s="225"/>
      <c r="D42" s="227"/>
      <c r="E42" s="227"/>
      <c r="F42" s="251"/>
      <c r="G42" s="287"/>
      <c r="H42" s="289" t="s">
        <v>891</v>
      </c>
      <c r="I42" s="287"/>
      <c r="J42" s="287"/>
      <c r="K42" s="287"/>
      <c r="L42" s="220"/>
    </row>
    <row r="43" spans="1:13" ht="15.6">
      <c r="A43" s="225" t="s">
        <v>892</v>
      </c>
      <c r="B43" s="362" t="s">
        <v>893</v>
      </c>
      <c r="C43" s="225"/>
      <c r="D43" s="227">
        <f>K40</f>
        <v>283594.07</v>
      </c>
      <c r="E43" s="227"/>
      <c r="F43" s="251">
        <f>+F39</f>
        <v>2.7083333333333334E-3</v>
      </c>
      <c r="G43" s="287">
        <v>12</v>
      </c>
      <c r="H43" s="287">
        <f>+G43*F43*D43</f>
        <v>9216.807275000001</v>
      </c>
      <c r="I43" s="287"/>
      <c r="J43" s="287"/>
      <c r="K43" s="288">
        <f>+D43+H43</f>
        <v>292810.87727500004</v>
      </c>
      <c r="L43" s="220"/>
    </row>
    <row r="44" spans="1:13" ht="15.6">
      <c r="A44" s="225"/>
      <c r="B44" s="225"/>
      <c r="C44" s="225"/>
      <c r="D44" s="227"/>
      <c r="E44" s="227"/>
      <c r="F44" s="251"/>
      <c r="G44" s="225"/>
      <c r="H44" s="287"/>
      <c r="I44" s="287"/>
      <c r="J44" s="287"/>
      <c r="K44" s="287"/>
      <c r="L44" s="220"/>
    </row>
    <row r="45" spans="1:13" ht="15.6">
      <c r="A45" s="257" t="s">
        <v>894</v>
      </c>
      <c r="B45" s="225"/>
      <c r="C45" s="225"/>
      <c r="D45" s="287"/>
      <c r="E45" s="287"/>
      <c r="F45" s="251"/>
      <c r="G45" s="225"/>
      <c r="H45" s="289" t="s">
        <v>889</v>
      </c>
      <c r="I45" s="287"/>
      <c r="J45" s="287"/>
      <c r="K45" s="287"/>
      <c r="L45" s="220"/>
    </row>
    <row r="46" spans="1:13" ht="15.6">
      <c r="A46" s="225" t="s">
        <v>331</v>
      </c>
      <c r="B46" s="362" t="s">
        <v>895</v>
      </c>
      <c r="C46" s="225"/>
      <c r="D46" s="258">
        <f>-K43</f>
        <v>-292810.87727500004</v>
      </c>
      <c r="E46" s="227"/>
      <c r="F46" s="251">
        <f>+F39</f>
        <v>2.7083333333333334E-3</v>
      </c>
      <c r="G46" s="225"/>
      <c r="H46" s="287">
        <f xml:space="preserve"> -F46*D46</f>
        <v>793.0294592864584</v>
      </c>
      <c r="I46" s="287">
        <f>PMT(F46,12,K$43)</f>
        <v>-24832.594015571925</v>
      </c>
      <c r="J46" s="287"/>
      <c r="K46" s="287">
        <f>(+D46+D46*F46-I46)*-1</f>
        <v>268771.31271871459</v>
      </c>
      <c r="L46" s="283"/>
      <c r="M46" s="213"/>
    </row>
    <row r="47" spans="1:13" ht="15.6">
      <c r="A47" s="225" t="s">
        <v>333</v>
      </c>
      <c r="B47" s="362" t="str">
        <f>+B46</f>
        <v>Year 2023</v>
      </c>
      <c r="C47" s="225"/>
      <c r="D47" s="227">
        <f>-K46</f>
        <v>-268771.31271871459</v>
      </c>
      <c r="E47" s="227"/>
      <c r="F47" s="251">
        <f>+F46</f>
        <v>2.7083333333333334E-3</v>
      </c>
      <c r="G47" s="225"/>
      <c r="H47" s="287">
        <f t="shared" ref="H47:H57" si="7" xml:space="preserve"> -F47*D47</f>
        <v>727.92230527985203</v>
      </c>
      <c r="I47" s="287">
        <f>I46</f>
        <v>-24832.594015571925</v>
      </c>
      <c r="J47" s="287"/>
      <c r="K47" s="287">
        <f t="shared" ref="K47:K57" si="8">(+D47+D47*F47-I47)*-1</f>
        <v>244666.64100842254</v>
      </c>
      <c r="L47" s="283"/>
      <c r="M47" s="213"/>
    </row>
    <row r="48" spans="1:13" ht="15.6">
      <c r="A48" s="225" t="s">
        <v>334</v>
      </c>
      <c r="B48" s="362" t="str">
        <f>+B47</f>
        <v>Year 2023</v>
      </c>
      <c r="C48" s="225"/>
      <c r="D48" s="227">
        <f t="shared" ref="D48:D57" si="9">-K47</f>
        <v>-244666.64100842254</v>
      </c>
      <c r="E48" s="227"/>
      <c r="F48" s="251">
        <f t="shared" ref="F48:F57" si="10">+F47</f>
        <v>2.7083333333333334E-3</v>
      </c>
      <c r="G48" s="225"/>
      <c r="H48" s="287">
        <f t="shared" si="7"/>
        <v>662.63881939781106</v>
      </c>
      <c r="I48" s="287">
        <f t="shared" ref="I48:I57" si="11">I47</f>
        <v>-24832.594015571925</v>
      </c>
      <c r="J48" s="287"/>
      <c r="K48" s="287">
        <f t="shared" si="8"/>
        <v>220496.68581224841</v>
      </c>
      <c r="L48" s="283"/>
      <c r="M48" s="213"/>
    </row>
    <row r="49" spans="1:13" ht="15.6">
      <c r="A49" s="225" t="s">
        <v>335</v>
      </c>
      <c r="B49" s="362" t="str">
        <f>+B48</f>
        <v>Year 2023</v>
      </c>
      <c r="C49" s="225"/>
      <c r="D49" s="227">
        <f t="shared" si="9"/>
        <v>-220496.68581224841</v>
      </c>
      <c r="E49" s="227"/>
      <c r="F49" s="251">
        <f t="shared" si="10"/>
        <v>2.7083333333333334E-3</v>
      </c>
      <c r="G49" s="225"/>
      <c r="H49" s="287">
        <f t="shared" si="7"/>
        <v>597.17852407483952</v>
      </c>
      <c r="I49" s="287">
        <f t="shared" si="11"/>
        <v>-24832.594015571925</v>
      </c>
      <c r="J49" s="287"/>
      <c r="K49" s="287">
        <f t="shared" si="8"/>
        <v>196261.27032075133</v>
      </c>
      <c r="L49" s="283"/>
      <c r="M49" s="213"/>
    </row>
    <row r="50" spans="1:13" ht="15.6">
      <c r="A50" s="225" t="s">
        <v>336</v>
      </c>
      <c r="B50" s="362" t="str">
        <f>+B49</f>
        <v>Year 2023</v>
      </c>
      <c r="C50" s="225"/>
      <c r="D50" s="227">
        <f t="shared" si="9"/>
        <v>-196261.27032075133</v>
      </c>
      <c r="E50" s="227"/>
      <c r="F50" s="251">
        <f t="shared" si="10"/>
        <v>2.7083333333333334E-3</v>
      </c>
      <c r="G50" s="225"/>
      <c r="H50" s="287">
        <f t="shared" si="7"/>
        <v>531.54094045203487</v>
      </c>
      <c r="I50" s="287">
        <f t="shared" si="11"/>
        <v>-24832.594015571925</v>
      </c>
      <c r="J50" s="287"/>
      <c r="K50" s="287">
        <f t="shared" si="8"/>
        <v>171960.21724563144</v>
      </c>
      <c r="L50" s="283"/>
      <c r="M50" s="213"/>
    </row>
    <row r="51" spans="1:13" ht="15.6">
      <c r="A51" s="225" t="s">
        <v>507</v>
      </c>
      <c r="B51" s="362" t="str">
        <f>B50</f>
        <v>Year 2023</v>
      </c>
      <c r="C51" s="222"/>
      <c r="D51" s="227">
        <f t="shared" si="9"/>
        <v>-171960.21724563144</v>
      </c>
      <c r="E51" s="227"/>
      <c r="F51" s="251">
        <f t="shared" si="10"/>
        <v>2.7083333333333334E-3</v>
      </c>
      <c r="G51" s="225"/>
      <c r="H51" s="287">
        <f t="shared" si="7"/>
        <v>465.7255883735852</v>
      </c>
      <c r="I51" s="287">
        <f t="shared" si="11"/>
        <v>-24832.594015571925</v>
      </c>
      <c r="J51" s="287"/>
      <c r="K51" s="287">
        <f t="shared" si="8"/>
        <v>147593.34881843309</v>
      </c>
      <c r="L51" s="283"/>
      <c r="M51" s="213"/>
    </row>
    <row r="52" spans="1:13" ht="15.6">
      <c r="A52" s="225" t="s">
        <v>338</v>
      </c>
      <c r="B52" s="362" t="str">
        <f t="shared" ref="B52:B57" si="12">+B51</f>
        <v>Year 2023</v>
      </c>
      <c r="C52" s="225"/>
      <c r="D52" s="227">
        <f t="shared" si="9"/>
        <v>-147593.34881843309</v>
      </c>
      <c r="E52" s="227"/>
      <c r="F52" s="251">
        <f t="shared" si="10"/>
        <v>2.7083333333333334E-3</v>
      </c>
      <c r="G52" s="225"/>
      <c r="H52" s="287">
        <f t="shared" si="7"/>
        <v>399.7319863832563</v>
      </c>
      <c r="I52" s="287">
        <f t="shared" si="11"/>
        <v>-24832.594015571925</v>
      </c>
      <c r="J52" s="287"/>
      <c r="K52" s="287">
        <f t="shared" si="8"/>
        <v>123160.48678924443</v>
      </c>
      <c r="L52" s="283"/>
      <c r="M52" s="213"/>
    </row>
    <row r="53" spans="1:13" ht="15.6">
      <c r="A53" s="225" t="s">
        <v>339</v>
      </c>
      <c r="B53" s="362" t="str">
        <f t="shared" si="12"/>
        <v>Year 2023</v>
      </c>
      <c r="C53" s="225"/>
      <c r="D53" s="227">
        <f t="shared" si="9"/>
        <v>-123160.48678924443</v>
      </c>
      <c r="E53" s="227"/>
      <c r="F53" s="251">
        <f t="shared" si="10"/>
        <v>2.7083333333333334E-3</v>
      </c>
      <c r="G53" s="225"/>
      <c r="H53" s="287">
        <f t="shared" si="7"/>
        <v>333.55965172087036</v>
      </c>
      <c r="I53" s="287">
        <f t="shared" si="11"/>
        <v>-24832.594015571925</v>
      </c>
      <c r="J53" s="287"/>
      <c r="K53" s="287">
        <f t="shared" si="8"/>
        <v>98661.452425393378</v>
      </c>
      <c r="L53" s="283"/>
      <c r="M53" s="213"/>
    </row>
    <row r="54" spans="1:13" ht="15.6">
      <c r="A54" s="225" t="s">
        <v>340</v>
      </c>
      <c r="B54" s="362" t="str">
        <f t="shared" si="12"/>
        <v>Year 2023</v>
      </c>
      <c r="C54" s="225"/>
      <c r="D54" s="227">
        <f t="shared" si="9"/>
        <v>-98661.452425393378</v>
      </c>
      <c r="E54" s="227"/>
      <c r="F54" s="251">
        <f t="shared" si="10"/>
        <v>2.7083333333333334E-3</v>
      </c>
      <c r="G54" s="225"/>
      <c r="H54" s="287">
        <f t="shared" si="7"/>
        <v>267.20810031877375</v>
      </c>
      <c r="I54" s="287">
        <f t="shared" si="11"/>
        <v>-24832.594015571925</v>
      </c>
      <c r="J54" s="287"/>
      <c r="K54" s="287">
        <f t="shared" si="8"/>
        <v>74096.066510140226</v>
      </c>
      <c r="L54" s="283"/>
      <c r="M54" s="213"/>
    </row>
    <row r="55" spans="1:13" ht="15.6">
      <c r="A55" s="225" t="s">
        <v>347</v>
      </c>
      <c r="B55" s="362" t="str">
        <f t="shared" si="12"/>
        <v>Year 2023</v>
      </c>
      <c r="C55" s="225"/>
      <c r="D55" s="227">
        <f t="shared" si="9"/>
        <v>-74096.066510140226</v>
      </c>
      <c r="E55" s="227"/>
      <c r="F55" s="251">
        <f t="shared" si="10"/>
        <v>2.7083333333333334E-3</v>
      </c>
      <c r="G55" s="225"/>
      <c r="H55" s="287">
        <f t="shared" si="7"/>
        <v>200.67684679829645</v>
      </c>
      <c r="I55" s="287">
        <f t="shared" si="11"/>
        <v>-24832.594015571925</v>
      </c>
      <c r="J55" s="287"/>
      <c r="K55" s="287">
        <f t="shared" si="8"/>
        <v>49464.149341366588</v>
      </c>
      <c r="L55" s="283"/>
      <c r="M55" s="213"/>
    </row>
    <row r="56" spans="1:13" ht="15.6">
      <c r="A56" s="225" t="s">
        <v>342</v>
      </c>
      <c r="B56" s="362" t="str">
        <f t="shared" si="12"/>
        <v>Year 2023</v>
      </c>
      <c r="C56" s="225"/>
      <c r="D56" s="227">
        <f t="shared" si="9"/>
        <v>-49464.149341366588</v>
      </c>
      <c r="E56" s="227"/>
      <c r="F56" s="251">
        <f t="shared" si="10"/>
        <v>2.7083333333333334E-3</v>
      </c>
      <c r="G56" s="225"/>
      <c r="H56" s="287">
        <f t="shared" si="7"/>
        <v>133.96540446620119</v>
      </c>
      <c r="I56" s="287">
        <f t="shared" si="11"/>
        <v>-24832.594015571925</v>
      </c>
      <c r="J56" s="287"/>
      <c r="K56" s="287">
        <f t="shared" si="8"/>
        <v>24765.520730260865</v>
      </c>
      <c r="L56" s="283"/>
      <c r="M56" s="213"/>
    </row>
    <row r="57" spans="1:13" ht="15.6">
      <c r="A57" s="225" t="s">
        <v>329</v>
      </c>
      <c r="B57" s="362" t="str">
        <f t="shared" si="12"/>
        <v>Year 2023</v>
      </c>
      <c r="C57" s="225"/>
      <c r="D57" s="227">
        <f t="shared" si="9"/>
        <v>-24765.520730260865</v>
      </c>
      <c r="E57" s="227"/>
      <c r="F57" s="251">
        <f t="shared" si="10"/>
        <v>2.7083333333333334E-3</v>
      </c>
      <c r="G57" s="225"/>
      <c r="H57" s="238">
        <f t="shared" si="7"/>
        <v>67.073285311123172</v>
      </c>
      <c r="I57" s="287">
        <f t="shared" si="11"/>
        <v>-24832.594015571925</v>
      </c>
      <c r="J57" s="287"/>
      <c r="K57" s="287">
        <f t="shared" si="8"/>
        <v>6.184563972055912E-11</v>
      </c>
      <c r="L57" s="283"/>
      <c r="M57" s="213"/>
    </row>
    <row r="58" spans="1:13" ht="15.6">
      <c r="A58" s="225"/>
      <c r="B58" s="225"/>
      <c r="C58" s="225"/>
      <c r="D58" s="227"/>
      <c r="E58" s="227"/>
      <c r="F58" s="251"/>
      <c r="G58" s="225"/>
      <c r="H58" s="287">
        <f>SUM(H46:H57)</f>
        <v>5180.2509118631024</v>
      </c>
      <c r="I58" s="287"/>
      <c r="J58" s="287"/>
      <c r="K58" s="287"/>
      <c r="L58" s="283"/>
      <c r="M58" s="213"/>
    </row>
    <row r="59" spans="1:13">
      <c r="A59" s="220"/>
      <c r="B59" s="220"/>
      <c r="C59" s="220"/>
      <c r="D59" s="220"/>
      <c r="E59" s="220"/>
      <c r="F59" s="220"/>
      <c r="G59" s="220"/>
      <c r="H59" s="220"/>
      <c r="I59" s="220"/>
      <c r="J59" s="220"/>
      <c r="K59" s="220"/>
      <c r="L59" s="220"/>
    </row>
    <row r="60" spans="1:13" ht="15.6">
      <c r="A60" s="225" t="s">
        <v>896</v>
      </c>
      <c r="B60" s="220"/>
      <c r="C60" s="220"/>
      <c r="D60" s="220"/>
      <c r="E60" s="220"/>
      <c r="F60" s="220"/>
      <c r="G60" s="220"/>
      <c r="H60" s="220"/>
      <c r="I60" s="1245">
        <f>SUM(I46:I57)*-1</f>
        <v>297991.12818686309</v>
      </c>
      <c r="J60" s="220"/>
      <c r="K60" s="220"/>
      <c r="L60" s="220"/>
    </row>
    <row r="61" spans="1:13" ht="15.6">
      <c r="A61" s="225" t="s">
        <v>897</v>
      </c>
      <c r="B61" s="220"/>
      <c r="C61" s="220"/>
      <c r="D61" s="220"/>
      <c r="E61" s="220"/>
      <c r="F61" s="220"/>
      <c r="G61" s="220"/>
      <c r="H61" s="220"/>
      <c r="I61" s="1245">
        <f>+I16</f>
        <v>-278688</v>
      </c>
      <c r="J61" s="220"/>
      <c r="K61" s="220"/>
      <c r="L61" s="220"/>
    </row>
    <row r="62" spans="1:13" ht="15.6">
      <c r="A62" s="225" t="s">
        <v>898</v>
      </c>
      <c r="B62" s="220"/>
      <c r="C62" s="220"/>
      <c r="D62" s="220"/>
      <c r="E62" s="220"/>
      <c r="F62" s="220"/>
      <c r="G62" s="220"/>
      <c r="H62" s="220"/>
      <c r="I62" s="1245">
        <f>(I60+I61)</f>
        <v>19303.12818686309</v>
      </c>
      <c r="J62" s="220"/>
      <c r="K62" s="220"/>
      <c r="L62" s="220"/>
    </row>
    <row r="64" spans="1:13" ht="32.1" customHeight="1">
      <c r="A64" s="1373" t="s">
        <v>899</v>
      </c>
      <c r="B64" s="1300"/>
      <c r="C64" s="1300"/>
      <c r="D64" s="1300"/>
      <c r="E64" s="1300"/>
      <c r="F64" s="1300"/>
      <c r="G64" s="1300"/>
      <c r="H64" s="1300"/>
      <c r="I64" s="1300"/>
      <c r="J64" s="1300"/>
      <c r="K64" s="1300"/>
    </row>
    <row r="65" spans="1:11" ht="32.1" customHeight="1">
      <c r="A65" s="1373" t="s">
        <v>900</v>
      </c>
      <c r="B65" s="1300"/>
      <c r="C65" s="1300"/>
      <c r="D65" s="1300"/>
      <c r="E65" s="1300"/>
      <c r="F65" s="1300"/>
      <c r="G65" s="1300"/>
      <c r="H65" s="1300"/>
      <c r="I65" s="1300"/>
      <c r="J65" s="1300"/>
      <c r="K65" s="1300"/>
    </row>
    <row r="66" spans="1:11" ht="16.2" customHeight="1">
      <c r="A66" s="225" t="s">
        <v>901</v>
      </c>
      <c r="F66" s="215"/>
      <c r="I66" s="216"/>
    </row>
    <row r="67" spans="1:11">
      <c r="I67" s="217"/>
    </row>
  </sheetData>
  <mergeCells count="5">
    <mergeCell ref="A1:K1"/>
    <mergeCell ref="A2:K2"/>
    <mergeCell ref="A3:K3"/>
    <mergeCell ref="A65:K65"/>
    <mergeCell ref="A64:K64"/>
  </mergeCells>
  <phoneticPr fontId="61" type="noConversion"/>
  <pageMargins left="0.75" right="0.75" top="1" bottom="1" header="0.5" footer="0.5"/>
  <pageSetup scale="5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L22"/>
  <sheetViews>
    <sheetView view="pageBreakPreview" zoomScale="60" zoomScaleNormal="100" workbookViewId="0"/>
  </sheetViews>
  <sheetFormatPr defaultRowHeight="15"/>
  <cols>
    <col min="5" max="5" width="27.81640625" customWidth="1"/>
    <col min="6" max="6" width="12.81640625" customWidth="1"/>
    <col min="8" max="8" width="13.81640625" customWidth="1"/>
    <col min="10" max="10" width="2.54296875" customWidth="1"/>
  </cols>
  <sheetData>
    <row r="1" spans="1:12">
      <c r="K1" t="s">
        <v>902</v>
      </c>
    </row>
    <row r="2" spans="1:12">
      <c r="A2" s="624" t="s">
        <v>903</v>
      </c>
      <c r="B2" s="624"/>
      <c r="C2" s="623"/>
      <c r="D2" s="625"/>
      <c r="E2" s="623"/>
      <c r="F2" s="626"/>
      <c r="G2" s="626"/>
      <c r="H2" s="626"/>
      <c r="I2" s="626"/>
      <c r="J2" s="626"/>
      <c r="K2" s="626" t="s">
        <v>904</v>
      </c>
      <c r="L2" s="626"/>
    </row>
    <row r="3" spans="1:12">
      <c r="A3" s="623"/>
      <c r="B3" s="623"/>
      <c r="C3" s="623"/>
      <c r="D3" s="625"/>
      <c r="E3" s="623"/>
      <c r="F3" s="626"/>
      <c r="G3" s="627"/>
      <c r="H3" s="1011" t="s">
        <v>905</v>
      </c>
      <c r="I3" s="626"/>
      <c r="J3" s="626"/>
      <c r="K3" s="626"/>
      <c r="L3" s="626"/>
    </row>
    <row r="4" spans="1:12">
      <c r="A4" s="623"/>
      <c r="B4" s="623"/>
      <c r="C4" s="623"/>
      <c r="D4" s="626"/>
      <c r="E4" s="626"/>
      <c r="F4" s="626"/>
      <c r="G4" s="627"/>
      <c r="H4" s="1011" t="s">
        <v>906</v>
      </c>
      <c r="I4" s="626"/>
      <c r="J4" s="626"/>
      <c r="K4" s="626"/>
      <c r="L4" s="626"/>
    </row>
    <row r="5" spans="1:12">
      <c r="A5" s="623"/>
      <c r="B5" s="623"/>
      <c r="C5" s="623"/>
      <c r="D5" s="637" t="s">
        <v>907</v>
      </c>
      <c r="E5" s="628"/>
      <c r="F5" s="638"/>
      <c r="G5" s="627"/>
      <c r="H5" s="1010" t="s">
        <v>908</v>
      </c>
      <c r="I5" s="627"/>
      <c r="J5" s="629"/>
      <c r="K5" s="629"/>
      <c r="L5" s="629"/>
    </row>
    <row r="6" spans="1:12">
      <c r="A6" s="623">
        <v>1</v>
      </c>
      <c r="B6" s="623"/>
      <c r="C6" s="623"/>
      <c r="D6" s="625" t="s">
        <v>909</v>
      </c>
      <c r="E6" s="627"/>
      <c r="F6" s="626"/>
      <c r="G6" s="627"/>
      <c r="H6" s="1081">
        <v>3.2500000000000001E-2</v>
      </c>
      <c r="I6" s="627"/>
      <c r="J6" s="629"/>
      <c r="K6" s="629"/>
      <c r="L6" s="629"/>
    </row>
    <row r="7" spans="1:12">
      <c r="A7" s="623">
        <f>A6+1</f>
        <v>2</v>
      </c>
      <c r="B7" s="623"/>
      <c r="C7" s="623"/>
      <c r="D7" s="625" t="s">
        <v>910</v>
      </c>
      <c r="E7" s="626"/>
      <c r="F7" s="626"/>
      <c r="G7" s="627"/>
      <c r="H7" s="1081">
        <v>3.2500000000000001E-2</v>
      </c>
      <c r="I7" s="627"/>
      <c r="J7" s="630"/>
      <c r="K7" s="630"/>
      <c r="L7" s="630"/>
    </row>
    <row r="8" spans="1:12">
      <c r="A8" s="623">
        <f>A7+1</f>
        <v>3</v>
      </c>
      <c r="B8" s="623"/>
      <c r="C8" s="623"/>
      <c r="D8" s="625" t="s">
        <v>911</v>
      </c>
      <c r="E8" s="626"/>
      <c r="F8" s="626"/>
      <c r="G8" s="627"/>
      <c r="H8" s="1081">
        <v>3.2500000000000001E-2</v>
      </c>
      <c r="I8" s="627"/>
      <c r="J8" s="630"/>
      <c r="K8" s="630"/>
      <c r="L8" s="630"/>
    </row>
    <row r="9" spans="1:12">
      <c r="A9" s="623">
        <f>A8+1</f>
        <v>4</v>
      </c>
      <c r="B9" s="623"/>
      <c r="C9" s="623"/>
      <c r="D9" s="625" t="s">
        <v>912</v>
      </c>
      <c r="E9" s="626"/>
      <c r="F9" s="626"/>
      <c r="G9" s="627"/>
      <c r="H9" s="1081">
        <v>3.2500000000000001E-2</v>
      </c>
      <c r="I9" s="627"/>
      <c r="J9" s="630"/>
      <c r="K9" s="630"/>
      <c r="L9" s="630"/>
    </row>
    <row r="10" spans="1:12">
      <c r="A10" s="623">
        <f>A9+1</f>
        <v>5</v>
      </c>
      <c r="B10" s="623"/>
      <c r="C10" s="623"/>
      <c r="D10" s="625" t="s">
        <v>913</v>
      </c>
      <c r="E10" s="626"/>
      <c r="F10" s="626" t="s">
        <v>914</v>
      </c>
      <c r="G10" s="627"/>
      <c r="H10" s="1082">
        <f>IF(SUM(H6:H9)=0,0,AVERAGE(H6:H9))</f>
        <v>3.2500000000000001E-2</v>
      </c>
      <c r="I10" s="627"/>
      <c r="J10" s="631"/>
      <c r="K10" s="631"/>
      <c r="L10" s="631"/>
    </row>
    <row r="11" spans="1:12">
      <c r="A11" s="623"/>
      <c r="B11" s="623"/>
      <c r="C11" s="623"/>
      <c r="D11" s="625"/>
      <c r="E11" s="626"/>
      <c r="F11" s="626"/>
      <c r="G11" s="627"/>
      <c r="H11" s="631"/>
      <c r="I11" s="627"/>
      <c r="J11" s="631"/>
      <c r="K11" s="631"/>
      <c r="L11" s="631"/>
    </row>
    <row r="12" spans="1:12">
      <c r="A12" s="623">
        <f>A10+1</f>
        <v>6</v>
      </c>
      <c r="B12" s="623"/>
      <c r="C12" s="623"/>
      <c r="D12" s="625" t="s">
        <v>915</v>
      </c>
      <c r="E12" s="626"/>
      <c r="F12" s="626"/>
      <c r="H12" s="1080">
        <f>+H10</f>
        <v>3.2500000000000001E-2</v>
      </c>
      <c r="I12" s="635"/>
      <c r="J12" s="635"/>
      <c r="K12" s="635"/>
      <c r="L12" s="632"/>
    </row>
    <row r="13" spans="1:12">
      <c r="A13" s="623">
        <f>+A12+1</f>
        <v>7</v>
      </c>
      <c r="B13" s="623"/>
      <c r="C13" s="623"/>
      <c r="D13" s="625" t="s">
        <v>916</v>
      </c>
      <c r="E13" s="626"/>
      <c r="F13" s="626" t="s">
        <v>917</v>
      </c>
      <c r="G13" s="627"/>
      <c r="H13" s="1080">
        <f>+H12/12</f>
        <v>2.7083333333333334E-3</v>
      </c>
      <c r="I13" s="626"/>
      <c r="J13" s="626"/>
      <c r="K13" s="626"/>
      <c r="L13" s="626"/>
    </row>
    <row r="14" spans="1:12">
      <c r="A14" s="623"/>
      <c r="B14" s="623"/>
      <c r="C14" s="627"/>
      <c r="D14" s="627"/>
      <c r="E14" s="627"/>
      <c r="F14" s="627"/>
      <c r="G14" s="627"/>
      <c r="H14" s="627"/>
      <c r="I14" s="627"/>
      <c r="J14" s="627"/>
      <c r="K14" s="627"/>
      <c r="L14" s="627"/>
    </row>
    <row r="15" spans="1:12">
      <c r="A15" s="623"/>
      <c r="B15" s="623"/>
      <c r="C15" s="633"/>
      <c r="D15" s="627"/>
      <c r="E15" s="627"/>
      <c r="F15" s="627"/>
      <c r="G15" s="627"/>
      <c r="H15" s="627"/>
      <c r="I15" s="627"/>
      <c r="J15" s="627"/>
      <c r="K15" s="627"/>
      <c r="L15" s="627"/>
    </row>
    <row r="16" spans="1:12" ht="30.75" customHeight="1">
      <c r="A16" s="634"/>
      <c r="B16" s="623"/>
      <c r="C16" s="636"/>
      <c r="D16" s="1374"/>
      <c r="E16" s="1300"/>
      <c r="F16" s="1300"/>
      <c r="G16" s="1300"/>
      <c r="H16" s="1300"/>
      <c r="I16" s="1300"/>
      <c r="J16" s="1300"/>
      <c r="K16" s="1300"/>
      <c r="L16" s="1300"/>
    </row>
    <row r="17" spans="1:12" ht="30" customHeight="1">
      <c r="A17" s="623"/>
      <c r="B17" s="623"/>
      <c r="C17" s="636"/>
      <c r="D17" s="1375"/>
      <c r="E17" s="1375"/>
      <c r="F17" s="1375"/>
      <c r="G17" s="1375"/>
      <c r="H17" s="1375"/>
      <c r="I17" s="1375"/>
      <c r="J17" s="1375"/>
      <c r="K17" s="1375"/>
      <c r="L17" s="1375"/>
    </row>
    <row r="18" spans="1:12">
      <c r="A18" s="623"/>
      <c r="B18" s="623"/>
      <c r="C18" s="623"/>
      <c r="D18" s="627"/>
      <c r="E18" s="627"/>
      <c r="F18" s="627"/>
      <c r="G18" s="627"/>
      <c r="H18" s="627"/>
      <c r="I18" s="627"/>
      <c r="J18" s="627"/>
      <c r="K18" s="627"/>
      <c r="L18" s="627"/>
    </row>
    <row r="19" spans="1:12">
      <c r="A19" s="623"/>
      <c r="B19" s="623"/>
      <c r="C19" s="623"/>
      <c r="E19" s="627"/>
      <c r="F19" s="627"/>
      <c r="G19" s="627"/>
      <c r="H19" s="627"/>
      <c r="I19" s="627"/>
      <c r="J19" s="627"/>
      <c r="K19" s="627"/>
      <c r="L19" s="627"/>
    </row>
    <row r="20" spans="1:12">
      <c r="A20" s="623"/>
      <c r="B20" s="623"/>
      <c r="C20" s="623"/>
      <c r="D20" s="627"/>
      <c r="E20" s="627"/>
      <c r="F20" s="627"/>
      <c r="G20" s="627"/>
      <c r="H20" s="627"/>
      <c r="I20" s="627"/>
      <c r="J20" s="627"/>
      <c r="K20" s="627"/>
      <c r="L20" s="627"/>
    </row>
    <row r="21" spans="1:12">
      <c r="A21" s="623"/>
      <c r="B21" s="623"/>
      <c r="C21" s="623"/>
      <c r="E21" s="627"/>
      <c r="F21" s="627"/>
      <c r="G21" s="627"/>
      <c r="H21" s="627"/>
      <c r="I21" s="627"/>
      <c r="J21" s="627"/>
      <c r="K21" s="627"/>
      <c r="L21" s="627"/>
    </row>
    <row r="22" spans="1:12">
      <c r="A22" s="623"/>
      <c r="B22" s="623"/>
      <c r="C22" s="623"/>
      <c r="D22" s="627"/>
      <c r="E22" s="627"/>
      <c r="F22" s="627"/>
      <c r="G22" s="627"/>
      <c r="H22" s="627"/>
      <c r="I22" s="627"/>
      <c r="J22" s="627"/>
      <c r="K22" s="627"/>
      <c r="L22" s="627"/>
    </row>
  </sheetData>
  <mergeCells count="2">
    <mergeCell ref="D16:L16"/>
    <mergeCell ref="D17:L17"/>
  </mergeCells>
  <pageMargins left="0.7" right="0.7" top="0.75" bottom="0.75" header="0.3" footer="0.3"/>
  <pageSetup scale="5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Q258"/>
  <sheetViews>
    <sheetView view="pageBreakPreview" zoomScale="75" zoomScaleNormal="75" zoomScaleSheetLayoutView="75" workbookViewId="0"/>
  </sheetViews>
  <sheetFormatPr defaultColWidth="8.81640625" defaultRowHeight="15"/>
  <cols>
    <col min="1" max="1" width="21.81640625" customWidth="1"/>
    <col min="2" max="2" width="2.08984375" customWidth="1"/>
    <col min="3" max="3" width="26.1796875" customWidth="1"/>
    <col min="4" max="4" width="2.1796875" customWidth="1"/>
    <col min="5" max="5" width="26.1796875" customWidth="1"/>
    <col min="6" max="6" width="1.81640625" customWidth="1"/>
    <col min="7" max="7" width="16.1796875" customWidth="1"/>
    <col min="8" max="8" width="2.1796875" customWidth="1"/>
    <col min="9" max="9" width="15.453125" customWidth="1"/>
    <col min="10" max="10" width="2.453125" customWidth="1"/>
    <col min="11" max="11" width="15" customWidth="1"/>
    <col min="12" max="12" width="2.08984375" customWidth="1"/>
    <col min="13" max="13" width="15.81640625" customWidth="1"/>
    <col min="14" max="14" width="1.453125" customWidth="1"/>
    <col min="15" max="15" width="18.08984375" customWidth="1"/>
    <col min="16" max="17" width="10.81640625" bestFit="1" customWidth="1"/>
  </cols>
  <sheetData>
    <row r="1" spans="1:15" s="220" customFormat="1">
      <c r="N1"/>
      <c r="O1"/>
    </row>
    <row r="2" spans="1:15" s="220" customFormat="1" ht="15.6">
      <c r="A2" s="1376" t="s">
        <v>918</v>
      </c>
      <c r="B2" s="1376"/>
      <c r="C2" s="1376"/>
      <c r="D2" s="1376"/>
      <c r="E2" s="1376"/>
      <c r="F2" s="1376"/>
      <c r="G2" s="1376"/>
      <c r="H2" s="1376"/>
      <c r="I2" s="1376"/>
      <c r="J2" s="1376"/>
      <c r="K2" s="1376"/>
      <c r="L2" s="1376"/>
      <c r="M2" s="1376"/>
      <c r="N2"/>
      <c r="O2"/>
    </row>
    <row r="3" spans="1:15" s="220" customFormat="1" ht="15.6">
      <c r="A3" s="1371" t="str">
        <f>+'7 - True-Up'!A3:K3</f>
        <v>New York Transco LLC</v>
      </c>
      <c r="B3" s="1371"/>
      <c r="C3" s="1371"/>
      <c r="D3" s="1371"/>
      <c r="E3" s="1371"/>
      <c r="F3" s="1371"/>
      <c r="G3" s="1371"/>
      <c r="H3" s="1371"/>
      <c r="I3" s="1371"/>
      <c r="J3" s="1371"/>
      <c r="K3" s="1371"/>
      <c r="L3" s="1371"/>
      <c r="M3" s="1371"/>
      <c r="N3"/>
      <c r="O3"/>
    </row>
    <row r="4" spans="1:15" s="220" customFormat="1" ht="15.6">
      <c r="A4" s="1376"/>
      <c r="B4" s="1376"/>
      <c r="C4" s="1376"/>
      <c r="D4" s="1376"/>
      <c r="E4" s="1376"/>
      <c r="F4" s="1376"/>
      <c r="G4" s="1376"/>
      <c r="H4" s="1376"/>
      <c r="I4" s="1376"/>
      <c r="J4" s="1376"/>
      <c r="K4" s="1376"/>
      <c r="L4" s="1376"/>
      <c r="M4" s="1376"/>
      <c r="N4" s="222"/>
      <c r="O4" s="222"/>
    </row>
    <row r="5" spans="1:15" s="220" customFormat="1" ht="15.6">
      <c r="A5" s="221"/>
      <c r="B5" s="221"/>
      <c r="C5" s="221"/>
      <c r="D5" s="221"/>
      <c r="E5" s="221"/>
      <c r="F5" s="221"/>
      <c r="G5" s="221"/>
      <c r="H5" s="221"/>
      <c r="I5" s="221"/>
      <c r="J5" s="221"/>
      <c r="K5" s="221"/>
      <c r="L5" s="221"/>
      <c r="M5" s="221"/>
      <c r="N5" s="222"/>
      <c r="O5" s="222"/>
    </row>
    <row r="6" spans="1:15" s="220" customFormat="1" ht="16.2" thickBot="1">
      <c r="A6" s="278"/>
      <c r="B6" s="221"/>
      <c r="C6" s="221"/>
      <c r="D6" s="221"/>
      <c r="E6" s="221"/>
      <c r="F6" s="221"/>
      <c r="G6" s="221"/>
      <c r="H6" s="221"/>
      <c r="I6" s="221"/>
      <c r="J6" s="221"/>
      <c r="K6" s="221"/>
      <c r="L6" s="221"/>
      <c r="M6" s="221"/>
      <c r="N6" s="222"/>
      <c r="O6" s="222"/>
    </row>
    <row r="7" spans="1:15" ht="15.6">
      <c r="A7" s="1377" t="s">
        <v>919</v>
      </c>
      <c r="B7" s="1378"/>
      <c r="C7" s="1378"/>
      <c r="D7" s="1378"/>
      <c r="E7" s="1378"/>
      <c r="F7" s="1378"/>
      <c r="G7" s="1378"/>
      <c r="H7" s="1378"/>
      <c r="I7" s="1378"/>
      <c r="J7" s="1378"/>
      <c r="K7" s="1378"/>
      <c r="L7" s="1378"/>
      <c r="M7" s="1378"/>
      <c r="N7" s="1378"/>
      <c r="O7" s="1379"/>
    </row>
    <row r="8" spans="1:15" ht="15.6">
      <c r="A8" s="659"/>
      <c r="B8" s="660"/>
      <c r="C8" s="660"/>
      <c r="D8" s="660"/>
      <c r="E8" s="660"/>
      <c r="F8" s="224"/>
      <c r="G8" s="1381" t="s">
        <v>920</v>
      </c>
      <c r="H8" s="1382"/>
      <c r="I8" s="1382"/>
      <c r="J8" s="1382"/>
      <c r="K8" s="1383"/>
      <c r="L8" s="224"/>
      <c r="M8" s="223"/>
      <c r="N8" s="223"/>
      <c r="O8" s="267"/>
    </row>
    <row r="9" spans="1:15" ht="78">
      <c r="A9" s="661" t="s">
        <v>921</v>
      </c>
      <c r="B9" s="268"/>
      <c r="C9" s="662" t="s">
        <v>922</v>
      </c>
      <c r="D9" s="660"/>
      <c r="E9" s="662" t="s">
        <v>923</v>
      </c>
      <c r="F9" s="224"/>
      <c r="G9" s="662" t="s">
        <v>924</v>
      </c>
      <c r="H9" s="269"/>
      <c r="I9" s="662" t="s">
        <v>925</v>
      </c>
      <c r="J9" s="269"/>
      <c r="K9" s="663" t="s">
        <v>869</v>
      </c>
      <c r="M9" s="662" t="s">
        <v>926</v>
      </c>
      <c r="N9" s="223"/>
      <c r="O9" s="664" t="s">
        <v>927</v>
      </c>
    </row>
    <row r="10" spans="1:15">
      <c r="A10" s="608">
        <v>2014</v>
      </c>
      <c r="B10" s="609"/>
      <c r="C10" s="610">
        <v>7.1775783387799455E-2</v>
      </c>
      <c r="D10" s="611"/>
      <c r="E10" s="610">
        <v>6.5000000000000002E-2</v>
      </c>
      <c r="F10" s="612"/>
      <c r="G10" s="613">
        <v>0</v>
      </c>
      <c r="H10" s="614"/>
      <c r="I10" s="613">
        <v>0</v>
      </c>
      <c r="J10" s="222"/>
      <c r="K10" s="575">
        <f t="shared" ref="K10:K15" si="0">G10-I10</f>
        <v>0</v>
      </c>
      <c r="L10" s="220"/>
      <c r="M10" s="576">
        <v>5.4999999999999997E-3</v>
      </c>
      <c r="N10" s="222"/>
      <c r="O10" s="577">
        <f>M70</f>
        <v>0</v>
      </c>
    </row>
    <row r="11" spans="1:15">
      <c r="A11" s="615">
        <f>+A10+1</f>
        <v>2015</v>
      </c>
      <c r="B11" s="616"/>
      <c r="C11" s="617">
        <v>6.8000000000000005E-2</v>
      </c>
      <c r="D11" s="612"/>
      <c r="E11" s="610">
        <v>6.5000000000000002E-2</v>
      </c>
      <c r="F11" s="612"/>
      <c r="G11" s="612">
        <v>0</v>
      </c>
      <c r="H11" s="612"/>
      <c r="I11" s="612">
        <v>0</v>
      </c>
      <c r="J11" s="222"/>
      <c r="K11" s="575">
        <f t="shared" si="0"/>
        <v>0</v>
      </c>
      <c r="L11" s="222"/>
      <c r="M11" s="576">
        <v>5.5999999999999999E-3</v>
      </c>
      <c r="N11" s="222"/>
      <c r="O11" s="577">
        <f>M119</f>
        <v>0</v>
      </c>
    </row>
    <row r="12" spans="1:15">
      <c r="A12" s="615">
        <f>+A11+1</f>
        <v>2016</v>
      </c>
      <c r="B12" s="616"/>
      <c r="C12" s="617">
        <v>7.1999999999999995E-2</v>
      </c>
      <c r="D12" s="612"/>
      <c r="E12" s="610">
        <v>6.5000000000000002E-2</v>
      </c>
      <c r="F12" s="612"/>
      <c r="G12" s="612">
        <v>0</v>
      </c>
      <c r="H12" s="612"/>
      <c r="I12" s="612">
        <v>0</v>
      </c>
      <c r="J12" s="222"/>
      <c r="K12" s="575">
        <f t="shared" si="0"/>
        <v>0</v>
      </c>
      <c r="L12" s="222"/>
      <c r="M12" s="576">
        <v>5.4000000000000003E-3</v>
      </c>
      <c r="N12" s="222"/>
      <c r="O12" s="577">
        <f>M163</f>
        <v>0</v>
      </c>
    </row>
    <row r="13" spans="1:15">
      <c r="A13" s="615">
        <f>+A12+1</f>
        <v>2017</v>
      </c>
      <c r="B13" s="616"/>
      <c r="C13" s="617">
        <v>7.2999999999999995E-2</v>
      </c>
      <c r="D13" s="612"/>
      <c r="E13" s="610">
        <v>6.5000000000000002E-2</v>
      </c>
      <c r="F13" s="612"/>
      <c r="G13" s="612">
        <v>0</v>
      </c>
      <c r="H13" s="612"/>
      <c r="I13" s="612">
        <v>0</v>
      </c>
      <c r="J13" s="222"/>
      <c r="K13" s="575">
        <f t="shared" si="0"/>
        <v>0</v>
      </c>
      <c r="L13" s="222"/>
      <c r="M13" s="576">
        <v>5.7999999999999996E-3</v>
      </c>
      <c r="N13" s="222"/>
      <c r="O13" s="577">
        <f>M210</f>
        <v>0</v>
      </c>
    </row>
    <row r="14" spans="1:15">
      <c r="A14" s="615">
        <f>+A13+1</f>
        <v>2018</v>
      </c>
      <c r="B14" s="616" t="s">
        <v>928</v>
      </c>
      <c r="C14" s="617">
        <v>7.0999999999999994E-2</v>
      </c>
      <c r="D14" s="612"/>
      <c r="E14" s="610">
        <v>6.5000000000000002E-2</v>
      </c>
      <c r="F14" s="612"/>
      <c r="G14" s="612">
        <v>0</v>
      </c>
      <c r="H14" s="612"/>
      <c r="I14" s="612">
        <v>0</v>
      </c>
      <c r="J14" s="222"/>
      <c r="K14" s="575">
        <f t="shared" si="0"/>
        <v>0</v>
      </c>
      <c r="L14" s="222"/>
      <c r="M14" s="576">
        <v>5.7000000000000002E-3</v>
      </c>
      <c r="N14" s="222"/>
      <c r="O14" s="577">
        <f>M252</f>
        <v>0</v>
      </c>
    </row>
    <row r="15" spans="1:15">
      <c r="A15" s="615">
        <f>+A14</f>
        <v>2018</v>
      </c>
      <c r="B15" s="616" t="s">
        <v>929</v>
      </c>
      <c r="C15" s="618">
        <v>6.5000000000000002E-2</v>
      </c>
      <c r="D15" s="612"/>
      <c r="E15" s="610">
        <v>6.5000000000000002E-2</v>
      </c>
      <c r="F15" s="612"/>
      <c r="G15" s="612">
        <v>0</v>
      </c>
      <c r="H15" s="612"/>
      <c r="I15" s="612">
        <f>G15</f>
        <v>0</v>
      </c>
      <c r="J15" s="222"/>
      <c r="K15" s="575">
        <f t="shared" si="0"/>
        <v>0</v>
      </c>
      <c r="L15" s="222"/>
      <c r="M15" s="576"/>
      <c r="N15" s="222"/>
      <c r="O15" s="580"/>
    </row>
    <row r="16" spans="1:15">
      <c r="A16" s="578"/>
      <c r="B16" s="222"/>
      <c r="C16" s="579"/>
      <c r="D16" s="222"/>
      <c r="E16" s="574"/>
      <c r="F16" s="222"/>
      <c r="G16" s="222"/>
      <c r="H16" s="222"/>
      <c r="I16" s="222"/>
      <c r="J16" s="222"/>
      <c r="K16" s="575"/>
      <c r="L16" s="222"/>
      <c r="M16" s="576"/>
      <c r="N16" s="222"/>
      <c r="O16" s="577">
        <f>SUM(O10:O15)</f>
        <v>0</v>
      </c>
    </row>
    <row r="17" spans="1:16">
      <c r="A17" s="581" t="s">
        <v>930</v>
      </c>
      <c r="B17" s="223"/>
      <c r="C17" s="223"/>
      <c r="D17" s="223"/>
      <c r="E17" s="223"/>
      <c r="F17" s="223"/>
      <c r="G17" s="223"/>
      <c r="H17" s="223"/>
      <c r="I17" s="223"/>
      <c r="J17" s="223"/>
      <c r="K17" s="223"/>
      <c r="L17" s="223"/>
      <c r="M17" s="270"/>
      <c r="N17" s="223"/>
      <c r="O17" s="267"/>
    </row>
    <row r="18" spans="1:16">
      <c r="A18" s="279" t="s">
        <v>931</v>
      </c>
      <c r="B18" s="223"/>
      <c r="C18" s="223"/>
      <c r="D18" s="223"/>
      <c r="E18" s="223"/>
      <c r="F18" s="223"/>
      <c r="G18" s="223"/>
      <c r="H18" s="223"/>
      <c r="I18" s="223"/>
      <c r="J18" s="223"/>
      <c r="K18" s="223"/>
      <c r="L18" s="223"/>
      <c r="M18" s="223"/>
      <c r="N18" s="223"/>
      <c r="O18" s="267"/>
    </row>
    <row r="19" spans="1:16">
      <c r="A19" s="279" t="s">
        <v>932</v>
      </c>
      <c r="B19" s="223"/>
      <c r="C19" s="223"/>
      <c r="D19" s="223"/>
      <c r="E19" s="223"/>
      <c r="F19" s="223"/>
      <c r="G19" s="223"/>
      <c r="H19" s="223"/>
      <c r="I19" s="223"/>
      <c r="J19" s="223"/>
      <c r="K19" s="223"/>
      <c r="L19" s="223"/>
      <c r="M19" s="223"/>
      <c r="N19" s="223"/>
      <c r="O19" s="267"/>
    </row>
    <row r="20" spans="1:16">
      <c r="A20" s="280"/>
      <c r="B20" s="223"/>
      <c r="C20" s="223"/>
      <c r="D20" s="223"/>
      <c r="E20" s="223"/>
      <c r="F20" s="223"/>
      <c r="G20" s="223"/>
      <c r="H20" s="223"/>
      <c r="I20" s="223"/>
      <c r="J20" s="223"/>
      <c r="K20" s="223"/>
      <c r="L20" s="223"/>
      <c r="M20" s="223"/>
      <c r="N20" s="223"/>
      <c r="O20" s="267"/>
    </row>
    <row r="21" spans="1:16" ht="15.6">
      <c r="A21" s="582"/>
      <c r="B21" s="223"/>
      <c r="C21" s="223"/>
      <c r="D21" s="223"/>
      <c r="E21" s="223"/>
      <c r="F21" s="223"/>
      <c r="G21" s="223"/>
      <c r="H21" s="223"/>
      <c r="I21" s="223"/>
      <c r="J21" s="223"/>
      <c r="K21" s="223"/>
      <c r="L21" s="223"/>
      <c r="M21" s="223"/>
      <c r="N21" s="223"/>
      <c r="O21" s="267"/>
    </row>
    <row r="22" spans="1:16" ht="15.6">
      <c r="A22" s="271"/>
      <c r="B22" s="272"/>
      <c r="D22" s="225"/>
      <c r="E22" s="225"/>
      <c r="F22" s="225"/>
      <c r="G22" s="225"/>
      <c r="H22" s="225"/>
      <c r="I22" s="225"/>
      <c r="J22" s="225"/>
      <c r="K22" s="225"/>
      <c r="L22" s="225"/>
      <c r="M22" s="225"/>
      <c r="N22" s="225"/>
      <c r="O22" s="273"/>
      <c r="P22" s="220"/>
    </row>
    <row r="23" spans="1:16" ht="15.6">
      <c r="A23" s="274"/>
      <c r="B23" s="227"/>
      <c r="C23" s="226"/>
      <c r="D23" s="226"/>
      <c r="E23" s="227"/>
      <c r="F23" s="227"/>
      <c r="G23" s="226"/>
      <c r="H23" s="226"/>
      <c r="I23" s="227"/>
      <c r="J23" s="227"/>
      <c r="K23" s="222"/>
      <c r="L23" s="222"/>
      <c r="M23" s="222"/>
      <c r="N23" s="222"/>
      <c r="O23" s="275"/>
      <c r="P23" s="220"/>
    </row>
    <row r="24" spans="1:16" ht="16.2" thickBot="1">
      <c r="A24" s="276"/>
      <c r="B24" s="229"/>
      <c r="C24" s="230"/>
      <c r="D24" s="230"/>
      <c r="E24" s="229"/>
      <c r="F24" s="229"/>
      <c r="G24" s="230"/>
      <c r="H24" s="230"/>
      <c r="I24" s="229"/>
      <c r="J24" s="229"/>
      <c r="K24" s="231"/>
      <c r="L24" s="231"/>
      <c r="M24" s="231"/>
      <c r="N24" s="231"/>
      <c r="O24" s="277"/>
      <c r="P24" s="220"/>
    </row>
    <row r="25" spans="1:16" ht="35.25" customHeight="1">
      <c r="A25" s="1380" t="s">
        <v>933</v>
      </c>
      <c r="B25" s="1380"/>
      <c r="C25" s="1380"/>
      <c r="D25" s="1380"/>
      <c r="E25" s="1380"/>
      <c r="F25" s="1380"/>
      <c r="G25" s="1380"/>
      <c r="H25" s="1380"/>
      <c r="I25" s="1380"/>
      <c r="J25" s="1380"/>
      <c r="K25" s="1380"/>
      <c r="L25" s="1380"/>
      <c r="M25" s="1380"/>
      <c r="N25" s="1380"/>
      <c r="O25" s="1380"/>
      <c r="P25" s="220"/>
    </row>
    <row r="26" spans="1:16" ht="53.25" customHeight="1">
      <c r="A26" s="232" t="s">
        <v>934</v>
      </c>
      <c r="B26" s="232"/>
      <c r="C26" s="226"/>
      <c r="D26" s="226"/>
      <c r="E26" s="233" t="s">
        <v>879</v>
      </c>
      <c r="F26" s="227"/>
      <c r="G26" s="233" t="s">
        <v>935</v>
      </c>
      <c r="H26" s="233"/>
      <c r="I26" s="228" t="s">
        <v>881</v>
      </c>
      <c r="J26" s="228"/>
      <c r="K26" s="234" t="s">
        <v>882</v>
      </c>
      <c r="L26" s="234"/>
      <c r="M26" s="233" t="s">
        <v>883</v>
      </c>
      <c r="N26" s="235"/>
      <c r="O26" s="233" t="s">
        <v>884</v>
      </c>
      <c r="P26" s="220"/>
    </row>
    <row r="27" spans="1:16" ht="15.6">
      <c r="A27" s="232"/>
      <c r="B27" s="232"/>
      <c r="C27" s="226"/>
      <c r="D27" s="226"/>
      <c r="E27" s="222"/>
      <c r="F27" s="236"/>
      <c r="G27" s="236"/>
      <c r="H27" s="236"/>
      <c r="I27" s="227"/>
      <c r="J27" s="227"/>
      <c r="K27" s="222"/>
      <c r="L27" s="222"/>
      <c r="M27" s="222"/>
      <c r="N27" s="222"/>
      <c r="O27" s="222"/>
      <c r="P27" s="220"/>
    </row>
    <row r="28" spans="1:16" ht="15.6">
      <c r="A28" s="237" t="s">
        <v>28</v>
      </c>
      <c r="B28" s="237"/>
      <c r="C28" s="226"/>
      <c r="D28" s="226"/>
      <c r="E28" s="226"/>
      <c r="F28" s="226"/>
      <c r="G28" s="226" t="s">
        <v>28</v>
      </c>
      <c r="H28" s="226"/>
      <c r="I28" s="222"/>
      <c r="J28" s="222"/>
      <c r="K28" s="222"/>
      <c r="L28" s="222"/>
      <c r="M28" s="222"/>
      <c r="N28" s="222"/>
      <c r="O28" s="222"/>
      <c r="P28" s="220"/>
    </row>
    <row r="29" spans="1:16" ht="18">
      <c r="A29" s="240" t="s">
        <v>936</v>
      </c>
      <c r="B29" s="241"/>
      <c r="C29" s="242"/>
      <c r="D29" s="242"/>
      <c r="E29" s="242"/>
      <c r="F29" s="242"/>
      <c r="G29" s="243"/>
      <c r="H29" s="243"/>
      <c r="I29" s="243"/>
      <c r="J29" s="243"/>
      <c r="K29" s="244"/>
      <c r="L29" s="244"/>
      <c r="M29" s="242"/>
      <c r="N29" s="242"/>
      <c r="O29" s="245"/>
      <c r="P29" s="220"/>
    </row>
    <row r="30" spans="1:16" ht="15.6">
      <c r="A30" s="246" t="s">
        <v>937</v>
      </c>
      <c r="B30" s="247"/>
      <c r="C30" s="226"/>
      <c r="D30" s="226"/>
      <c r="E30" s="226"/>
      <c r="F30" s="226"/>
      <c r="G30" s="222"/>
      <c r="H30" s="222"/>
      <c r="I30" s="222"/>
      <c r="J30" s="222"/>
      <c r="K30" s="228" t="s">
        <v>889</v>
      </c>
      <c r="L30" s="228"/>
      <c r="M30" s="226"/>
      <c r="N30" s="226"/>
      <c r="O30" s="248"/>
      <c r="P30" s="220"/>
    </row>
    <row r="31" spans="1:16" ht="18">
      <c r="A31" s="249"/>
      <c r="B31" s="247"/>
      <c r="C31" s="226"/>
      <c r="D31" s="226"/>
      <c r="E31" s="226"/>
      <c r="F31" s="226"/>
      <c r="G31" s="222"/>
      <c r="H31" s="222"/>
      <c r="I31" s="222"/>
      <c r="J31" s="222"/>
      <c r="K31" s="228"/>
      <c r="L31" s="228"/>
      <c r="M31" s="226"/>
      <c r="N31" s="226"/>
      <c r="O31" s="248"/>
      <c r="P31" s="220"/>
    </row>
    <row r="32" spans="1:16" ht="15.6">
      <c r="A32" s="250" t="s">
        <v>331</v>
      </c>
      <c r="B32" s="225"/>
      <c r="C32" s="225" t="s">
        <v>938</v>
      </c>
      <c r="D32" s="225"/>
      <c r="E32" s="239">
        <v>0</v>
      </c>
      <c r="F32" s="239"/>
      <c r="G32" s="251">
        <f>M10</f>
        <v>5.4999999999999997E-3</v>
      </c>
      <c r="H32" s="251"/>
      <c r="I32" s="583">
        <v>12</v>
      </c>
      <c r="J32" s="225"/>
      <c r="K32" s="239">
        <f t="shared" ref="K32:K43" si="1">G32*E32*I32*-1</f>
        <v>0</v>
      </c>
      <c r="L32" s="239"/>
      <c r="M32" s="239"/>
      <c r="N32" s="239"/>
      <c r="O32" s="252">
        <f t="shared" ref="O32:O43" si="2">(-K32+E32)*-1</f>
        <v>0</v>
      </c>
      <c r="P32" s="220"/>
    </row>
    <row r="33" spans="1:16" ht="15.6">
      <c r="A33" s="250" t="s">
        <v>333</v>
      </c>
      <c r="B33" s="225"/>
      <c r="C33" s="225" t="str">
        <f t="shared" ref="C33:C43" si="3">C32</f>
        <v>Year 2014</v>
      </c>
      <c r="D33" s="225"/>
      <c r="E33" s="239">
        <v>0</v>
      </c>
      <c r="F33" s="239"/>
      <c r="G33" s="251">
        <f t="shared" ref="G33:G43" si="4">+G32</f>
        <v>5.4999999999999997E-3</v>
      </c>
      <c r="H33" s="251"/>
      <c r="I33" s="584">
        <f t="shared" ref="I33:I43" si="5">+I32-1</f>
        <v>11</v>
      </c>
      <c r="J33" s="253"/>
      <c r="K33" s="239">
        <f t="shared" si="1"/>
        <v>0</v>
      </c>
      <c r="L33" s="239"/>
      <c r="M33" s="239"/>
      <c r="N33" s="239"/>
      <c r="O33" s="252">
        <f t="shared" si="2"/>
        <v>0</v>
      </c>
      <c r="P33" s="220"/>
    </row>
    <row r="34" spans="1:16" ht="15.6">
      <c r="A34" s="250" t="s">
        <v>334</v>
      </c>
      <c r="B34" s="225"/>
      <c r="C34" s="225" t="str">
        <f t="shared" si="3"/>
        <v>Year 2014</v>
      </c>
      <c r="D34" s="225"/>
      <c r="E34" s="239">
        <f>K10/10</f>
        <v>0</v>
      </c>
      <c r="F34" s="239"/>
      <c r="G34" s="251">
        <f t="shared" si="4"/>
        <v>5.4999999999999997E-3</v>
      </c>
      <c r="H34" s="251"/>
      <c r="I34" s="584">
        <f t="shared" si="5"/>
        <v>10</v>
      </c>
      <c r="J34" s="253"/>
      <c r="K34" s="239">
        <f t="shared" si="1"/>
        <v>0</v>
      </c>
      <c r="L34" s="239"/>
      <c r="M34" s="239"/>
      <c r="N34" s="239"/>
      <c r="O34" s="252">
        <f t="shared" si="2"/>
        <v>0</v>
      </c>
      <c r="P34" s="220"/>
    </row>
    <row r="35" spans="1:16" ht="15.6">
      <c r="A35" s="250" t="s">
        <v>335</v>
      </c>
      <c r="B35" s="225"/>
      <c r="C35" s="225" t="str">
        <f t="shared" si="3"/>
        <v>Year 2014</v>
      </c>
      <c r="D35" s="225"/>
      <c r="E35" s="239">
        <f t="shared" ref="E35:E43" si="6">+E34</f>
        <v>0</v>
      </c>
      <c r="F35" s="239"/>
      <c r="G35" s="251">
        <f t="shared" si="4"/>
        <v>5.4999999999999997E-3</v>
      </c>
      <c r="H35" s="251"/>
      <c r="I35" s="584">
        <f t="shared" si="5"/>
        <v>9</v>
      </c>
      <c r="J35" s="253"/>
      <c r="K35" s="239">
        <f t="shared" si="1"/>
        <v>0</v>
      </c>
      <c r="L35" s="239"/>
      <c r="M35" s="239"/>
      <c r="N35" s="239"/>
      <c r="O35" s="252">
        <f t="shared" si="2"/>
        <v>0</v>
      </c>
      <c r="P35" s="220"/>
    </row>
    <row r="36" spans="1:16" ht="15.6">
      <c r="A36" s="250" t="s">
        <v>336</v>
      </c>
      <c r="B36" s="225"/>
      <c r="C36" s="225" t="str">
        <f t="shared" si="3"/>
        <v>Year 2014</v>
      </c>
      <c r="D36" s="225"/>
      <c r="E36" s="239">
        <f t="shared" si="6"/>
        <v>0</v>
      </c>
      <c r="F36" s="239"/>
      <c r="G36" s="251">
        <f t="shared" si="4"/>
        <v>5.4999999999999997E-3</v>
      </c>
      <c r="H36" s="251"/>
      <c r="I36" s="584">
        <f t="shared" si="5"/>
        <v>8</v>
      </c>
      <c r="J36" s="253"/>
      <c r="K36" s="239">
        <f t="shared" si="1"/>
        <v>0</v>
      </c>
      <c r="L36" s="239"/>
      <c r="M36" s="239"/>
      <c r="N36" s="239"/>
      <c r="O36" s="252">
        <f t="shared" si="2"/>
        <v>0</v>
      </c>
      <c r="P36" s="220"/>
    </row>
    <row r="37" spans="1:16" ht="15.6">
      <c r="A37" s="250" t="s">
        <v>507</v>
      </c>
      <c r="B37" s="225"/>
      <c r="C37" s="225" t="str">
        <f t="shared" si="3"/>
        <v>Year 2014</v>
      </c>
      <c r="D37" s="225"/>
      <c r="E37" s="239">
        <f t="shared" si="6"/>
        <v>0</v>
      </c>
      <c r="F37" s="239"/>
      <c r="G37" s="251">
        <f t="shared" si="4"/>
        <v>5.4999999999999997E-3</v>
      </c>
      <c r="H37" s="251"/>
      <c r="I37" s="584">
        <f t="shared" si="5"/>
        <v>7</v>
      </c>
      <c r="J37" s="253"/>
      <c r="K37" s="239">
        <f t="shared" si="1"/>
        <v>0</v>
      </c>
      <c r="L37" s="239"/>
      <c r="M37" s="239"/>
      <c r="N37" s="239"/>
      <c r="O37" s="252">
        <f t="shared" si="2"/>
        <v>0</v>
      </c>
      <c r="P37" s="220"/>
    </row>
    <row r="38" spans="1:16" ht="15.6">
      <c r="A38" s="250" t="s">
        <v>338</v>
      </c>
      <c r="B38" s="225"/>
      <c r="C38" s="225" t="str">
        <f t="shared" si="3"/>
        <v>Year 2014</v>
      </c>
      <c r="D38" s="225"/>
      <c r="E38" s="239">
        <f t="shared" si="6"/>
        <v>0</v>
      </c>
      <c r="F38" s="239"/>
      <c r="G38" s="251">
        <f t="shared" si="4"/>
        <v>5.4999999999999997E-3</v>
      </c>
      <c r="H38" s="251"/>
      <c r="I38" s="584">
        <f t="shared" si="5"/>
        <v>6</v>
      </c>
      <c r="J38" s="253"/>
      <c r="K38" s="239">
        <f t="shared" si="1"/>
        <v>0</v>
      </c>
      <c r="L38" s="239"/>
      <c r="M38" s="239"/>
      <c r="N38" s="239"/>
      <c r="O38" s="252">
        <f t="shared" si="2"/>
        <v>0</v>
      </c>
      <c r="P38" s="220"/>
    </row>
    <row r="39" spans="1:16" ht="15.6">
      <c r="A39" s="250" t="s">
        <v>339</v>
      </c>
      <c r="B39" s="225"/>
      <c r="C39" s="225" t="str">
        <f t="shared" si="3"/>
        <v>Year 2014</v>
      </c>
      <c r="D39" s="225"/>
      <c r="E39" s="239">
        <f t="shared" si="6"/>
        <v>0</v>
      </c>
      <c r="F39" s="239"/>
      <c r="G39" s="251">
        <f t="shared" si="4"/>
        <v>5.4999999999999997E-3</v>
      </c>
      <c r="H39" s="251"/>
      <c r="I39" s="584">
        <f t="shared" si="5"/>
        <v>5</v>
      </c>
      <c r="J39" s="253"/>
      <c r="K39" s="239">
        <f t="shared" si="1"/>
        <v>0</v>
      </c>
      <c r="L39" s="239"/>
      <c r="M39" s="239"/>
      <c r="N39" s="239"/>
      <c r="O39" s="252">
        <f t="shared" si="2"/>
        <v>0</v>
      </c>
      <c r="P39" s="220"/>
    </row>
    <row r="40" spans="1:16" ht="15.6">
      <c r="A40" s="250" t="s">
        <v>340</v>
      </c>
      <c r="B40" s="225"/>
      <c r="C40" s="225" t="str">
        <f t="shared" si="3"/>
        <v>Year 2014</v>
      </c>
      <c r="D40" s="225"/>
      <c r="E40" s="239">
        <f t="shared" si="6"/>
        <v>0</v>
      </c>
      <c r="F40" s="239"/>
      <c r="G40" s="251">
        <f t="shared" si="4"/>
        <v>5.4999999999999997E-3</v>
      </c>
      <c r="H40" s="251"/>
      <c r="I40" s="584">
        <f t="shared" si="5"/>
        <v>4</v>
      </c>
      <c r="J40" s="253"/>
      <c r="K40" s="239">
        <f t="shared" si="1"/>
        <v>0</v>
      </c>
      <c r="L40" s="239"/>
      <c r="M40" s="239"/>
      <c r="N40" s="239"/>
      <c r="O40" s="252">
        <f t="shared" si="2"/>
        <v>0</v>
      </c>
      <c r="P40" s="220"/>
    </row>
    <row r="41" spans="1:16" ht="15.6">
      <c r="A41" s="250" t="s">
        <v>347</v>
      </c>
      <c r="B41" s="225"/>
      <c r="C41" s="225" t="str">
        <f t="shared" si="3"/>
        <v>Year 2014</v>
      </c>
      <c r="D41" s="225"/>
      <c r="E41" s="239">
        <f t="shared" si="6"/>
        <v>0</v>
      </c>
      <c r="F41" s="239"/>
      <c r="G41" s="251">
        <f t="shared" si="4"/>
        <v>5.4999999999999997E-3</v>
      </c>
      <c r="H41" s="251"/>
      <c r="I41" s="584">
        <f t="shared" si="5"/>
        <v>3</v>
      </c>
      <c r="J41" s="253"/>
      <c r="K41" s="239">
        <f t="shared" si="1"/>
        <v>0</v>
      </c>
      <c r="L41" s="239"/>
      <c r="M41" s="239"/>
      <c r="N41" s="239"/>
      <c r="O41" s="252">
        <f t="shared" si="2"/>
        <v>0</v>
      </c>
      <c r="P41" s="220"/>
    </row>
    <row r="42" spans="1:16" ht="15.6">
      <c r="A42" s="250" t="s">
        <v>342</v>
      </c>
      <c r="B42" s="225"/>
      <c r="C42" s="225" t="str">
        <f t="shared" si="3"/>
        <v>Year 2014</v>
      </c>
      <c r="D42" s="225"/>
      <c r="E42" s="239">
        <f t="shared" si="6"/>
        <v>0</v>
      </c>
      <c r="F42" s="239"/>
      <c r="G42" s="251">
        <f t="shared" si="4"/>
        <v>5.4999999999999997E-3</v>
      </c>
      <c r="H42" s="251"/>
      <c r="I42" s="584">
        <f t="shared" si="5"/>
        <v>2</v>
      </c>
      <c r="J42" s="253"/>
      <c r="K42" s="239">
        <f t="shared" si="1"/>
        <v>0</v>
      </c>
      <c r="L42" s="239"/>
      <c r="M42" s="239"/>
      <c r="N42" s="239"/>
      <c r="O42" s="252">
        <f t="shared" si="2"/>
        <v>0</v>
      </c>
      <c r="P42" s="220"/>
    </row>
    <row r="43" spans="1:16" ht="15.6">
      <c r="A43" s="250" t="s">
        <v>329</v>
      </c>
      <c r="B43" s="225"/>
      <c r="C43" s="225" t="str">
        <f t="shared" si="3"/>
        <v>Year 2014</v>
      </c>
      <c r="D43" s="225"/>
      <c r="E43" s="239">
        <f t="shared" si="6"/>
        <v>0</v>
      </c>
      <c r="F43" s="239"/>
      <c r="G43" s="251">
        <f t="shared" si="4"/>
        <v>5.4999999999999997E-3</v>
      </c>
      <c r="H43" s="251"/>
      <c r="I43" s="584">
        <f t="shared" si="5"/>
        <v>1</v>
      </c>
      <c r="J43" s="253"/>
      <c r="K43" s="238">
        <f t="shared" si="1"/>
        <v>0</v>
      </c>
      <c r="L43" s="239"/>
      <c r="M43" s="239"/>
      <c r="N43" s="239"/>
      <c r="O43" s="252">
        <f t="shared" si="2"/>
        <v>0</v>
      </c>
      <c r="P43" s="220"/>
    </row>
    <row r="44" spans="1:16" ht="15.6">
      <c r="A44" s="250"/>
      <c r="B44" s="225"/>
      <c r="C44" s="225"/>
      <c r="D44" s="225"/>
      <c r="E44" s="239"/>
      <c r="F44" s="239"/>
      <c r="G44" s="251"/>
      <c r="H44" s="251"/>
      <c r="I44" s="253"/>
      <c r="J44" s="253"/>
      <c r="K44" s="239">
        <f>SUM(K32:K43)</f>
        <v>0</v>
      </c>
      <c r="L44" s="239"/>
      <c r="M44" s="239"/>
      <c r="N44" s="239"/>
      <c r="O44" s="254">
        <f>SUM(O32:O43)</f>
        <v>0</v>
      </c>
      <c r="P44" s="220"/>
    </row>
    <row r="45" spans="1:16" ht="15.6">
      <c r="A45" s="250"/>
      <c r="B45" s="225"/>
      <c r="C45" s="225"/>
      <c r="D45" s="225"/>
      <c r="E45" s="239"/>
      <c r="F45" s="239"/>
      <c r="G45" s="251"/>
      <c r="H45" s="251"/>
      <c r="I45" s="253"/>
      <c r="J45" s="253"/>
      <c r="K45" s="239"/>
      <c r="L45" s="239"/>
      <c r="M45" s="239"/>
      <c r="N45" s="239"/>
      <c r="O45" s="254"/>
      <c r="P45" s="220"/>
    </row>
    <row r="46" spans="1:16" ht="15.6">
      <c r="A46" s="250"/>
      <c r="B46" s="225"/>
      <c r="C46" s="225"/>
      <c r="D46" s="225"/>
      <c r="E46" s="239"/>
      <c r="F46" s="239"/>
      <c r="G46" s="251"/>
      <c r="H46" s="251"/>
      <c r="I46" s="253"/>
      <c r="J46" s="253"/>
      <c r="K46" s="255" t="s">
        <v>891</v>
      </c>
      <c r="L46" s="239"/>
      <c r="M46" s="239"/>
      <c r="N46" s="239"/>
      <c r="O46" s="254"/>
      <c r="P46" s="220"/>
    </row>
    <row r="47" spans="1:16" ht="15.6">
      <c r="A47" s="250"/>
      <c r="B47" s="225"/>
      <c r="C47" s="225"/>
      <c r="D47" s="225"/>
      <c r="E47" s="239"/>
      <c r="F47" s="239"/>
      <c r="G47" s="251"/>
      <c r="H47" s="251"/>
      <c r="I47" s="253"/>
      <c r="J47" s="253"/>
      <c r="K47" s="255"/>
      <c r="L47" s="239"/>
      <c r="M47" s="239"/>
      <c r="N47" s="239"/>
      <c r="O47" s="254"/>
      <c r="P47" s="220"/>
    </row>
    <row r="48" spans="1:16" ht="15.6">
      <c r="A48" s="250" t="s">
        <v>892</v>
      </c>
      <c r="B48" s="225"/>
      <c r="C48" s="225" t="s">
        <v>939</v>
      </c>
      <c r="D48" s="225"/>
      <c r="E48" s="239">
        <f>O44</f>
        <v>0</v>
      </c>
      <c r="F48" s="239"/>
      <c r="G48" s="251">
        <f>M11</f>
        <v>5.5999999999999999E-3</v>
      </c>
      <c r="H48" s="251"/>
      <c r="I48" s="583">
        <v>12</v>
      </c>
      <c r="J48" s="225"/>
      <c r="K48" s="239">
        <f>+I48*G48*E48</f>
        <v>0</v>
      </c>
      <c r="L48" s="239"/>
      <c r="M48" s="239" t="s">
        <v>28</v>
      </c>
      <c r="N48" s="239"/>
      <c r="O48" s="254">
        <f>+E48+K48</f>
        <v>0</v>
      </c>
      <c r="P48" s="220"/>
    </row>
    <row r="49" spans="1:17" ht="15.6">
      <c r="A49" s="250" t="s">
        <v>892</v>
      </c>
      <c r="B49" s="225"/>
      <c r="C49" s="225" t="s">
        <v>940</v>
      </c>
      <c r="D49" s="225"/>
      <c r="E49" s="227">
        <f>O48</f>
        <v>0</v>
      </c>
      <c r="F49" s="227"/>
      <c r="G49" s="251">
        <f>M12</f>
        <v>5.4000000000000003E-3</v>
      </c>
      <c r="H49" s="251"/>
      <c r="I49" s="583">
        <v>12</v>
      </c>
      <c r="J49" s="225"/>
      <c r="K49" s="239">
        <f>+I49*G49*E49</f>
        <v>0</v>
      </c>
      <c r="L49" s="239"/>
      <c r="M49" s="239"/>
      <c r="N49" s="239"/>
      <c r="O49" s="254">
        <f>+E49+K49</f>
        <v>0</v>
      </c>
      <c r="P49" s="220"/>
    </row>
    <row r="50" spans="1:17" ht="15.6">
      <c r="A50" s="250" t="s">
        <v>892</v>
      </c>
      <c r="B50" s="225"/>
      <c r="C50" s="253" t="s">
        <v>941</v>
      </c>
      <c r="D50" s="225"/>
      <c r="E50" s="227">
        <f>O49</f>
        <v>0</v>
      </c>
      <c r="F50" s="227"/>
      <c r="G50" s="251">
        <f>M13</f>
        <v>5.7999999999999996E-3</v>
      </c>
      <c r="H50" s="251"/>
      <c r="I50" s="583">
        <v>12</v>
      </c>
      <c r="J50" s="225"/>
      <c r="K50" s="239">
        <f>+I50*G50*E50</f>
        <v>0</v>
      </c>
      <c r="L50" s="239"/>
      <c r="M50" s="239"/>
      <c r="N50" s="239"/>
      <c r="O50" s="254">
        <f>+E50+K50</f>
        <v>0</v>
      </c>
      <c r="P50" s="220"/>
    </row>
    <row r="51" spans="1:17" ht="15.6">
      <c r="A51" s="250" t="s">
        <v>892</v>
      </c>
      <c r="B51" s="225"/>
      <c r="C51" s="225" t="s">
        <v>942</v>
      </c>
      <c r="D51" s="225"/>
      <c r="E51" s="227">
        <f>O50</f>
        <v>0</v>
      </c>
      <c r="F51" s="227"/>
      <c r="G51" s="251">
        <f>M14</f>
        <v>5.7000000000000002E-3</v>
      </c>
      <c r="H51" s="251"/>
      <c r="I51" s="583">
        <v>12</v>
      </c>
      <c r="J51" s="225"/>
      <c r="K51" s="239">
        <f>+I51*G51*E51</f>
        <v>0</v>
      </c>
      <c r="L51" s="239"/>
      <c r="M51" s="239"/>
      <c r="N51" s="239"/>
      <c r="O51" s="254">
        <f>+E51+K51</f>
        <v>0</v>
      </c>
      <c r="P51" s="220"/>
    </row>
    <row r="52" spans="1:17" ht="15.6">
      <c r="A52" s="250" t="s">
        <v>892</v>
      </c>
      <c r="B52" s="225"/>
      <c r="C52" s="225" t="s">
        <v>943</v>
      </c>
      <c r="D52" s="225"/>
      <c r="E52" s="227">
        <f>O51</f>
        <v>0</v>
      </c>
      <c r="F52" s="227"/>
      <c r="G52" s="251">
        <f>M14</f>
        <v>5.7000000000000002E-3</v>
      </c>
      <c r="H52" s="251"/>
      <c r="I52" s="583">
        <v>12</v>
      </c>
      <c r="J52" s="225"/>
      <c r="K52" s="239">
        <f>+I52*G52*E52</f>
        <v>0</v>
      </c>
      <c r="L52" s="239"/>
      <c r="M52" s="239"/>
      <c r="N52" s="239"/>
      <c r="O52" s="254">
        <f>+E52+K52</f>
        <v>0</v>
      </c>
      <c r="P52" s="220"/>
    </row>
    <row r="53" spans="1:17" ht="15.6">
      <c r="A53" s="250"/>
      <c r="B53" s="225"/>
      <c r="C53" s="225"/>
      <c r="D53" s="225"/>
      <c r="E53" s="227"/>
      <c r="F53" s="227"/>
      <c r="G53" s="251"/>
      <c r="H53" s="251"/>
      <c r="I53" s="225"/>
      <c r="J53" s="225"/>
      <c r="K53" s="239"/>
      <c r="L53" s="239"/>
      <c r="M53" s="239"/>
      <c r="N53" s="239"/>
      <c r="O53" s="254"/>
      <c r="P53" s="220"/>
    </row>
    <row r="54" spans="1:17" ht="15.6">
      <c r="A54" s="250"/>
      <c r="B54" s="225"/>
      <c r="C54" s="225"/>
      <c r="D54" s="225"/>
      <c r="E54" s="227"/>
      <c r="F54" s="227"/>
      <c r="G54" s="251"/>
      <c r="H54" s="251"/>
      <c r="I54" s="225"/>
      <c r="J54" s="225"/>
      <c r="K54" s="239"/>
      <c r="L54" s="239"/>
      <c r="M54" s="239"/>
      <c r="N54" s="239"/>
      <c r="O54" s="252"/>
      <c r="P54" s="220"/>
    </row>
    <row r="55" spans="1:17" ht="15.6">
      <c r="A55" s="256" t="s">
        <v>894</v>
      </c>
      <c r="B55" s="257"/>
      <c r="C55" s="225"/>
      <c r="D55" s="225"/>
      <c r="E55" s="239"/>
      <c r="F55" s="239"/>
      <c r="G55" s="251"/>
      <c r="H55" s="251"/>
      <c r="I55" s="225"/>
      <c r="J55" s="225"/>
      <c r="K55" s="255" t="s">
        <v>889</v>
      </c>
      <c r="L55" s="255"/>
      <c r="M55" s="239"/>
      <c r="N55" s="239"/>
      <c r="O55" s="252"/>
      <c r="P55" s="220"/>
    </row>
    <row r="56" spans="1:17" ht="15.6">
      <c r="A56" s="250" t="s">
        <v>331</v>
      </c>
      <c r="B56" s="225"/>
      <c r="C56" s="225" t="s">
        <v>944</v>
      </c>
      <c r="D56" s="225"/>
      <c r="E56" s="258">
        <f>-O52</f>
        <v>0</v>
      </c>
      <c r="F56" s="227"/>
      <c r="G56" s="251">
        <f>G52</f>
        <v>5.7000000000000002E-3</v>
      </c>
      <c r="H56" s="251"/>
      <c r="I56" s="225"/>
      <c r="J56" s="225"/>
      <c r="K56" s="239">
        <f t="shared" ref="K56:K67" si="7" xml:space="preserve"> -G56*E56</f>
        <v>0</v>
      </c>
      <c r="L56" s="239"/>
      <c r="M56" s="239">
        <f>-PMT(G56,12,O52)</f>
        <v>0</v>
      </c>
      <c r="N56" s="239"/>
      <c r="O56" s="252">
        <f t="shared" ref="O56:O67" si="8">(+E56+E56*G56+M56)*-1</f>
        <v>0</v>
      </c>
      <c r="P56" s="220"/>
    </row>
    <row r="57" spans="1:17" ht="15.6">
      <c r="A57" s="250" t="s">
        <v>333</v>
      </c>
      <c r="B57" s="225"/>
      <c r="C57" s="225" t="str">
        <f>+C56</f>
        <v>Year 2020</v>
      </c>
      <c r="D57" s="225"/>
      <c r="E57" s="227">
        <f t="shared" ref="E57:E67" si="9">-O56</f>
        <v>0</v>
      </c>
      <c r="F57" s="227"/>
      <c r="G57" s="251">
        <f t="shared" ref="G57:G67" si="10">+G56</f>
        <v>5.7000000000000002E-3</v>
      </c>
      <c r="H57" s="251"/>
      <c r="I57" s="225"/>
      <c r="J57" s="225"/>
      <c r="K57" s="239">
        <f t="shared" si="7"/>
        <v>0</v>
      </c>
      <c r="L57" s="239"/>
      <c r="M57" s="239">
        <f t="shared" ref="M57:M67" si="11">M56</f>
        <v>0</v>
      </c>
      <c r="N57" s="239"/>
      <c r="O57" s="252">
        <f t="shared" si="8"/>
        <v>0</v>
      </c>
      <c r="P57" s="220"/>
    </row>
    <row r="58" spans="1:17" ht="15.6">
      <c r="A58" s="250" t="s">
        <v>334</v>
      </c>
      <c r="B58" s="225"/>
      <c r="C58" s="225" t="str">
        <f>+C57</f>
        <v>Year 2020</v>
      </c>
      <c r="D58" s="225"/>
      <c r="E58" s="227">
        <f t="shared" si="9"/>
        <v>0</v>
      </c>
      <c r="F58" s="227"/>
      <c r="G58" s="251">
        <f t="shared" si="10"/>
        <v>5.7000000000000002E-3</v>
      </c>
      <c r="H58" s="251"/>
      <c r="I58" s="225"/>
      <c r="J58" s="225"/>
      <c r="K58" s="239">
        <f t="shared" si="7"/>
        <v>0</v>
      </c>
      <c r="L58" s="239"/>
      <c r="M58" s="239">
        <f t="shared" si="11"/>
        <v>0</v>
      </c>
      <c r="N58" s="239"/>
      <c r="O58" s="252">
        <f t="shared" si="8"/>
        <v>0</v>
      </c>
      <c r="P58" s="283"/>
      <c r="Q58" s="213"/>
    </row>
    <row r="59" spans="1:17" ht="15.6">
      <c r="A59" s="250" t="s">
        <v>335</v>
      </c>
      <c r="B59" s="225"/>
      <c r="C59" s="225" t="str">
        <f>+C58</f>
        <v>Year 2020</v>
      </c>
      <c r="D59" s="225"/>
      <c r="E59" s="227">
        <f t="shared" si="9"/>
        <v>0</v>
      </c>
      <c r="F59" s="227"/>
      <c r="G59" s="251">
        <f t="shared" si="10"/>
        <v>5.7000000000000002E-3</v>
      </c>
      <c r="H59" s="251"/>
      <c r="I59" s="225"/>
      <c r="J59" s="225"/>
      <c r="K59" s="239">
        <f t="shared" si="7"/>
        <v>0</v>
      </c>
      <c r="L59" s="239"/>
      <c r="M59" s="239">
        <f t="shared" si="11"/>
        <v>0</v>
      </c>
      <c r="N59" s="239"/>
      <c r="O59" s="252">
        <f t="shared" si="8"/>
        <v>0</v>
      </c>
      <c r="P59" s="283"/>
      <c r="Q59" s="213"/>
    </row>
    <row r="60" spans="1:17" ht="15.6">
      <c r="A60" s="250" t="s">
        <v>336</v>
      </c>
      <c r="B60" s="225"/>
      <c r="C60" s="225" t="str">
        <f>+C59</f>
        <v>Year 2020</v>
      </c>
      <c r="D60" s="225"/>
      <c r="E60" s="227">
        <f t="shared" si="9"/>
        <v>0</v>
      </c>
      <c r="F60" s="227"/>
      <c r="G60" s="251">
        <f t="shared" si="10"/>
        <v>5.7000000000000002E-3</v>
      </c>
      <c r="H60" s="251"/>
      <c r="I60" s="225"/>
      <c r="J60" s="225"/>
      <c r="K60" s="239">
        <f t="shared" si="7"/>
        <v>0</v>
      </c>
      <c r="L60" s="239"/>
      <c r="M60" s="239">
        <f t="shared" si="11"/>
        <v>0</v>
      </c>
      <c r="N60" s="239"/>
      <c r="O60" s="252">
        <f t="shared" si="8"/>
        <v>0</v>
      </c>
      <c r="P60" s="283"/>
      <c r="Q60" s="213"/>
    </row>
    <row r="61" spans="1:17" ht="15.6">
      <c r="A61" s="250" t="s">
        <v>507</v>
      </c>
      <c r="B61" s="225"/>
      <c r="C61" s="225" t="str">
        <f>C60</f>
        <v>Year 2020</v>
      </c>
      <c r="D61" s="222"/>
      <c r="E61" s="227">
        <f t="shared" si="9"/>
        <v>0</v>
      </c>
      <c r="F61" s="227"/>
      <c r="G61" s="251">
        <f t="shared" si="10"/>
        <v>5.7000000000000002E-3</v>
      </c>
      <c r="H61" s="251"/>
      <c r="I61" s="225"/>
      <c r="J61" s="225"/>
      <c r="K61" s="239">
        <f t="shared" si="7"/>
        <v>0</v>
      </c>
      <c r="L61" s="239"/>
      <c r="M61" s="239">
        <f t="shared" si="11"/>
        <v>0</v>
      </c>
      <c r="N61" s="239"/>
      <c r="O61" s="252">
        <f t="shared" si="8"/>
        <v>0</v>
      </c>
      <c r="P61" s="283"/>
      <c r="Q61" s="213"/>
    </row>
    <row r="62" spans="1:17" ht="15.6">
      <c r="A62" s="250" t="s">
        <v>338</v>
      </c>
      <c r="B62" s="225"/>
      <c r="C62" s="225" t="str">
        <f t="shared" ref="C62:C67" si="12">+C61</f>
        <v>Year 2020</v>
      </c>
      <c r="D62" s="225"/>
      <c r="E62" s="227">
        <f t="shared" si="9"/>
        <v>0</v>
      </c>
      <c r="F62" s="227"/>
      <c r="G62" s="251">
        <f t="shared" si="10"/>
        <v>5.7000000000000002E-3</v>
      </c>
      <c r="H62" s="251"/>
      <c r="I62" s="225"/>
      <c r="J62" s="225"/>
      <c r="K62" s="239">
        <f t="shared" si="7"/>
        <v>0</v>
      </c>
      <c r="L62" s="239"/>
      <c r="M62" s="239">
        <f t="shared" si="11"/>
        <v>0</v>
      </c>
      <c r="N62" s="239"/>
      <c r="O62" s="252">
        <f t="shared" si="8"/>
        <v>0</v>
      </c>
      <c r="P62" s="283"/>
      <c r="Q62" s="213"/>
    </row>
    <row r="63" spans="1:17" ht="15.6">
      <c r="A63" s="250" t="s">
        <v>339</v>
      </c>
      <c r="B63" s="225"/>
      <c r="C63" s="225" t="str">
        <f t="shared" si="12"/>
        <v>Year 2020</v>
      </c>
      <c r="D63" s="225"/>
      <c r="E63" s="227">
        <f t="shared" si="9"/>
        <v>0</v>
      </c>
      <c r="F63" s="227"/>
      <c r="G63" s="251">
        <f t="shared" si="10"/>
        <v>5.7000000000000002E-3</v>
      </c>
      <c r="H63" s="251"/>
      <c r="I63" s="225"/>
      <c r="J63" s="225"/>
      <c r="K63" s="239">
        <f t="shared" si="7"/>
        <v>0</v>
      </c>
      <c r="L63" s="239"/>
      <c r="M63" s="239">
        <f t="shared" si="11"/>
        <v>0</v>
      </c>
      <c r="N63" s="239"/>
      <c r="O63" s="252">
        <f t="shared" si="8"/>
        <v>0</v>
      </c>
      <c r="P63" s="283"/>
      <c r="Q63" s="213"/>
    </row>
    <row r="64" spans="1:17" ht="15.6">
      <c r="A64" s="250" t="s">
        <v>340</v>
      </c>
      <c r="B64" s="225"/>
      <c r="C64" s="225" t="str">
        <f t="shared" si="12"/>
        <v>Year 2020</v>
      </c>
      <c r="D64" s="225"/>
      <c r="E64" s="227">
        <f t="shared" si="9"/>
        <v>0</v>
      </c>
      <c r="F64" s="227"/>
      <c r="G64" s="251">
        <f t="shared" si="10"/>
        <v>5.7000000000000002E-3</v>
      </c>
      <c r="H64" s="251"/>
      <c r="I64" s="225"/>
      <c r="J64" s="225"/>
      <c r="K64" s="239">
        <f t="shared" si="7"/>
        <v>0</v>
      </c>
      <c r="L64" s="239"/>
      <c r="M64" s="239">
        <f t="shared" si="11"/>
        <v>0</v>
      </c>
      <c r="N64" s="239"/>
      <c r="O64" s="252">
        <f t="shared" si="8"/>
        <v>0</v>
      </c>
      <c r="P64" s="283"/>
      <c r="Q64" s="213"/>
    </row>
    <row r="65" spans="1:17" ht="15.6">
      <c r="A65" s="250" t="s">
        <v>347</v>
      </c>
      <c r="B65" s="225"/>
      <c r="C65" s="225" t="str">
        <f t="shared" si="12"/>
        <v>Year 2020</v>
      </c>
      <c r="D65" s="225"/>
      <c r="E65" s="227">
        <f t="shared" si="9"/>
        <v>0</v>
      </c>
      <c r="F65" s="227"/>
      <c r="G65" s="251">
        <f t="shared" si="10"/>
        <v>5.7000000000000002E-3</v>
      </c>
      <c r="H65" s="251"/>
      <c r="I65" s="225"/>
      <c r="J65" s="225"/>
      <c r="K65" s="239">
        <f t="shared" si="7"/>
        <v>0</v>
      </c>
      <c r="L65" s="239"/>
      <c r="M65" s="239">
        <f t="shared" si="11"/>
        <v>0</v>
      </c>
      <c r="N65" s="239"/>
      <c r="O65" s="252">
        <f t="shared" si="8"/>
        <v>0</v>
      </c>
      <c r="P65" s="283"/>
      <c r="Q65" s="213"/>
    </row>
    <row r="66" spans="1:17" ht="15.6">
      <c r="A66" s="250" t="s">
        <v>342</v>
      </c>
      <c r="B66" s="225"/>
      <c r="C66" s="225" t="str">
        <f t="shared" si="12"/>
        <v>Year 2020</v>
      </c>
      <c r="D66" s="225"/>
      <c r="E66" s="227">
        <f t="shared" si="9"/>
        <v>0</v>
      </c>
      <c r="F66" s="227"/>
      <c r="G66" s="251">
        <f t="shared" si="10"/>
        <v>5.7000000000000002E-3</v>
      </c>
      <c r="H66" s="251"/>
      <c r="I66" s="225"/>
      <c r="J66" s="225"/>
      <c r="K66" s="239">
        <f t="shared" si="7"/>
        <v>0</v>
      </c>
      <c r="L66" s="239"/>
      <c r="M66" s="239">
        <f t="shared" si="11"/>
        <v>0</v>
      </c>
      <c r="N66" s="239"/>
      <c r="O66" s="252">
        <f t="shared" si="8"/>
        <v>0</v>
      </c>
      <c r="P66" s="283"/>
      <c r="Q66" s="213"/>
    </row>
    <row r="67" spans="1:17" ht="15.6">
      <c r="A67" s="250" t="s">
        <v>329</v>
      </c>
      <c r="B67" s="225"/>
      <c r="C67" s="225" t="str">
        <f t="shared" si="12"/>
        <v>Year 2020</v>
      </c>
      <c r="D67" s="225"/>
      <c r="E67" s="227">
        <f t="shared" si="9"/>
        <v>0</v>
      </c>
      <c r="F67" s="227"/>
      <c r="G67" s="251">
        <f t="shared" si="10"/>
        <v>5.7000000000000002E-3</v>
      </c>
      <c r="H67" s="251"/>
      <c r="I67" s="225"/>
      <c r="J67" s="225"/>
      <c r="K67" s="238">
        <f t="shared" si="7"/>
        <v>0</v>
      </c>
      <c r="L67" s="239"/>
      <c r="M67" s="239">
        <f t="shared" si="11"/>
        <v>0</v>
      </c>
      <c r="N67" s="239"/>
      <c r="O67" s="252">
        <f t="shared" si="8"/>
        <v>0</v>
      </c>
      <c r="P67" s="283"/>
      <c r="Q67" s="213"/>
    </row>
    <row r="68" spans="1:17" ht="15.6">
      <c r="A68" s="250"/>
      <c r="B68" s="225"/>
      <c r="C68" s="225"/>
      <c r="D68" s="225"/>
      <c r="E68" s="227"/>
      <c r="F68" s="227"/>
      <c r="G68" s="251"/>
      <c r="H68" s="251"/>
      <c r="I68" s="225"/>
      <c r="J68" s="225"/>
      <c r="K68" s="239">
        <f>SUM(K56:K67)</f>
        <v>0</v>
      </c>
      <c r="L68" s="239"/>
      <c r="M68" s="239"/>
      <c r="N68" s="239"/>
      <c r="O68" s="252"/>
      <c r="P68" s="283"/>
      <c r="Q68" s="213"/>
    </row>
    <row r="69" spans="1:17">
      <c r="A69" s="259"/>
      <c r="B69" s="220"/>
      <c r="C69" s="220"/>
      <c r="D69" s="220"/>
      <c r="E69" s="220"/>
      <c r="F69" s="220"/>
      <c r="G69" s="220"/>
      <c r="H69" s="220"/>
      <c r="I69" s="220"/>
      <c r="J69" s="220"/>
      <c r="K69" s="220"/>
      <c r="L69" s="220"/>
      <c r="M69" s="220"/>
      <c r="N69" s="220"/>
      <c r="O69" s="260"/>
      <c r="P69" s="283"/>
      <c r="Q69" s="213"/>
    </row>
    <row r="70" spans="1:17" ht="15.6">
      <c r="A70" s="250" t="s">
        <v>945</v>
      </c>
      <c r="B70" s="225"/>
      <c r="C70" s="220"/>
      <c r="D70" s="220"/>
      <c r="E70" s="220"/>
      <c r="F70" s="220"/>
      <c r="G70" s="220"/>
      <c r="H70" s="220"/>
      <c r="I70" s="220"/>
      <c r="J70" s="220"/>
      <c r="K70" s="220"/>
      <c r="L70" s="220"/>
      <c r="M70" s="261">
        <f>SUM(M56:M67)</f>
        <v>0</v>
      </c>
      <c r="N70" s="220"/>
      <c r="O70" s="260"/>
      <c r="P70" s="283"/>
      <c r="Q70" s="213"/>
    </row>
    <row r="71" spans="1:17" ht="15.6">
      <c r="A71" s="250" t="s">
        <v>897</v>
      </c>
      <c r="B71" s="225"/>
      <c r="C71" s="220"/>
      <c r="D71" s="220"/>
      <c r="E71" s="220"/>
      <c r="F71" s="220"/>
      <c r="G71" s="220"/>
      <c r="H71" s="220"/>
      <c r="I71" s="220"/>
      <c r="J71" s="220"/>
      <c r="K71" s="220"/>
      <c r="L71" s="220"/>
      <c r="M71" s="261">
        <f>K10</f>
        <v>0</v>
      </c>
      <c r="N71" s="220"/>
      <c r="O71" s="260"/>
      <c r="P71" s="220"/>
    </row>
    <row r="72" spans="1:17" ht="15.6">
      <c r="A72" s="262" t="s">
        <v>898</v>
      </c>
      <c r="B72" s="263"/>
      <c r="C72" s="264"/>
      <c r="D72" s="264"/>
      <c r="E72" s="264"/>
      <c r="F72" s="264"/>
      <c r="G72" s="264"/>
      <c r="H72" s="264"/>
      <c r="I72" s="264"/>
      <c r="J72" s="264"/>
      <c r="K72" s="264"/>
      <c r="L72" s="264"/>
      <c r="M72" s="265">
        <f>(M70+M71)</f>
        <v>0</v>
      </c>
      <c r="N72" s="264"/>
      <c r="O72" s="266"/>
      <c r="P72" s="220"/>
    </row>
    <row r="73" spans="1:17">
      <c r="P73" s="220"/>
    </row>
    <row r="74" spans="1:17">
      <c r="P74" s="220"/>
    </row>
    <row r="75" spans="1:17" ht="15.6">
      <c r="A75" s="1376" t="s">
        <v>946</v>
      </c>
      <c r="B75" s="1376"/>
      <c r="C75" s="1376"/>
      <c r="D75" s="1376"/>
      <c r="E75" s="1376"/>
      <c r="F75" s="1376"/>
      <c r="G75" s="1376"/>
      <c r="H75" s="1376"/>
      <c r="I75" s="1376"/>
      <c r="J75" s="1376"/>
      <c r="K75" s="1376"/>
      <c r="L75" s="1376"/>
      <c r="M75" s="1376"/>
    </row>
    <row r="76" spans="1:17" ht="15.6">
      <c r="A76" s="1371" t="str">
        <f>+A3</f>
        <v>New York Transco LLC</v>
      </c>
      <c r="B76" s="1371"/>
      <c r="C76" s="1371"/>
      <c r="D76" s="1371"/>
      <c r="E76" s="1371"/>
      <c r="F76" s="1371"/>
      <c r="G76" s="1371"/>
      <c r="H76" s="1371"/>
      <c r="I76" s="1371"/>
      <c r="J76" s="1371"/>
      <c r="K76" s="1371"/>
      <c r="L76" s="1371"/>
      <c r="M76" s="1371"/>
    </row>
    <row r="77" spans="1:17" ht="15.6">
      <c r="A77" s="1376"/>
      <c r="B77" s="1376"/>
      <c r="C77" s="1376"/>
      <c r="D77" s="1376"/>
      <c r="E77" s="1376"/>
      <c r="F77" s="1376"/>
      <c r="G77" s="1376"/>
      <c r="H77" s="1376"/>
      <c r="I77" s="1376"/>
      <c r="J77" s="1376"/>
      <c r="K77" s="1376"/>
      <c r="L77" s="1376"/>
      <c r="M77" s="1376"/>
    </row>
    <row r="78" spans="1:17" ht="15.6">
      <c r="A78" s="214"/>
      <c r="B78" s="214"/>
      <c r="G78" s="215"/>
      <c r="H78" s="215"/>
      <c r="M78" s="216"/>
    </row>
    <row r="79" spans="1:17" ht="18">
      <c r="A79" s="240" t="s">
        <v>947</v>
      </c>
      <c r="B79" s="241"/>
      <c r="C79" s="242"/>
      <c r="D79" s="242"/>
      <c r="E79" s="242"/>
      <c r="F79" s="242"/>
      <c r="G79" s="243"/>
      <c r="H79" s="243"/>
      <c r="I79" s="243"/>
      <c r="J79" s="243"/>
      <c r="K79" s="244"/>
      <c r="L79" s="244"/>
      <c r="M79" s="242"/>
      <c r="N79" s="242"/>
      <c r="O79" s="245"/>
    </row>
    <row r="80" spans="1:17" ht="15.6">
      <c r="A80" s="246" t="s">
        <v>948</v>
      </c>
      <c r="B80" s="247"/>
      <c r="C80" s="226"/>
      <c r="D80" s="226"/>
      <c r="E80" s="226"/>
      <c r="F80" s="226"/>
      <c r="G80" s="222"/>
      <c r="H80" s="222"/>
      <c r="I80" s="222"/>
      <c r="J80" s="222"/>
      <c r="K80" s="228" t="s">
        <v>889</v>
      </c>
      <c r="L80" s="228"/>
      <c r="M80" s="226"/>
      <c r="N80" s="226"/>
      <c r="O80" s="248"/>
    </row>
    <row r="81" spans="1:15" ht="18">
      <c r="A81" s="249"/>
      <c r="B81" s="247"/>
      <c r="C81" s="226"/>
      <c r="D81" s="226"/>
      <c r="E81" s="226"/>
      <c r="F81" s="226"/>
      <c r="G81" s="222"/>
      <c r="H81" s="222"/>
      <c r="I81" s="222"/>
      <c r="J81" s="222"/>
      <c r="K81" s="228"/>
      <c r="L81" s="228"/>
      <c r="M81" s="226"/>
      <c r="N81" s="226"/>
      <c r="O81" s="248"/>
    </row>
    <row r="82" spans="1:15" ht="15.6">
      <c r="A82" s="250" t="s">
        <v>331</v>
      </c>
      <c r="B82" s="225"/>
      <c r="C82" s="225" t="s">
        <v>939</v>
      </c>
      <c r="D82" s="225"/>
      <c r="E82" s="239">
        <f>K11/12</f>
        <v>0</v>
      </c>
      <c r="F82" s="239"/>
      <c r="G82" s="251">
        <f>M11</f>
        <v>5.5999999999999999E-3</v>
      </c>
      <c r="H82" s="251"/>
      <c r="I82" s="583">
        <v>12</v>
      </c>
      <c r="J82" s="225"/>
      <c r="K82" s="239">
        <f t="shared" ref="K82:K93" si="13">G82*E82*I82*-1</f>
        <v>0</v>
      </c>
      <c r="L82" s="239"/>
      <c r="M82" s="239"/>
      <c r="N82" s="239"/>
      <c r="O82" s="252">
        <f t="shared" ref="O82:O93" si="14">(-K82+E82)*-1</f>
        <v>0</v>
      </c>
    </row>
    <row r="83" spans="1:15" ht="15.6">
      <c r="A83" s="250" t="s">
        <v>333</v>
      </c>
      <c r="B83" s="225"/>
      <c r="C83" s="225" t="str">
        <f t="shared" ref="C83:C93" si="15">C82</f>
        <v>Year 2015</v>
      </c>
      <c r="D83" s="225"/>
      <c r="E83" s="239">
        <f t="shared" ref="E83:E93" si="16">+E82</f>
        <v>0</v>
      </c>
      <c r="F83" s="239"/>
      <c r="G83" s="251">
        <f t="shared" ref="G83:G93" si="17">+G82</f>
        <v>5.5999999999999999E-3</v>
      </c>
      <c r="H83" s="251"/>
      <c r="I83" s="584">
        <f t="shared" ref="I83:I93" si="18">+I82-1</f>
        <v>11</v>
      </c>
      <c r="J83" s="253"/>
      <c r="K83" s="239">
        <f t="shared" si="13"/>
        <v>0</v>
      </c>
      <c r="L83" s="239"/>
      <c r="M83" s="239"/>
      <c r="N83" s="239"/>
      <c r="O83" s="252">
        <f t="shared" si="14"/>
        <v>0</v>
      </c>
    </row>
    <row r="84" spans="1:15" ht="15.6">
      <c r="A84" s="250" t="s">
        <v>334</v>
      </c>
      <c r="B84" s="225"/>
      <c r="C84" s="225" t="str">
        <f t="shared" si="15"/>
        <v>Year 2015</v>
      </c>
      <c r="D84" s="225"/>
      <c r="E84" s="239">
        <f t="shared" si="16"/>
        <v>0</v>
      </c>
      <c r="F84" s="239"/>
      <c r="G84" s="251">
        <f t="shared" si="17"/>
        <v>5.5999999999999999E-3</v>
      </c>
      <c r="H84" s="251"/>
      <c r="I84" s="584">
        <f t="shared" si="18"/>
        <v>10</v>
      </c>
      <c r="J84" s="253"/>
      <c r="K84" s="239">
        <f t="shared" si="13"/>
        <v>0</v>
      </c>
      <c r="L84" s="239"/>
      <c r="M84" s="239"/>
      <c r="N84" s="239"/>
      <c r="O84" s="252">
        <f t="shared" si="14"/>
        <v>0</v>
      </c>
    </row>
    <row r="85" spans="1:15" ht="15.6">
      <c r="A85" s="250" t="s">
        <v>335</v>
      </c>
      <c r="B85" s="225"/>
      <c r="C85" s="225" t="str">
        <f t="shared" si="15"/>
        <v>Year 2015</v>
      </c>
      <c r="D85" s="225"/>
      <c r="E85" s="239">
        <f t="shared" si="16"/>
        <v>0</v>
      </c>
      <c r="F85" s="239"/>
      <c r="G85" s="251">
        <f t="shared" si="17"/>
        <v>5.5999999999999999E-3</v>
      </c>
      <c r="H85" s="251"/>
      <c r="I85" s="584">
        <f t="shared" si="18"/>
        <v>9</v>
      </c>
      <c r="J85" s="253"/>
      <c r="K85" s="239">
        <f t="shared" si="13"/>
        <v>0</v>
      </c>
      <c r="L85" s="239"/>
      <c r="M85" s="239"/>
      <c r="N85" s="239"/>
      <c r="O85" s="252">
        <f t="shared" si="14"/>
        <v>0</v>
      </c>
    </row>
    <row r="86" spans="1:15" ht="15.6">
      <c r="A86" s="250" t="s">
        <v>336</v>
      </c>
      <c r="B86" s="225"/>
      <c r="C86" s="225" t="str">
        <f t="shared" si="15"/>
        <v>Year 2015</v>
      </c>
      <c r="D86" s="225"/>
      <c r="E86" s="239">
        <f t="shared" si="16"/>
        <v>0</v>
      </c>
      <c r="F86" s="239"/>
      <c r="G86" s="251">
        <f t="shared" si="17"/>
        <v>5.5999999999999999E-3</v>
      </c>
      <c r="H86" s="251"/>
      <c r="I86" s="584">
        <f t="shared" si="18"/>
        <v>8</v>
      </c>
      <c r="J86" s="253"/>
      <c r="K86" s="239">
        <f t="shared" si="13"/>
        <v>0</v>
      </c>
      <c r="L86" s="239"/>
      <c r="M86" s="239"/>
      <c r="N86" s="239"/>
      <c r="O86" s="252">
        <f t="shared" si="14"/>
        <v>0</v>
      </c>
    </row>
    <row r="87" spans="1:15" ht="15.6">
      <c r="A87" s="250" t="s">
        <v>507</v>
      </c>
      <c r="B87" s="225"/>
      <c r="C87" s="225" t="str">
        <f t="shared" si="15"/>
        <v>Year 2015</v>
      </c>
      <c r="D87" s="225"/>
      <c r="E87" s="239">
        <f t="shared" si="16"/>
        <v>0</v>
      </c>
      <c r="F87" s="239"/>
      <c r="G87" s="251">
        <f t="shared" si="17"/>
        <v>5.5999999999999999E-3</v>
      </c>
      <c r="H87" s="251"/>
      <c r="I87" s="584">
        <f t="shared" si="18"/>
        <v>7</v>
      </c>
      <c r="J87" s="253"/>
      <c r="K87" s="239">
        <f t="shared" si="13"/>
        <v>0</v>
      </c>
      <c r="L87" s="239"/>
      <c r="M87" s="239"/>
      <c r="N87" s="239"/>
      <c r="O87" s="252">
        <f t="shared" si="14"/>
        <v>0</v>
      </c>
    </row>
    <row r="88" spans="1:15" ht="15.6">
      <c r="A88" s="250" t="s">
        <v>338</v>
      </c>
      <c r="B88" s="225"/>
      <c r="C88" s="225" t="str">
        <f t="shared" si="15"/>
        <v>Year 2015</v>
      </c>
      <c r="D88" s="225"/>
      <c r="E88" s="239">
        <f t="shared" si="16"/>
        <v>0</v>
      </c>
      <c r="F88" s="239"/>
      <c r="G88" s="251">
        <f t="shared" si="17"/>
        <v>5.5999999999999999E-3</v>
      </c>
      <c r="H88" s="251"/>
      <c r="I88" s="584">
        <f t="shared" si="18"/>
        <v>6</v>
      </c>
      <c r="J88" s="253"/>
      <c r="K88" s="239">
        <f t="shared" si="13"/>
        <v>0</v>
      </c>
      <c r="L88" s="239"/>
      <c r="M88" s="239"/>
      <c r="N88" s="239"/>
      <c r="O88" s="252">
        <f t="shared" si="14"/>
        <v>0</v>
      </c>
    </row>
    <row r="89" spans="1:15" ht="15.6">
      <c r="A89" s="250" t="s">
        <v>339</v>
      </c>
      <c r="B89" s="225"/>
      <c r="C89" s="225" t="str">
        <f t="shared" si="15"/>
        <v>Year 2015</v>
      </c>
      <c r="D89" s="225"/>
      <c r="E89" s="239">
        <f t="shared" si="16"/>
        <v>0</v>
      </c>
      <c r="F89" s="239"/>
      <c r="G89" s="251">
        <f t="shared" si="17"/>
        <v>5.5999999999999999E-3</v>
      </c>
      <c r="H89" s="251"/>
      <c r="I89" s="584">
        <f t="shared" si="18"/>
        <v>5</v>
      </c>
      <c r="J89" s="253"/>
      <c r="K89" s="239">
        <f t="shared" si="13"/>
        <v>0</v>
      </c>
      <c r="L89" s="239"/>
      <c r="M89" s="239"/>
      <c r="N89" s="239"/>
      <c r="O89" s="252">
        <f t="shared" si="14"/>
        <v>0</v>
      </c>
    </row>
    <row r="90" spans="1:15" ht="15.6">
      <c r="A90" s="250" t="s">
        <v>340</v>
      </c>
      <c r="B90" s="225"/>
      <c r="C90" s="225" t="str">
        <f t="shared" si="15"/>
        <v>Year 2015</v>
      </c>
      <c r="D90" s="225"/>
      <c r="E90" s="239">
        <f t="shared" si="16"/>
        <v>0</v>
      </c>
      <c r="F90" s="239"/>
      <c r="G90" s="251">
        <f t="shared" si="17"/>
        <v>5.5999999999999999E-3</v>
      </c>
      <c r="H90" s="251"/>
      <c r="I90" s="584">
        <f t="shared" si="18"/>
        <v>4</v>
      </c>
      <c r="J90" s="253"/>
      <c r="K90" s="239">
        <f t="shared" si="13"/>
        <v>0</v>
      </c>
      <c r="L90" s="239"/>
      <c r="M90" s="239"/>
      <c r="N90" s="239"/>
      <c r="O90" s="252">
        <f t="shared" si="14"/>
        <v>0</v>
      </c>
    </row>
    <row r="91" spans="1:15" ht="15.6">
      <c r="A91" s="250" t="s">
        <v>347</v>
      </c>
      <c r="B91" s="225"/>
      <c r="C91" s="225" t="str">
        <f t="shared" si="15"/>
        <v>Year 2015</v>
      </c>
      <c r="D91" s="225"/>
      <c r="E91" s="239">
        <f t="shared" si="16"/>
        <v>0</v>
      </c>
      <c r="F91" s="239"/>
      <c r="G91" s="251">
        <f t="shared" si="17"/>
        <v>5.5999999999999999E-3</v>
      </c>
      <c r="H91" s="251"/>
      <c r="I91" s="584">
        <f t="shared" si="18"/>
        <v>3</v>
      </c>
      <c r="J91" s="253"/>
      <c r="K91" s="239">
        <f t="shared" si="13"/>
        <v>0</v>
      </c>
      <c r="L91" s="239"/>
      <c r="M91" s="239"/>
      <c r="N91" s="239"/>
      <c r="O91" s="252">
        <f t="shared" si="14"/>
        <v>0</v>
      </c>
    </row>
    <row r="92" spans="1:15" ht="15.6">
      <c r="A92" s="250" t="s">
        <v>342</v>
      </c>
      <c r="B92" s="225"/>
      <c r="C92" s="225" t="str">
        <f t="shared" si="15"/>
        <v>Year 2015</v>
      </c>
      <c r="D92" s="225"/>
      <c r="E92" s="239">
        <f t="shared" si="16"/>
        <v>0</v>
      </c>
      <c r="F92" s="239"/>
      <c r="G92" s="251">
        <f t="shared" si="17"/>
        <v>5.5999999999999999E-3</v>
      </c>
      <c r="H92" s="251"/>
      <c r="I92" s="584">
        <f t="shared" si="18"/>
        <v>2</v>
      </c>
      <c r="J92" s="253"/>
      <c r="K92" s="239">
        <f t="shared" si="13"/>
        <v>0</v>
      </c>
      <c r="L92" s="239"/>
      <c r="M92" s="239"/>
      <c r="N92" s="239"/>
      <c r="O92" s="252">
        <f t="shared" si="14"/>
        <v>0</v>
      </c>
    </row>
    <row r="93" spans="1:15" ht="15.6">
      <c r="A93" s="250" t="s">
        <v>329</v>
      </c>
      <c r="B93" s="225"/>
      <c r="C93" s="225" t="str">
        <f t="shared" si="15"/>
        <v>Year 2015</v>
      </c>
      <c r="D93" s="225"/>
      <c r="E93" s="239">
        <f t="shared" si="16"/>
        <v>0</v>
      </c>
      <c r="F93" s="239"/>
      <c r="G93" s="251">
        <f t="shared" si="17"/>
        <v>5.5999999999999999E-3</v>
      </c>
      <c r="H93" s="251"/>
      <c r="I93" s="584">
        <f t="shared" si="18"/>
        <v>1</v>
      </c>
      <c r="J93" s="253"/>
      <c r="K93" s="238">
        <f t="shared" si="13"/>
        <v>0</v>
      </c>
      <c r="L93" s="239"/>
      <c r="M93" s="239"/>
      <c r="N93" s="239"/>
      <c r="O93" s="252">
        <f t="shared" si="14"/>
        <v>0</v>
      </c>
    </row>
    <row r="94" spans="1:15" ht="15.6">
      <c r="A94" s="250"/>
      <c r="B94" s="225"/>
      <c r="C94" s="225"/>
      <c r="D94" s="225"/>
      <c r="E94" s="239"/>
      <c r="F94" s="239"/>
      <c r="G94" s="251"/>
      <c r="H94" s="251"/>
      <c r="I94" s="253"/>
      <c r="J94" s="253"/>
      <c r="K94" s="239">
        <f>SUM(K82:K93)</f>
        <v>0</v>
      </c>
      <c r="L94" s="239"/>
      <c r="M94" s="239"/>
      <c r="N94" s="239"/>
      <c r="O94" s="254">
        <f>SUM(O82:O93)</f>
        <v>0</v>
      </c>
    </row>
    <row r="95" spans="1:15" ht="15.6">
      <c r="A95" s="250"/>
      <c r="B95" s="225"/>
      <c r="C95" s="225"/>
      <c r="D95" s="225"/>
      <c r="E95" s="239"/>
      <c r="F95" s="239"/>
      <c r="G95" s="251"/>
      <c r="H95" s="251"/>
      <c r="I95" s="253"/>
      <c r="J95" s="253"/>
      <c r="K95" s="239"/>
      <c r="L95" s="239"/>
      <c r="M95" s="239"/>
      <c r="N95" s="239"/>
      <c r="O95" s="254"/>
    </row>
    <row r="96" spans="1:15" ht="15.6">
      <c r="A96" s="250"/>
      <c r="B96" s="225"/>
      <c r="C96" s="225"/>
      <c r="D96" s="225"/>
      <c r="E96" s="239"/>
      <c r="F96" s="239"/>
      <c r="G96" s="251"/>
      <c r="H96" s="251"/>
      <c r="I96" s="253"/>
      <c r="J96" s="253"/>
      <c r="K96" s="255" t="s">
        <v>891</v>
      </c>
      <c r="L96" s="239"/>
      <c r="M96" s="239"/>
      <c r="N96" s="239"/>
      <c r="O96" s="254"/>
    </row>
    <row r="97" spans="1:15" ht="15.6">
      <c r="A97" s="250"/>
      <c r="B97" s="225"/>
      <c r="C97" s="225"/>
      <c r="D97" s="225"/>
      <c r="E97" s="239"/>
      <c r="F97" s="239"/>
      <c r="G97" s="251"/>
      <c r="H97" s="251"/>
      <c r="I97" s="253"/>
      <c r="J97" s="253"/>
      <c r="K97" s="255"/>
      <c r="L97" s="239"/>
      <c r="M97" s="239"/>
      <c r="N97" s="239"/>
      <c r="O97" s="254"/>
    </row>
    <row r="98" spans="1:15" ht="15.6">
      <c r="A98" s="250" t="s">
        <v>892</v>
      </c>
      <c r="B98" s="225"/>
      <c r="C98" s="225" t="s">
        <v>940</v>
      </c>
      <c r="D98" s="225"/>
      <c r="E98" s="227">
        <f>O94</f>
        <v>0</v>
      </c>
      <c r="F98" s="227"/>
      <c r="G98" s="251">
        <f>M12</f>
        <v>5.4000000000000003E-3</v>
      </c>
      <c r="H98" s="251"/>
      <c r="I98" s="583">
        <v>12</v>
      </c>
      <c r="J98" s="225"/>
      <c r="K98" s="239">
        <f>+I98*G98*E98</f>
        <v>0</v>
      </c>
      <c r="L98" s="239"/>
      <c r="M98" s="239"/>
      <c r="N98" s="239"/>
      <c r="O98" s="254">
        <f>+E98+K98</f>
        <v>0</v>
      </c>
    </row>
    <row r="99" spans="1:15" ht="15.6">
      <c r="A99" s="250" t="s">
        <v>892</v>
      </c>
      <c r="B99" s="225"/>
      <c r="C99" s="253" t="s">
        <v>941</v>
      </c>
      <c r="D99" s="225"/>
      <c r="E99" s="227">
        <f>O98</f>
        <v>0</v>
      </c>
      <c r="F99" s="227"/>
      <c r="G99" s="251">
        <f>M13</f>
        <v>5.7999999999999996E-3</v>
      </c>
      <c r="H99" s="251"/>
      <c r="I99" s="583">
        <v>12</v>
      </c>
      <c r="J99" s="225"/>
      <c r="K99" s="239">
        <f>+I99*G99*E99</f>
        <v>0</v>
      </c>
      <c r="L99" s="239"/>
      <c r="M99" s="239"/>
      <c r="N99" s="239"/>
      <c r="O99" s="254">
        <f>+E99+K99</f>
        <v>0</v>
      </c>
    </row>
    <row r="100" spans="1:15" ht="15.6">
      <c r="A100" s="250" t="s">
        <v>892</v>
      </c>
      <c r="B100" s="225"/>
      <c r="C100" s="225" t="s">
        <v>942</v>
      </c>
      <c r="D100" s="225"/>
      <c r="E100" s="227">
        <f>O99</f>
        <v>0</v>
      </c>
      <c r="F100" s="227"/>
      <c r="G100" s="251">
        <f>M14</f>
        <v>5.7000000000000002E-3</v>
      </c>
      <c r="H100" s="251"/>
      <c r="I100" s="583">
        <v>12</v>
      </c>
      <c r="J100" s="225"/>
      <c r="K100" s="239">
        <f>+I100*G100*E100</f>
        <v>0</v>
      </c>
      <c r="L100" s="239"/>
      <c r="M100" s="239"/>
      <c r="N100" s="239"/>
      <c r="O100" s="254">
        <f>+E100+K100</f>
        <v>0</v>
      </c>
    </row>
    <row r="101" spans="1:15" ht="15.6">
      <c r="A101" s="250" t="s">
        <v>892</v>
      </c>
      <c r="B101" s="225"/>
      <c r="C101" s="225" t="s">
        <v>943</v>
      </c>
      <c r="D101" s="225"/>
      <c r="E101" s="227">
        <f>O100</f>
        <v>0</v>
      </c>
      <c r="F101" s="227"/>
      <c r="G101" s="251">
        <f>G100</f>
        <v>5.7000000000000002E-3</v>
      </c>
      <c r="H101" s="251"/>
      <c r="I101" s="583">
        <v>12</v>
      </c>
      <c r="J101" s="225"/>
      <c r="K101" s="239">
        <f>+I101*G101*E101</f>
        <v>0</v>
      </c>
      <c r="L101" s="239"/>
      <c r="M101" s="239"/>
      <c r="N101" s="239"/>
      <c r="O101" s="254">
        <f>+E101+K101</f>
        <v>0</v>
      </c>
    </row>
    <row r="102" spans="1:15" ht="15.6">
      <c r="A102" s="250"/>
      <c r="B102" s="225"/>
      <c r="C102" s="225"/>
      <c r="D102" s="225"/>
      <c r="E102" s="227"/>
      <c r="F102" s="227"/>
      <c r="G102" s="251"/>
      <c r="H102" s="251"/>
      <c r="I102" s="225"/>
      <c r="J102" s="225"/>
      <c r="K102" s="239"/>
      <c r="L102" s="239"/>
      <c r="M102" s="239"/>
      <c r="N102" s="239"/>
      <c r="O102" s="254"/>
    </row>
    <row r="103" spans="1:15" ht="15.6">
      <c r="A103" s="250"/>
      <c r="B103" s="225"/>
      <c r="C103" s="225"/>
      <c r="D103" s="225"/>
      <c r="E103" s="227"/>
      <c r="F103" s="227"/>
      <c r="G103" s="251"/>
      <c r="H103" s="251"/>
      <c r="I103" s="225"/>
      <c r="J103" s="225"/>
      <c r="K103" s="239"/>
      <c r="L103" s="239"/>
      <c r="M103" s="239"/>
      <c r="N103" s="239"/>
      <c r="O103" s="252"/>
    </row>
    <row r="104" spans="1:15" ht="15.6">
      <c r="A104" s="256" t="s">
        <v>894</v>
      </c>
      <c r="B104" s="257"/>
      <c r="C104" s="225"/>
      <c r="D104" s="225"/>
      <c r="E104" s="239"/>
      <c r="F104" s="239"/>
      <c r="G104" s="251"/>
      <c r="H104" s="251"/>
      <c r="I104" s="225"/>
      <c r="J104" s="225"/>
      <c r="K104" s="255" t="s">
        <v>889</v>
      </c>
      <c r="L104" s="255"/>
      <c r="M104" s="239"/>
      <c r="N104" s="239"/>
      <c r="O104" s="252"/>
    </row>
    <row r="105" spans="1:15" ht="15.6">
      <c r="A105" s="250" t="s">
        <v>331</v>
      </c>
      <c r="B105" s="225"/>
      <c r="C105" s="225" t="s">
        <v>944</v>
      </c>
      <c r="D105" s="225"/>
      <c r="E105" s="258">
        <f>-O101</f>
        <v>0</v>
      </c>
      <c r="F105" s="227"/>
      <c r="G105" s="251">
        <f>G101</f>
        <v>5.7000000000000002E-3</v>
      </c>
      <c r="H105" s="251"/>
      <c r="I105" s="225"/>
      <c r="J105" s="225"/>
      <c r="K105" s="239">
        <f t="shared" ref="K105:K116" si="19" xml:space="preserve"> -G105*E105</f>
        <v>0</v>
      </c>
      <c r="L105" s="239"/>
      <c r="M105" s="239">
        <f>-PMT(G105,12,O101)</f>
        <v>0</v>
      </c>
      <c r="N105" s="239"/>
      <c r="O105" s="252">
        <f t="shared" ref="O105:O116" si="20">(+E105+E105*G105+M105)*-1</f>
        <v>0</v>
      </c>
    </row>
    <row r="106" spans="1:15" ht="15.6">
      <c r="A106" s="250" t="s">
        <v>333</v>
      </c>
      <c r="B106" s="225"/>
      <c r="C106" s="225" t="str">
        <f>+C105</f>
        <v>Year 2020</v>
      </c>
      <c r="D106" s="225"/>
      <c r="E106" s="227">
        <f t="shared" ref="E106:E116" si="21">-O105</f>
        <v>0</v>
      </c>
      <c r="F106" s="227"/>
      <c r="G106" s="251">
        <f t="shared" ref="G106:G116" si="22">+G105</f>
        <v>5.7000000000000002E-3</v>
      </c>
      <c r="H106" s="251"/>
      <c r="I106" s="225"/>
      <c r="J106" s="225"/>
      <c r="K106" s="239">
        <f t="shared" si="19"/>
        <v>0</v>
      </c>
      <c r="L106" s="239"/>
      <c r="M106" s="239">
        <f t="shared" ref="M106:M116" si="23">M105</f>
        <v>0</v>
      </c>
      <c r="N106" s="239"/>
      <c r="O106" s="252">
        <f t="shared" si="20"/>
        <v>0</v>
      </c>
    </row>
    <row r="107" spans="1:15" ht="15.6">
      <c r="A107" s="250" t="s">
        <v>334</v>
      </c>
      <c r="B107" s="225"/>
      <c r="C107" s="225" t="str">
        <f>+C106</f>
        <v>Year 2020</v>
      </c>
      <c r="D107" s="225"/>
      <c r="E107" s="227">
        <f t="shared" si="21"/>
        <v>0</v>
      </c>
      <c r="F107" s="227"/>
      <c r="G107" s="251">
        <f t="shared" si="22"/>
        <v>5.7000000000000002E-3</v>
      </c>
      <c r="H107" s="251"/>
      <c r="I107" s="225"/>
      <c r="J107" s="225"/>
      <c r="K107" s="239">
        <f t="shared" si="19"/>
        <v>0</v>
      </c>
      <c r="L107" s="239"/>
      <c r="M107" s="239">
        <f t="shared" si="23"/>
        <v>0</v>
      </c>
      <c r="N107" s="239"/>
      <c r="O107" s="252">
        <f t="shared" si="20"/>
        <v>0</v>
      </c>
    </row>
    <row r="108" spans="1:15" ht="15.6">
      <c r="A108" s="250" t="s">
        <v>335</v>
      </c>
      <c r="B108" s="225"/>
      <c r="C108" s="225" t="str">
        <f>+C107</f>
        <v>Year 2020</v>
      </c>
      <c r="D108" s="225"/>
      <c r="E108" s="227">
        <f t="shared" si="21"/>
        <v>0</v>
      </c>
      <c r="F108" s="227"/>
      <c r="G108" s="251">
        <f t="shared" si="22"/>
        <v>5.7000000000000002E-3</v>
      </c>
      <c r="H108" s="251"/>
      <c r="I108" s="225"/>
      <c r="J108" s="225"/>
      <c r="K108" s="239">
        <f t="shared" si="19"/>
        <v>0</v>
      </c>
      <c r="L108" s="239"/>
      <c r="M108" s="239">
        <f t="shared" si="23"/>
        <v>0</v>
      </c>
      <c r="N108" s="239"/>
      <c r="O108" s="252">
        <f t="shared" si="20"/>
        <v>0</v>
      </c>
    </row>
    <row r="109" spans="1:15" ht="15.6">
      <c r="A109" s="250" t="s">
        <v>336</v>
      </c>
      <c r="B109" s="225"/>
      <c r="C109" s="225" t="str">
        <f>+C108</f>
        <v>Year 2020</v>
      </c>
      <c r="D109" s="225"/>
      <c r="E109" s="227">
        <f t="shared" si="21"/>
        <v>0</v>
      </c>
      <c r="F109" s="227"/>
      <c r="G109" s="251">
        <f t="shared" si="22"/>
        <v>5.7000000000000002E-3</v>
      </c>
      <c r="H109" s="251"/>
      <c r="I109" s="225"/>
      <c r="J109" s="225"/>
      <c r="K109" s="239">
        <f t="shared" si="19"/>
        <v>0</v>
      </c>
      <c r="L109" s="239"/>
      <c r="M109" s="239">
        <f t="shared" si="23"/>
        <v>0</v>
      </c>
      <c r="N109" s="239"/>
      <c r="O109" s="252">
        <f t="shared" si="20"/>
        <v>0</v>
      </c>
    </row>
    <row r="110" spans="1:15" ht="15.6">
      <c r="A110" s="250" t="s">
        <v>507</v>
      </c>
      <c r="B110" s="225"/>
      <c r="C110" s="225" t="str">
        <f>C109</f>
        <v>Year 2020</v>
      </c>
      <c r="D110" s="222"/>
      <c r="E110" s="227">
        <f t="shared" si="21"/>
        <v>0</v>
      </c>
      <c r="F110" s="227"/>
      <c r="G110" s="251">
        <f t="shared" si="22"/>
        <v>5.7000000000000002E-3</v>
      </c>
      <c r="H110" s="251"/>
      <c r="I110" s="225"/>
      <c r="J110" s="225"/>
      <c r="K110" s="239">
        <f t="shared" si="19"/>
        <v>0</v>
      </c>
      <c r="L110" s="239"/>
      <c r="M110" s="239">
        <f t="shared" si="23"/>
        <v>0</v>
      </c>
      <c r="N110" s="239"/>
      <c r="O110" s="252">
        <f t="shared" si="20"/>
        <v>0</v>
      </c>
    </row>
    <row r="111" spans="1:15" ht="15.6">
      <c r="A111" s="250" t="s">
        <v>338</v>
      </c>
      <c r="B111" s="225"/>
      <c r="C111" s="225" t="str">
        <f t="shared" ref="C111:C116" si="24">+C110</f>
        <v>Year 2020</v>
      </c>
      <c r="D111" s="225"/>
      <c r="E111" s="227">
        <f t="shared" si="21"/>
        <v>0</v>
      </c>
      <c r="F111" s="227"/>
      <c r="G111" s="251">
        <f t="shared" si="22"/>
        <v>5.7000000000000002E-3</v>
      </c>
      <c r="H111" s="251"/>
      <c r="I111" s="225"/>
      <c r="J111" s="225"/>
      <c r="K111" s="239">
        <f t="shared" si="19"/>
        <v>0</v>
      </c>
      <c r="L111" s="239"/>
      <c r="M111" s="239">
        <f t="shared" si="23"/>
        <v>0</v>
      </c>
      <c r="N111" s="239"/>
      <c r="O111" s="252">
        <f t="shared" si="20"/>
        <v>0</v>
      </c>
    </row>
    <row r="112" spans="1:15" ht="15.6">
      <c r="A112" s="250" t="s">
        <v>339</v>
      </c>
      <c r="B112" s="225"/>
      <c r="C112" s="225" t="str">
        <f t="shared" si="24"/>
        <v>Year 2020</v>
      </c>
      <c r="D112" s="225"/>
      <c r="E112" s="227">
        <f t="shared" si="21"/>
        <v>0</v>
      </c>
      <c r="F112" s="227"/>
      <c r="G112" s="251">
        <f t="shared" si="22"/>
        <v>5.7000000000000002E-3</v>
      </c>
      <c r="H112" s="251"/>
      <c r="I112" s="225"/>
      <c r="J112" s="225"/>
      <c r="K112" s="239">
        <f t="shared" si="19"/>
        <v>0</v>
      </c>
      <c r="L112" s="239"/>
      <c r="M112" s="239">
        <f t="shared" si="23"/>
        <v>0</v>
      </c>
      <c r="N112" s="239"/>
      <c r="O112" s="252">
        <f t="shared" si="20"/>
        <v>0</v>
      </c>
    </row>
    <row r="113" spans="1:15" ht="15.6">
      <c r="A113" s="250" t="s">
        <v>340</v>
      </c>
      <c r="B113" s="225"/>
      <c r="C113" s="225" t="str">
        <f t="shared" si="24"/>
        <v>Year 2020</v>
      </c>
      <c r="D113" s="225"/>
      <c r="E113" s="227">
        <f t="shared" si="21"/>
        <v>0</v>
      </c>
      <c r="F113" s="227"/>
      <c r="G113" s="251">
        <f t="shared" si="22"/>
        <v>5.7000000000000002E-3</v>
      </c>
      <c r="H113" s="251"/>
      <c r="I113" s="225"/>
      <c r="J113" s="225"/>
      <c r="K113" s="239">
        <f t="shared" si="19"/>
        <v>0</v>
      </c>
      <c r="L113" s="239"/>
      <c r="M113" s="239">
        <f t="shared" si="23"/>
        <v>0</v>
      </c>
      <c r="N113" s="239"/>
      <c r="O113" s="252">
        <f t="shared" si="20"/>
        <v>0</v>
      </c>
    </row>
    <row r="114" spans="1:15" ht="15.6">
      <c r="A114" s="250" t="s">
        <v>347</v>
      </c>
      <c r="B114" s="225"/>
      <c r="C114" s="225" t="str">
        <f t="shared" si="24"/>
        <v>Year 2020</v>
      </c>
      <c r="D114" s="225"/>
      <c r="E114" s="227">
        <f t="shared" si="21"/>
        <v>0</v>
      </c>
      <c r="F114" s="227"/>
      <c r="G114" s="251">
        <f t="shared" si="22"/>
        <v>5.7000000000000002E-3</v>
      </c>
      <c r="H114" s="251"/>
      <c r="I114" s="225"/>
      <c r="J114" s="225"/>
      <c r="K114" s="239">
        <f t="shared" si="19"/>
        <v>0</v>
      </c>
      <c r="L114" s="239"/>
      <c r="M114" s="239">
        <f t="shared" si="23"/>
        <v>0</v>
      </c>
      <c r="N114" s="239"/>
      <c r="O114" s="252">
        <f t="shared" si="20"/>
        <v>0</v>
      </c>
    </row>
    <row r="115" spans="1:15" ht="15.6">
      <c r="A115" s="250" t="s">
        <v>342</v>
      </c>
      <c r="B115" s="225"/>
      <c r="C115" s="225" t="str">
        <f t="shared" si="24"/>
        <v>Year 2020</v>
      </c>
      <c r="D115" s="225"/>
      <c r="E115" s="227">
        <f t="shared" si="21"/>
        <v>0</v>
      </c>
      <c r="F115" s="227"/>
      <c r="G115" s="251">
        <f t="shared" si="22"/>
        <v>5.7000000000000002E-3</v>
      </c>
      <c r="H115" s="251"/>
      <c r="I115" s="225"/>
      <c r="J115" s="225"/>
      <c r="K115" s="239">
        <f t="shared" si="19"/>
        <v>0</v>
      </c>
      <c r="L115" s="239"/>
      <c r="M115" s="239">
        <f t="shared" si="23"/>
        <v>0</v>
      </c>
      <c r="N115" s="239"/>
      <c r="O115" s="252">
        <f t="shared" si="20"/>
        <v>0</v>
      </c>
    </row>
    <row r="116" spans="1:15" ht="15.6">
      <c r="A116" s="250" t="s">
        <v>329</v>
      </c>
      <c r="B116" s="225"/>
      <c r="C116" s="225" t="str">
        <f t="shared" si="24"/>
        <v>Year 2020</v>
      </c>
      <c r="D116" s="225"/>
      <c r="E116" s="227">
        <f t="shared" si="21"/>
        <v>0</v>
      </c>
      <c r="F116" s="227"/>
      <c r="G116" s="251">
        <f t="shared" si="22"/>
        <v>5.7000000000000002E-3</v>
      </c>
      <c r="H116" s="251"/>
      <c r="I116" s="225"/>
      <c r="J116" s="225"/>
      <c r="K116" s="238">
        <f t="shared" si="19"/>
        <v>0</v>
      </c>
      <c r="L116" s="239"/>
      <c r="M116" s="239">
        <f t="shared" si="23"/>
        <v>0</v>
      </c>
      <c r="N116" s="239"/>
      <c r="O116" s="252">
        <f t="shared" si="20"/>
        <v>0</v>
      </c>
    </row>
    <row r="117" spans="1:15" ht="15.6">
      <c r="A117" s="250"/>
      <c r="B117" s="225"/>
      <c r="C117" s="225"/>
      <c r="D117" s="225"/>
      <c r="E117" s="227"/>
      <c r="F117" s="227"/>
      <c r="G117" s="251"/>
      <c r="H117" s="251"/>
      <c r="I117" s="225"/>
      <c r="J117" s="225"/>
      <c r="K117" s="239">
        <f>SUM(K105:K116)</f>
        <v>0</v>
      </c>
      <c r="L117" s="239"/>
      <c r="M117" s="239"/>
      <c r="N117" s="239"/>
      <c r="O117" s="252"/>
    </row>
    <row r="118" spans="1:15">
      <c r="A118" s="259"/>
      <c r="B118" s="220"/>
      <c r="C118" s="220"/>
      <c r="D118" s="220"/>
      <c r="E118" s="220"/>
      <c r="F118" s="220"/>
      <c r="G118" s="220"/>
      <c r="H118" s="220"/>
      <c r="I118" s="220"/>
      <c r="J118" s="220"/>
      <c r="K118" s="220"/>
      <c r="L118" s="220"/>
      <c r="M118" s="220"/>
      <c r="N118" s="220"/>
      <c r="O118" s="260"/>
    </row>
    <row r="119" spans="1:15" ht="15.6">
      <c r="A119" s="250" t="s">
        <v>949</v>
      </c>
      <c r="B119" s="225"/>
      <c r="C119" s="220"/>
      <c r="D119" s="220"/>
      <c r="E119" s="220"/>
      <c r="F119" s="220"/>
      <c r="G119" s="220"/>
      <c r="H119" s="220"/>
      <c r="I119" s="220"/>
      <c r="J119" s="220"/>
      <c r="K119" s="220"/>
      <c r="L119" s="220"/>
      <c r="M119" s="261">
        <f>SUM(M105:M116)</f>
        <v>0</v>
      </c>
      <c r="N119" s="220"/>
      <c r="O119" s="260"/>
    </row>
    <row r="120" spans="1:15" ht="15.6">
      <c r="A120" s="250" t="s">
        <v>897</v>
      </c>
      <c r="B120" s="225"/>
      <c r="C120" s="220"/>
      <c r="D120" s="220"/>
      <c r="E120" s="220"/>
      <c r="F120" s="220"/>
      <c r="G120" s="220"/>
      <c r="H120" s="220"/>
      <c r="I120" s="220"/>
      <c r="J120" s="220"/>
      <c r="K120" s="220"/>
      <c r="L120" s="220"/>
      <c r="M120" s="261">
        <f>K11</f>
        <v>0</v>
      </c>
      <c r="N120" s="220"/>
      <c r="O120" s="260"/>
    </row>
    <row r="121" spans="1:15" ht="15.6">
      <c r="A121" s="262" t="s">
        <v>898</v>
      </c>
      <c r="B121" s="263"/>
      <c r="C121" s="264"/>
      <c r="D121" s="264"/>
      <c r="E121" s="264"/>
      <c r="F121" s="264"/>
      <c r="G121" s="264"/>
      <c r="H121" s="264"/>
      <c r="I121" s="264"/>
      <c r="J121" s="264"/>
      <c r="K121" s="264"/>
      <c r="L121" s="264"/>
      <c r="M121" s="265">
        <f>(M119+M120)</f>
        <v>0</v>
      </c>
      <c r="N121" s="264"/>
      <c r="O121" s="266"/>
    </row>
    <row r="124" spans="1:15" ht="18">
      <c r="A124" s="240" t="s">
        <v>950</v>
      </c>
      <c r="B124" s="241"/>
      <c r="C124" s="242"/>
      <c r="D124" s="242"/>
      <c r="E124" s="242"/>
      <c r="F124" s="242"/>
      <c r="G124" s="243"/>
      <c r="H124" s="243"/>
      <c r="I124" s="243"/>
      <c r="J124" s="243"/>
      <c r="K124" s="244"/>
      <c r="L124" s="244"/>
      <c r="M124" s="242"/>
      <c r="N124" s="242"/>
      <c r="O124" s="245"/>
    </row>
    <row r="125" spans="1:15" ht="15.6">
      <c r="A125" s="246" t="s">
        <v>951</v>
      </c>
      <c r="B125" s="247"/>
      <c r="C125" s="226"/>
      <c r="D125" s="226"/>
      <c r="E125" s="226"/>
      <c r="F125" s="226"/>
      <c r="G125" s="222"/>
      <c r="H125" s="222"/>
      <c r="I125" s="222"/>
      <c r="J125" s="222"/>
      <c r="K125" s="228" t="s">
        <v>889</v>
      </c>
      <c r="L125" s="228"/>
      <c r="M125" s="226"/>
      <c r="N125" s="226"/>
      <c r="O125" s="248"/>
    </row>
    <row r="126" spans="1:15" ht="18">
      <c r="A126" s="249"/>
      <c r="B126" s="247"/>
      <c r="C126" s="226"/>
      <c r="D126" s="226"/>
      <c r="E126" s="226"/>
      <c r="F126" s="226"/>
      <c r="G126" s="222"/>
      <c r="H126" s="222"/>
      <c r="I126" s="222"/>
      <c r="J126" s="222"/>
      <c r="K126" s="228"/>
      <c r="L126" s="228"/>
      <c r="M126" s="226"/>
      <c r="N126" s="226"/>
      <c r="O126" s="248"/>
    </row>
    <row r="127" spans="1:15" ht="15.6">
      <c r="A127" s="250" t="s">
        <v>331</v>
      </c>
      <c r="B127" s="225"/>
      <c r="C127" s="225" t="s">
        <v>940</v>
      </c>
      <c r="D127" s="225"/>
      <c r="E127" s="239">
        <f>K12/12</f>
        <v>0</v>
      </c>
      <c r="F127" s="239"/>
      <c r="G127" s="251">
        <f>M12</f>
        <v>5.4000000000000003E-3</v>
      </c>
      <c r="H127" s="251"/>
      <c r="I127" s="583">
        <v>12</v>
      </c>
      <c r="J127" s="225"/>
      <c r="K127" s="239">
        <f t="shared" ref="K127:K138" si="25">G127*E127*I127*-1</f>
        <v>0</v>
      </c>
      <c r="L127" s="239"/>
      <c r="M127" s="239"/>
      <c r="N127" s="239"/>
      <c r="O127" s="252">
        <f t="shared" ref="O127:O138" si="26">(-K127+E127)*-1</f>
        <v>0</v>
      </c>
    </row>
    <row r="128" spans="1:15" ht="15.6">
      <c r="A128" s="250" t="s">
        <v>333</v>
      </c>
      <c r="B128" s="225"/>
      <c r="C128" s="225" t="str">
        <f t="shared" ref="C128:C138" si="27">C127</f>
        <v>Year 2016</v>
      </c>
      <c r="D128" s="225"/>
      <c r="E128" s="239">
        <f t="shared" ref="E128:E138" si="28">+E127</f>
        <v>0</v>
      </c>
      <c r="F128" s="239"/>
      <c r="G128" s="251">
        <f t="shared" ref="G128:G138" si="29">+G127</f>
        <v>5.4000000000000003E-3</v>
      </c>
      <c r="H128" s="251"/>
      <c r="I128" s="584">
        <f t="shared" ref="I128:I138" si="30">+I127-1</f>
        <v>11</v>
      </c>
      <c r="J128" s="253"/>
      <c r="K128" s="239">
        <f t="shared" si="25"/>
        <v>0</v>
      </c>
      <c r="L128" s="239"/>
      <c r="M128" s="239"/>
      <c r="N128" s="239"/>
      <c r="O128" s="252">
        <f t="shared" si="26"/>
        <v>0</v>
      </c>
    </row>
    <row r="129" spans="1:15" ht="15.6">
      <c r="A129" s="250" t="s">
        <v>334</v>
      </c>
      <c r="B129" s="225"/>
      <c r="C129" s="225" t="str">
        <f t="shared" si="27"/>
        <v>Year 2016</v>
      </c>
      <c r="D129" s="225"/>
      <c r="E129" s="239">
        <f t="shared" si="28"/>
        <v>0</v>
      </c>
      <c r="F129" s="239"/>
      <c r="G129" s="251">
        <f t="shared" si="29"/>
        <v>5.4000000000000003E-3</v>
      </c>
      <c r="H129" s="251"/>
      <c r="I129" s="584">
        <f t="shared" si="30"/>
        <v>10</v>
      </c>
      <c r="J129" s="253"/>
      <c r="K129" s="239">
        <f t="shared" si="25"/>
        <v>0</v>
      </c>
      <c r="L129" s="239"/>
      <c r="M129" s="239"/>
      <c r="N129" s="239"/>
      <c r="O129" s="252">
        <f t="shared" si="26"/>
        <v>0</v>
      </c>
    </row>
    <row r="130" spans="1:15" ht="15.6">
      <c r="A130" s="250" t="s">
        <v>335</v>
      </c>
      <c r="B130" s="225"/>
      <c r="C130" s="225" t="str">
        <f t="shared" si="27"/>
        <v>Year 2016</v>
      </c>
      <c r="D130" s="225"/>
      <c r="E130" s="239">
        <f t="shared" si="28"/>
        <v>0</v>
      </c>
      <c r="F130" s="239"/>
      <c r="G130" s="251">
        <f t="shared" si="29"/>
        <v>5.4000000000000003E-3</v>
      </c>
      <c r="H130" s="251"/>
      <c r="I130" s="584">
        <f t="shared" si="30"/>
        <v>9</v>
      </c>
      <c r="J130" s="253"/>
      <c r="K130" s="239">
        <f t="shared" si="25"/>
        <v>0</v>
      </c>
      <c r="L130" s="239"/>
      <c r="M130" s="239"/>
      <c r="N130" s="239"/>
      <c r="O130" s="252">
        <f t="shared" si="26"/>
        <v>0</v>
      </c>
    </row>
    <row r="131" spans="1:15" ht="15.6">
      <c r="A131" s="250" t="s">
        <v>336</v>
      </c>
      <c r="B131" s="225"/>
      <c r="C131" s="225" t="str">
        <f t="shared" si="27"/>
        <v>Year 2016</v>
      </c>
      <c r="D131" s="225"/>
      <c r="E131" s="239">
        <f t="shared" si="28"/>
        <v>0</v>
      </c>
      <c r="F131" s="239"/>
      <c r="G131" s="251">
        <f t="shared" si="29"/>
        <v>5.4000000000000003E-3</v>
      </c>
      <c r="H131" s="251"/>
      <c r="I131" s="584">
        <f t="shared" si="30"/>
        <v>8</v>
      </c>
      <c r="J131" s="253"/>
      <c r="K131" s="239">
        <f t="shared" si="25"/>
        <v>0</v>
      </c>
      <c r="L131" s="239"/>
      <c r="M131" s="239"/>
      <c r="N131" s="239"/>
      <c r="O131" s="252">
        <f t="shared" si="26"/>
        <v>0</v>
      </c>
    </row>
    <row r="132" spans="1:15" ht="15.6">
      <c r="A132" s="250" t="s">
        <v>507</v>
      </c>
      <c r="B132" s="225"/>
      <c r="C132" s="225" t="str">
        <f t="shared" si="27"/>
        <v>Year 2016</v>
      </c>
      <c r="D132" s="225"/>
      <c r="E132" s="239">
        <f t="shared" si="28"/>
        <v>0</v>
      </c>
      <c r="F132" s="239"/>
      <c r="G132" s="251">
        <f t="shared" si="29"/>
        <v>5.4000000000000003E-3</v>
      </c>
      <c r="H132" s="251"/>
      <c r="I132" s="584">
        <f t="shared" si="30"/>
        <v>7</v>
      </c>
      <c r="J132" s="253"/>
      <c r="K132" s="239">
        <f t="shared" si="25"/>
        <v>0</v>
      </c>
      <c r="L132" s="239"/>
      <c r="M132" s="239"/>
      <c r="N132" s="239"/>
      <c r="O132" s="252">
        <f t="shared" si="26"/>
        <v>0</v>
      </c>
    </row>
    <row r="133" spans="1:15" ht="15.6">
      <c r="A133" s="250" t="s">
        <v>338</v>
      </c>
      <c r="B133" s="225"/>
      <c r="C133" s="225" t="str">
        <f t="shared" si="27"/>
        <v>Year 2016</v>
      </c>
      <c r="D133" s="225"/>
      <c r="E133" s="239">
        <f t="shared" si="28"/>
        <v>0</v>
      </c>
      <c r="F133" s="239"/>
      <c r="G133" s="251">
        <f t="shared" si="29"/>
        <v>5.4000000000000003E-3</v>
      </c>
      <c r="H133" s="251"/>
      <c r="I133" s="584">
        <f t="shared" si="30"/>
        <v>6</v>
      </c>
      <c r="J133" s="253"/>
      <c r="K133" s="239">
        <f t="shared" si="25"/>
        <v>0</v>
      </c>
      <c r="L133" s="239"/>
      <c r="M133" s="239"/>
      <c r="N133" s="239"/>
      <c r="O133" s="252">
        <f t="shared" si="26"/>
        <v>0</v>
      </c>
    </row>
    <row r="134" spans="1:15" ht="15.6">
      <c r="A134" s="250" t="s">
        <v>339</v>
      </c>
      <c r="B134" s="225"/>
      <c r="C134" s="225" t="str">
        <f t="shared" si="27"/>
        <v>Year 2016</v>
      </c>
      <c r="D134" s="225"/>
      <c r="E134" s="239">
        <f t="shared" si="28"/>
        <v>0</v>
      </c>
      <c r="F134" s="239"/>
      <c r="G134" s="251">
        <f t="shared" si="29"/>
        <v>5.4000000000000003E-3</v>
      </c>
      <c r="H134" s="251"/>
      <c r="I134" s="584">
        <f t="shared" si="30"/>
        <v>5</v>
      </c>
      <c r="J134" s="253"/>
      <c r="K134" s="239">
        <f t="shared" si="25"/>
        <v>0</v>
      </c>
      <c r="L134" s="239"/>
      <c r="M134" s="239"/>
      <c r="N134" s="239"/>
      <c r="O134" s="252">
        <f t="shared" si="26"/>
        <v>0</v>
      </c>
    </row>
    <row r="135" spans="1:15" ht="15.6">
      <c r="A135" s="250" t="s">
        <v>340</v>
      </c>
      <c r="B135" s="225"/>
      <c r="C135" s="225" t="str">
        <f t="shared" si="27"/>
        <v>Year 2016</v>
      </c>
      <c r="D135" s="225"/>
      <c r="E135" s="239">
        <f t="shared" si="28"/>
        <v>0</v>
      </c>
      <c r="F135" s="239"/>
      <c r="G135" s="251">
        <f t="shared" si="29"/>
        <v>5.4000000000000003E-3</v>
      </c>
      <c r="H135" s="251"/>
      <c r="I135" s="584">
        <f t="shared" si="30"/>
        <v>4</v>
      </c>
      <c r="J135" s="253"/>
      <c r="K135" s="239">
        <f t="shared" si="25"/>
        <v>0</v>
      </c>
      <c r="L135" s="239"/>
      <c r="M135" s="239"/>
      <c r="N135" s="239"/>
      <c r="O135" s="252">
        <f t="shared" si="26"/>
        <v>0</v>
      </c>
    </row>
    <row r="136" spans="1:15" ht="15.6">
      <c r="A136" s="250" t="s">
        <v>347</v>
      </c>
      <c r="B136" s="225"/>
      <c r="C136" s="225" t="str">
        <f t="shared" si="27"/>
        <v>Year 2016</v>
      </c>
      <c r="D136" s="225"/>
      <c r="E136" s="239">
        <f t="shared" si="28"/>
        <v>0</v>
      </c>
      <c r="F136" s="239"/>
      <c r="G136" s="251">
        <f t="shared" si="29"/>
        <v>5.4000000000000003E-3</v>
      </c>
      <c r="H136" s="251"/>
      <c r="I136" s="584">
        <f t="shared" si="30"/>
        <v>3</v>
      </c>
      <c r="J136" s="253"/>
      <c r="K136" s="239">
        <f t="shared" si="25"/>
        <v>0</v>
      </c>
      <c r="L136" s="239"/>
      <c r="M136" s="239"/>
      <c r="N136" s="239"/>
      <c r="O136" s="252">
        <f t="shared" si="26"/>
        <v>0</v>
      </c>
    </row>
    <row r="137" spans="1:15" ht="15.6">
      <c r="A137" s="250" t="s">
        <v>342</v>
      </c>
      <c r="B137" s="225"/>
      <c r="C137" s="225" t="str">
        <f t="shared" si="27"/>
        <v>Year 2016</v>
      </c>
      <c r="D137" s="225"/>
      <c r="E137" s="239">
        <f t="shared" si="28"/>
        <v>0</v>
      </c>
      <c r="F137" s="239"/>
      <c r="G137" s="251">
        <f t="shared" si="29"/>
        <v>5.4000000000000003E-3</v>
      </c>
      <c r="H137" s="251"/>
      <c r="I137" s="584">
        <f t="shared" si="30"/>
        <v>2</v>
      </c>
      <c r="J137" s="253"/>
      <c r="K137" s="239">
        <f t="shared" si="25"/>
        <v>0</v>
      </c>
      <c r="L137" s="239"/>
      <c r="M137" s="239"/>
      <c r="N137" s="239"/>
      <c r="O137" s="252">
        <f t="shared" si="26"/>
        <v>0</v>
      </c>
    </row>
    <row r="138" spans="1:15" ht="15.6">
      <c r="A138" s="250" t="s">
        <v>329</v>
      </c>
      <c r="B138" s="225"/>
      <c r="C138" s="225" t="str">
        <f t="shared" si="27"/>
        <v>Year 2016</v>
      </c>
      <c r="D138" s="225"/>
      <c r="E138" s="239">
        <f t="shared" si="28"/>
        <v>0</v>
      </c>
      <c r="F138" s="239"/>
      <c r="G138" s="251">
        <f t="shared" si="29"/>
        <v>5.4000000000000003E-3</v>
      </c>
      <c r="H138" s="251"/>
      <c r="I138" s="584">
        <f t="shared" si="30"/>
        <v>1</v>
      </c>
      <c r="J138" s="253"/>
      <c r="K138" s="238">
        <f t="shared" si="25"/>
        <v>0</v>
      </c>
      <c r="L138" s="239"/>
      <c r="M138" s="239"/>
      <c r="N138" s="239"/>
      <c r="O138" s="252">
        <f t="shared" si="26"/>
        <v>0</v>
      </c>
    </row>
    <row r="139" spans="1:15" ht="15.6">
      <c r="A139" s="250"/>
      <c r="B139" s="225"/>
      <c r="C139" s="225"/>
      <c r="D139" s="225"/>
      <c r="E139" s="239"/>
      <c r="F139" s="239"/>
      <c r="G139" s="251"/>
      <c r="H139" s="251"/>
      <c r="I139" s="253"/>
      <c r="J139" s="253"/>
      <c r="K139" s="239">
        <f>SUM(K127:K138)</f>
        <v>0</v>
      </c>
      <c r="L139" s="239"/>
      <c r="M139" s="239"/>
      <c r="N139" s="239"/>
      <c r="O139" s="254">
        <f>SUM(O127:O138)</f>
        <v>0</v>
      </c>
    </row>
    <row r="140" spans="1:15" ht="15.6">
      <c r="A140" s="250"/>
      <c r="B140" s="225"/>
      <c r="C140" s="225"/>
      <c r="D140" s="225"/>
      <c r="E140" s="239"/>
      <c r="F140" s="239"/>
      <c r="G140" s="251"/>
      <c r="H140" s="251"/>
      <c r="I140" s="253"/>
      <c r="J140" s="253"/>
      <c r="K140" s="239"/>
      <c r="L140" s="239"/>
      <c r="M140" s="239"/>
      <c r="N140" s="239"/>
      <c r="O140" s="254"/>
    </row>
    <row r="141" spans="1:15" ht="15.6">
      <c r="A141" s="250"/>
      <c r="B141" s="225"/>
      <c r="C141" s="225"/>
      <c r="D141" s="225"/>
      <c r="E141" s="239"/>
      <c r="F141" s="239"/>
      <c r="G141" s="251"/>
      <c r="H141" s="251"/>
      <c r="I141" s="253"/>
      <c r="J141" s="253"/>
      <c r="K141" s="255" t="s">
        <v>891</v>
      </c>
      <c r="L141" s="239"/>
      <c r="M141" s="239"/>
      <c r="N141" s="239"/>
      <c r="O141" s="254"/>
    </row>
    <row r="142" spans="1:15" ht="15.6">
      <c r="A142" s="250"/>
      <c r="B142" s="225"/>
      <c r="C142" s="225"/>
      <c r="D142" s="225"/>
      <c r="E142" s="239"/>
      <c r="F142" s="239"/>
      <c r="G142" s="251"/>
      <c r="H142" s="251"/>
      <c r="I142" s="253"/>
      <c r="J142" s="253"/>
      <c r="K142" s="255"/>
      <c r="L142" s="239"/>
      <c r="M142" s="239"/>
      <c r="N142" s="239"/>
      <c r="O142" s="254"/>
    </row>
    <row r="143" spans="1:15" ht="15.6">
      <c r="A143" s="250" t="s">
        <v>892</v>
      </c>
      <c r="B143" s="225"/>
      <c r="C143" s="253" t="s">
        <v>941</v>
      </c>
      <c r="D143" s="225"/>
      <c r="E143" s="227">
        <f>O139</f>
        <v>0</v>
      </c>
      <c r="F143" s="227"/>
      <c r="G143" s="251">
        <f>M13</f>
        <v>5.7999999999999996E-3</v>
      </c>
      <c r="H143" s="251"/>
      <c r="I143" s="583">
        <v>12</v>
      </c>
      <c r="J143" s="225"/>
      <c r="K143" s="239">
        <f>+I143*G143*E143</f>
        <v>0</v>
      </c>
      <c r="L143" s="239"/>
      <c r="M143" s="239"/>
      <c r="N143" s="239"/>
      <c r="O143" s="254">
        <f>+E143+K143</f>
        <v>0</v>
      </c>
    </row>
    <row r="144" spans="1:15" ht="15.6">
      <c r="A144" s="250" t="s">
        <v>892</v>
      </c>
      <c r="B144" s="225"/>
      <c r="C144" s="225" t="s">
        <v>942</v>
      </c>
      <c r="D144" s="225"/>
      <c r="E144" s="227">
        <f>O143</f>
        <v>0</v>
      </c>
      <c r="F144" s="227"/>
      <c r="G144" s="251">
        <f>M14</f>
        <v>5.7000000000000002E-3</v>
      </c>
      <c r="H144" s="251"/>
      <c r="I144" s="583">
        <v>12</v>
      </c>
      <c r="J144" s="225"/>
      <c r="K144" s="239">
        <f>+I144*G144*E144</f>
        <v>0</v>
      </c>
      <c r="L144" s="239"/>
      <c r="M144" s="239"/>
      <c r="N144" s="239"/>
      <c r="O144" s="254">
        <f>+E144+K144</f>
        <v>0</v>
      </c>
    </row>
    <row r="145" spans="1:15" ht="15.6">
      <c r="A145" s="250" t="s">
        <v>892</v>
      </c>
      <c r="B145" s="225"/>
      <c r="C145" s="225" t="s">
        <v>943</v>
      </c>
      <c r="D145" s="225"/>
      <c r="E145" s="227">
        <f>O144</f>
        <v>0</v>
      </c>
      <c r="F145" s="227"/>
      <c r="G145" s="251">
        <f>G144</f>
        <v>5.7000000000000002E-3</v>
      </c>
      <c r="H145" s="251"/>
      <c r="I145" s="583">
        <v>12</v>
      </c>
      <c r="J145" s="225"/>
      <c r="K145" s="239">
        <f>+I145*G145*E145</f>
        <v>0</v>
      </c>
      <c r="L145" s="239"/>
      <c r="M145" s="239"/>
      <c r="N145" s="239"/>
      <c r="O145" s="254">
        <f>+E145+K145</f>
        <v>0</v>
      </c>
    </row>
    <row r="146" spans="1:15" ht="15.6">
      <c r="A146" s="250"/>
      <c r="B146" s="225"/>
      <c r="C146" s="225"/>
      <c r="D146" s="225"/>
      <c r="E146" s="227"/>
      <c r="F146" s="227"/>
      <c r="G146" s="251"/>
      <c r="H146" s="251"/>
      <c r="I146" s="225"/>
      <c r="J146" s="225"/>
      <c r="K146" s="239"/>
      <c r="L146" s="239"/>
      <c r="M146" s="239"/>
      <c r="N146" s="239"/>
      <c r="O146" s="254"/>
    </row>
    <row r="147" spans="1:15" ht="15.6">
      <c r="A147" s="250"/>
      <c r="B147" s="225"/>
      <c r="C147" s="225"/>
      <c r="D147" s="225"/>
      <c r="E147" s="227"/>
      <c r="F147" s="227"/>
      <c r="G147" s="251"/>
      <c r="H147" s="251"/>
      <c r="I147" s="225"/>
      <c r="J147" s="225"/>
      <c r="K147" s="239"/>
      <c r="L147" s="239"/>
      <c r="M147" s="239"/>
      <c r="N147" s="239"/>
      <c r="O147" s="252"/>
    </row>
    <row r="148" spans="1:15" ht="15.6">
      <c r="A148" s="256" t="s">
        <v>894</v>
      </c>
      <c r="B148" s="257"/>
      <c r="C148" s="225"/>
      <c r="D148" s="225"/>
      <c r="E148" s="239"/>
      <c r="F148" s="239"/>
      <c r="G148" s="251"/>
      <c r="H148" s="251"/>
      <c r="I148" s="225"/>
      <c r="J148" s="225"/>
      <c r="K148" s="255" t="s">
        <v>889</v>
      </c>
      <c r="L148" s="255"/>
      <c r="M148" s="239"/>
      <c r="N148" s="239"/>
      <c r="O148" s="252"/>
    </row>
    <row r="149" spans="1:15" ht="15.6">
      <c r="A149" s="250" t="s">
        <v>331</v>
      </c>
      <c r="B149" s="225"/>
      <c r="C149" s="225" t="s">
        <v>944</v>
      </c>
      <c r="D149" s="225"/>
      <c r="E149" s="258">
        <f>-O145</f>
        <v>0</v>
      </c>
      <c r="F149" s="227"/>
      <c r="G149" s="251">
        <f>G145</f>
        <v>5.7000000000000002E-3</v>
      </c>
      <c r="H149" s="251"/>
      <c r="I149" s="225"/>
      <c r="J149" s="225"/>
      <c r="K149" s="239">
        <f t="shared" ref="K149:K160" si="31" xml:space="preserve"> -G149*E149</f>
        <v>0</v>
      </c>
      <c r="L149" s="239"/>
      <c r="M149" s="239">
        <f>-PMT(G149,12,O145)</f>
        <v>0</v>
      </c>
      <c r="N149" s="239"/>
      <c r="O149" s="252">
        <f t="shared" ref="O149:O160" si="32">(+E149+E149*G149+M149)*-1</f>
        <v>0</v>
      </c>
    </row>
    <row r="150" spans="1:15" ht="15.6">
      <c r="A150" s="250" t="s">
        <v>333</v>
      </c>
      <c r="B150" s="225"/>
      <c r="C150" s="225" t="str">
        <f>+C149</f>
        <v>Year 2020</v>
      </c>
      <c r="D150" s="225"/>
      <c r="E150" s="227">
        <f t="shared" ref="E150:E160" si="33">-O149</f>
        <v>0</v>
      </c>
      <c r="F150" s="227"/>
      <c r="G150" s="251">
        <f t="shared" ref="G150:G160" si="34">+G149</f>
        <v>5.7000000000000002E-3</v>
      </c>
      <c r="H150" s="251"/>
      <c r="I150" s="225"/>
      <c r="J150" s="225"/>
      <c r="K150" s="239">
        <f t="shared" si="31"/>
        <v>0</v>
      </c>
      <c r="L150" s="239"/>
      <c r="M150" s="239">
        <f t="shared" ref="M150:M160" si="35">M149</f>
        <v>0</v>
      </c>
      <c r="N150" s="239"/>
      <c r="O150" s="252">
        <f t="shared" si="32"/>
        <v>0</v>
      </c>
    </row>
    <row r="151" spans="1:15" ht="15.6">
      <c r="A151" s="250" t="s">
        <v>334</v>
      </c>
      <c r="B151" s="225"/>
      <c r="C151" s="225" t="str">
        <f>+C150</f>
        <v>Year 2020</v>
      </c>
      <c r="D151" s="225"/>
      <c r="E151" s="227">
        <f t="shared" si="33"/>
        <v>0</v>
      </c>
      <c r="F151" s="227"/>
      <c r="G151" s="251">
        <f t="shared" si="34"/>
        <v>5.7000000000000002E-3</v>
      </c>
      <c r="H151" s="251"/>
      <c r="I151" s="225"/>
      <c r="J151" s="225"/>
      <c r="K151" s="239">
        <f t="shared" si="31"/>
        <v>0</v>
      </c>
      <c r="L151" s="239"/>
      <c r="M151" s="239">
        <f t="shared" si="35"/>
        <v>0</v>
      </c>
      <c r="N151" s="239"/>
      <c r="O151" s="252">
        <f t="shared" si="32"/>
        <v>0</v>
      </c>
    </row>
    <row r="152" spans="1:15" ht="15.6">
      <c r="A152" s="250" t="s">
        <v>335</v>
      </c>
      <c r="B152" s="225"/>
      <c r="C152" s="225" t="str">
        <f>+C151</f>
        <v>Year 2020</v>
      </c>
      <c r="D152" s="225"/>
      <c r="E152" s="227">
        <f t="shared" si="33"/>
        <v>0</v>
      </c>
      <c r="F152" s="227"/>
      <c r="G152" s="251">
        <f t="shared" si="34"/>
        <v>5.7000000000000002E-3</v>
      </c>
      <c r="H152" s="251"/>
      <c r="I152" s="225"/>
      <c r="J152" s="225"/>
      <c r="K152" s="239">
        <f t="shared" si="31"/>
        <v>0</v>
      </c>
      <c r="L152" s="239"/>
      <c r="M152" s="239">
        <f t="shared" si="35"/>
        <v>0</v>
      </c>
      <c r="N152" s="239"/>
      <c r="O152" s="252">
        <f t="shared" si="32"/>
        <v>0</v>
      </c>
    </row>
    <row r="153" spans="1:15" ht="15.6">
      <c r="A153" s="250" t="s">
        <v>336</v>
      </c>
      <c r="B153" s="225"/>
      <c r="C153" s="225" t="str">
        <f>+C152</f>
        <v>Year 2020</v>
      </c>
      <c r="D153" s="225"/>
      <c r="E153" s="227">
        <f t="shared" si="33"/>
        <v>0</v>
      </c>
      <c r="F153" s="227"/>
      <c r="G153" s="251">
        <f t="shared" si="34"/>
        <v>5.7000000000000002E-3</v>
      </c>
      <c r="H153" s="251"/>
      <c r="I153" s="225"/>
      <c r="J153" s="225"/>
      <c r="K153" s="239">
        <f t="shared" si="31"/>
        <v>0</v>
      </c>
      <c r="L153" s="239"/>
      <c r="M153" s="239">
        <f t="shared" si="35"/>
        <v>0</v>
      </c>
      <c r="N153" s="239"/>
      <c r="O153" s="252">
        <f t="shared" si="32"/>
        <v>0</v>
      </c>
    </row>
    <row r="154" spans="1:15" ht="15.6">
      <c r="A154" s="250" t="s">
        <v>507</v>
      </c>
      <c r="B154" s="225"/>
      <c r="C154" s="225" t="str">
        <f>C153</f>
        <v>Year 2020</v>
      </c>
      <c r="D154" s="222"/>
      <c r="E154" s="227">
        <f t="shared" si="33"/>
        <v>0</v>
      </c>
      <c r="F154" s="227"/>
      <c r="G154" s="251">
        <f t="shared" si="34"/>
        <v>5.7000000000000002E-3</v>
      </c>
      <c r="H154" s="251"/>
      <c r="I154" s="225"/>
      <c r="J154" s="225"/>
      <c r="K154" s="239">
        <f t="shared" si="31"/>
        <v>0</v>
      </c>
      <c r="L154" s="239"/>
      <c r="M154" s="239">
        <f t="shared" si="35"/>
        <v>0</v>
      </c>
      <c r="N154" s="239"/>
      <c r="O154" s="252">
        <f t="shared" si="32"/>
        <v>0</v>
      </c>
    </row>
    <row r="155" spans="1:15" ht="15.6">
      <c r="A155" s="250" t="s">
        <v>338</v>
      </c>
      <c r="B155" s="225"/>
      <c r="C155" s="225" t="str">
        <f t="shared" ref="C155:C160" si="36">+C154</f>
        <v>Year 2020</v>
      </c>
      <c r="D155" s="225"/>
      <c r="E155" s="227">
        <f t="shared" si="33"/>
        <v>0</v>
      </c>
      <c r="F155" s="227"/>
      <c r="G155" s="251">
        <f t="shared" si="34"/>
        <v>5.7000000000000002E-3</v>
      </c>
      <c r="H155" s="251"/>
      <c r="I155" s="225"/>
      <c r="J155" s="225"/>
      <c r="K155" s="239">
        <f t="shared" si="31"/>
        <v>0</v>
      </c>
      <c r="L155" s="239"/>
      <c r="M155" s="239">
        <f t="shared" si="35"/>
        <v>0</v>
      </c>
      <c r="N155" s="239"/>
      <c r="O155" s="252">
        <f t="shared" si="32"/>
        <v>0</v>
      </c>
    </row>
    <row r="156" spans="1:15" ht="15.6">
      <c r="A156" s="250" t="s">
        <v>339</v>
      </c>
      <c r="B156" s="225"/>
      <c r="C156" s="225" t="str">
        <f t="shared" si="36"/>
        <v>Year 2020</v>
      </c>
      <c r="D156" s="225"/>
      <c r="E156" s="227">
        <f t="shared" si="33"/>
        <v>0</v>
      </c>
      <c r="F156" s="227"/>
      <c r="G156" s="251">
        <f t="shared" si="34"/>
        <v>5.7000000000000002E-3</v>
      </c>
      <c r="H156" s="251"/>
      <c r="I156" s="225"/>
      <c r="J156" s="225"/>
      <c r="K156" s="239">
        <f t="shared" si="31"/>
        <v>0</v>
      </c>
      <c r="L156" s="239"/>
      <c r="M156" s="239">
        <f t="shared" si="35"/>
        <v>0</v>
      </c>
      <c r="N156" s="239"/>
      <c r="O156" s="252">
        <f t="shared" si="32"/>
        <v>0</v>
      </c>
    </row>
    <row r="157" spans="1:15" ht="15.6">
      <c r="A157" s="250" t="s">
        <v>340</v>
      </c>
      <c r="B157" s="225"/>
      <c r="C157" s="225" t="str">
        <f t="shared" si="36"/>
        <v>Year 2020</v>
      </c>
      <c r="D157" s="225"/>
      <c r="E157" s="227">
        <f t="shared" si="33"/>
        <v>0</v>
      </c>
      <c r="F157" s="227"/>
      <c r="G157" s="251">
        <f t="shared" si="34"/>
        <v>5.7000000000000002E-3</v>
      </c>
      <c r="H157" s="251"/>
      <c r="I157" s="225"/>
      <c r="J157" s="225"/>
      <c r="K157" s="239">
        <f t="shared" si="31"/>
        <v>0</v>
      </c>
      <c r="L157" s="239"/>
      <c r="M157" s="239">
        <f t="shared" si="35"/>
        <v>0</v>
      </c>
      <c r="N157" s="239"/>
      <c r="O157" s="252">
        <f t="shared" si="32"/>
        <v>0</v>
      </c>
    </row>
    <row r="158" spans="1:15" ht="15.6">
      <c r="A158" s="250" t="s">
        <v>347</v>
      </c>
      <c r="B158" s="225"/>
      <c r="C158" s="225" t="str">
        <f t="shared" si="36"/>
        <v>Year 2020</v>
      </c>
      <c r="D158" s="225"/>
      <c r="E158" s="227">
        <f t="shared" si="33"/>
        <v>0</v>
      </c>
      <c r="F158" s="227"/>
      <c r="G158" s="251">
        <f t="shared" si="34"/>
        <v>5.7000000000000002E-3</v>
      </c>
      <c r="H158" s="251"/>
      <c r="I158" s="225"/>
      <c r="J158" s="225"/>
      <c r="K158" s="239">
        <f t="shared" si="31"/>
        <v>0</v>
      </c>
      <c r="L158" s="239"/>
      <c r="M158" s="239">
        <f t="shared" si="35"/>
        <v>0</v>
      </c>
      <c r="N158" s="239"/>
      <c r="O158" s="252">
        <f t="shared" si="32"/>
        <v>0</v>
      </c>
    </row>
    <row r="159" spans="1:15" ht="15.6">
      <c r="A159" s="250" t="s">
        <v>342</v>
      </c>
      <c r="B159" s="225"/>
      <c r="C159" s="225" t="str">
        <f t="shared" si="36"/>
        <v>Year 2020</v>
      </c>
      <c r="D159" s="225"/>
      <c r="E159" s="227">
        <f t="shared" si="33"/>
        <v>0</v>
      </c>
      <c r="F159" s="227"/>
      <c r="G159" s="251">
        <f t="shared" si="34"/>
        <v>5.7000000000000002E-3</v>
      </c>
      <c r="H159" s="251"/>
      <c r="I159" s="225"/>
      <c r="J159" s="225"/>
      <c r="K159" s="239">
        <f t="shared" si="31"/>
        <v>0</v>
      </c>
      <c r="L159" s="239"/>
      <c r="M159" s="239">
        <f t="shared" si="35"/>
        <v>0</v>
      </c>
      <c r="N159" s="239"/>
      <c r="O159" s="252">
        <f t="shared" si="32"/>
        <v>0</v>
      </c>
    </row>
    <row r="160" spans="1:15" ht="15.6">
      <c r="A160" s="250" t="s">
        <v>329</v>
      </c>
      <c r="B160" s="225"/>
      <c r="C160" s="225" t="str">
        <f t="shared" si="36"/>
        <v>Year 2020</v>
      </c>
      <c r="D160" s="225"/>
      <c r="E160" s="227">
        <f t="shared" si="33"/>
        <v>0</v>
      </c>
      <c r="F160" s="227"/>
      <c r="G160" s="251">
        <f t="shared" si="34"/>
        <v>5.7000000000000002E-3</v>
      </c>
      <c r="H160" s="251"/>
      <c r="I160" s="225"/>
      <c r="J160" s="225"/>
      <c r="K160" s="238">
        <f t="shared" si="31"/>
        <v>0</v>
      </c>
      <c r="L160" s="239"/>
      <c r="M160" s="239">
        <f t="shared" si="35"/>
        <v>0</v>
      </c>
      <c r="N160" s="239"/>
      <c r="O160" s="252">
        <f t="shared" si="32"/>
        <v>0</v>
      </c>
    </row>
    <row r="161" spans="1:15" ht="15.6">
      <c r="A161" s="250"/>
      <c r="B161" s="225"/>
      <c r="C161" s="225"/>
      <c r="D161" s="225"/>
      <c r="E161" s="227"/>
      <c r="F161" s="227"/>
      <c r="G161" s="251"/>
      <c r="H161" s="251"/>
      <c r="I161" s="225"/>
      <c r="J161" s="225"/>
      <c r="K161" s="239">
        <f>SUM(K149:K160)</f>
        <v>0</v>
      </c>
      <c r="L161" s="239"/>
      <c r="M161" s="239"/>
      <c r="N161" s="239"/>
      <c r="O161" s="252"/>
    </row>
    <row r="162" spans="1:15">
      <c r="A162" s="259"/>
      <c r="B162" s="220"/>
      <c r="C162" s="220"/>
      <c r="D162" s="220"/>
      <c r="E162" s="220"/>
      <c r="F162" s="220"/>
      <c r="G162" s="220"/>
      <c r="H162" s="220"/>
      <c r="I162" s="220"/>
      <c r="J162" s="220"/>
      <c r="K162" s="220"/>
      <c r="L162" s="220"/>
      <c r="M162" s="220"/>
      <c r="N162" s="220"/>
      <c r="O162" s="260"/>
    </row>
    <row r="163" spans="1:15" ht="15.6">
      <c r="A163" s="250" t="s">
        <v>952</v>
      </c>
      <c r="B163" s="225"/>
      <c r="C163" s="220"/>
      <c r="D163" s="220"/>
      <c r="E163" s="220"/>
      <c r="F163" s="220"/>
      <c r="G163" s="220"/>
      <c r="H163" s="220"/>
      <c r="I163" s="220"/>
      <c r="J163" s="220"/>
      <c r="K163" s="220"/>
      <c r="L163" s="220"/>
      <c r="M163" s="261">
        <f>SUM(M149:M160)</f>
        <v>0</v>
      </c>
      <c r="N163" s="220"/>
      <c r="O163" s="260"/>
    </row>
    <row r="164" spans="1:15" ht="15.6">
      <c r="A164" s="250" t="s">
        <v>897</v>
      </c>
      <c r="B164" s="225"/>
      <c r="C164" s="220"/>
      <c r="D164" s="220"/>
      <c r="E164" s="220"/>
      <c r="F164" s="220"/>
      <c r="G164" s="220"/>
      <c r="H164" s="220"/>
      <c r="I164" s="220"/>
      <c r="J164" s="220"/>
      <c r="K164" s="220"/>
      <c r="L164" s="220"/>
      <c r="M164" s="261">
        <f>K12</f>
        <v>0</v>
      </c>
      <c r="N164" s="220"/>
      <c r="O164" s="260"/>
    </row>
    <row r="165" spans="1:15" ht="15.6">
      <c r="A165" s="262" t="s">
        <v>898</v>
      </c>
      <c r="B165" s="263"/>
      <c r="C165" s="264"/>
      <c r="D165" s="264"/>
      <c r="E165" s="264"/>
      <c r="F165" s="264"/>
      <c r="G165" s="264"/>
      <c r="H165" s="264"/>
      <c r="I165" s="264"/>
      <c r="J165" s="264"/>
      <c r="K165" s="264"/>
      <c r="L165" s="264"/>
      <c r="M165" s="265">
        <f>(M163+M164)</f>
        <v>0</v>
      </c>
      <c r="N165" s="264"/>
      <c r="O165" s="266"/>
    </row>
    <row r="168" spans="1:15" ht="15.6">
      <c r="A168" s="1376" t="s">
        <v>946</v>
      </c>
      <c r="B168" s="1376"/>
      <c r="C168" s="1376"/>
      <c r="D168" s="1376"/>
      <c r="E168" s="1376"/>
      <c r="F168" s="1376"/>
      <c r="G168" s="1376"/>
      <c r="H168" s="1376"/>
      <c r="I168" s="1376"/>
      <c r="J168" s="1376"/>
      <c r="K168" s="1376"/>
      <c r="L168" s="1376"/>
      <c r="M168" s="1376"/>
    </row>
    <row r="169" spans="1:15" ht="15.6">
      <c r="A169" s="1371" t="str">
        <f>+A3</f>
        <v>New York Transco LLC</v>
      </c>
      <c r="B169" s="1371"/>
      <c r="C169" s="1371"/>
      <c r="D169" s="1371"/>
      <c r="E169" s="1371"/>
      <c r="F169" s="1371"/>
      <c r="G169" s="1371"/>
      <c r="H169" s="1371"/>
      <c r="I169" s="1371"/>
      <c r="J169" s="1371"/>
      <c r="K169" s="1371"/>
      <c r="L169" s="1371"/>
      <c r="M169" s="1371"/>
    </row>
    <row r="170" spans="1:15" ht="15.6">
      <c r="A170" s="1376"/>
      <c r="B170" s="1376"/>
      <c r="C170" s="1376"/>
      <c r="D170" s="1376"/>
      <c r="E170" s="1376"/>
      <c r="F170" s="1376"/>
      <c r="G170" s="1376"/>
      <c r="H170" s="1376"/>
      <c r="I170" s="1376"/>
      <c r="J170" s="1376"/>
      <c r="K170" s="1376"/>
      <c r="L170" s="1376"/>
      <c r="M170" s="1376"/>
    </row>
    <row r="172" spans="1:15" ht="18">
      <c r="A172" s="240" t="s">
        <v>953</v>
      </c>
      <c r="B172" s="241"/>
      <c r="C172" s="242"/>
      <c r="D172" s="242"/>
      <c r="E172" s="242"/>
      <c r="F172" s="242"/>
      <c r="G172" s="243"/>
      <c r="H172" s="243"/>
      <c r="I172" s="243"/>
      <c r="J172" s="243"/>
      <c r="K172" s="244"/>
      <c r="L172" s="244"/>
      <c r="M172" s="242"/>
      <c r="N172" s="242"/>
      <c r="O172" s="245"/>
    </row>
    <row r="173" spans="1:15" ht="15.6">
      <c r="A173" s="246" t="s">
        <v>954</v>
      </c>
      <c r="B173" s="247"/>
      <c r="C173" s="226"/>
      <c r="D173" s="226"/>
      <c r="E173" s="226"/>
      <c r="F173" s="226"/>
      <c r="G173" s="222"/>
      <c r="H173" s="222"/>
      <c r="I173" s="222"/>
      <c r="J173" s="222"/>
      <c r="K173" s="228" t="s">
        <v>889</v>
      </c>
      <c r="L173" s="228"/>
      <c r="M173" s="226"/>
      <c r="N173" s="226"/>
      <c r="O173" s="248"/>
    </row>
    <row r="174" spans="1:15" ht="18">
      <c r="A174" s="249"/>
      <c r="B174" s="247"/>
      <c r="C174" s="226"/>
      <c r="D174" s="226"/>
      <c r="E174" s="226"/>
      <c r="F174" s="226"/>
      <c r="G174" s="222"/>
      <c r="H174" s="222"/>
      <c r="I174" s="222"/>
      <c r="J174" s="222"/>
      <c r="K174" s="228"/>
      <c r="L174" s="228"/>
      <c r="M174" s="226"/>
      <c r="N174" s="226"/>
      <c r="O174" s="248"/>
    </row>
    <row r="175" spans="1:15" ht="15.6">
      <c r="A175" s="250" t="s">
        <v>331</v>
      </c>
      <c r="B175" s="225"/>
      <c r="C175" s="225" t="s">
        <v>941</v>
      </c>
      <c r="D175" s="225"/>
      <c r="E175" s="239">
        <f>K13/12</f>
        <v>0</v>
      </c>
      <c r="F175" s="239"/>
      <c r="G175" s="251">
        <f>M13</f>
        <v>5.7999999999999996E-3</v>
      </c>
      <c r="H175" s="251"/>
      <c r="I175" s="583">
        <v>12</v>
      </c>
      <c r="J175" s="225"/>
      <c r="K175" s="239">
        <f t="shared" ref="K175:K186" si="37">G175*E175*I175*-1</f>
        <v>0</v>
      </c>
      <c r="L175" s="239"/>
      <c r="M175" s="239"/>
      <c r="N175" s="239"/>
      <c r="O175" s="252">
        <f t="shared" ref="O175:O186" si="38">(-K175+E175)*-1</f>
        <v>0</v>
      </c>
    </row>
    <row r="176" spans="1:15" ht="15.6">
      <c r="A176" s="250" t="s">
        <v>333</v>
      </c>
      <c r="B176" s="225"/>
      <c r="C176" s="225" t="str">
        <f t="shared" ref="C176:C186" si="39">C175</f>
        <v>Year 2017</v>
      </c>
      <c r="D176" s="225"/>
      <c r="E176" s="239">
        <f t="shared" ref="E176:E186" si="40">+E175</f>
        <v>0</v>
      </c>
      <c r="F176" s="239"/>
      <c r="G176" s="251">
        <f t="shared" ref="G176:G186" si="41">+G175</f>
        <v>5.7999999999999996E-3</v>
      </c>
      <c r="H176" s="251"/>
      <c r="I176" s="584">
        <f t="shared" ref="I176:I186" si="42">+I175-1</f>
        <v>11</v>
      </c>
      <c r="J176" s="253"/>
      <c r="K176" s="239">
        <f t="shared" si="37"/>
        <v>0</v>
      </c>
      <c r="L176" s="239"/>
      <c r="M176" s="239"/>
      <c r="N176" s="239"/>
      <c r="O176" s="252">
        <f t="shared" si="38"/>
        <v>0</v>
      </c>
    </row>
    <row r="177" spans="1:15" ht="15.6">
      <c r="A177" s="250" t="s">
        <v>334</v>
      </c>
      <c r="B177" s="225"/>
      <c r="C177" s="225" t="str">
        <f t="shared" si="39"/>
        <v>Year 2017</v>
      </c>
      <c r="D177" s="225"/>
      <c r="E177" s="239">
        <f t="shared" si="40"/>
        <v>0</v>
      </c>
      <c r="F177" s="239"/>
      <c r="G177" s="251">
        <f t="shared" si="41"/>
        <v>5.7999999999999996E-3</v>
      </c>
      <c r="H177" s="251"/>
      <c r="I177" s="584">
        <f t="shared" si="42"/>
        <v>10</v>
      </c>
      <c r="J177" s="253"/>
      <c r="K177" s="239">
        <f t="shared" si="37"/>
        <v>0</v>
      </c>
      <c r="L177" s="239"/>
      <c r="M177" s="239"/>
      <c r="N177" s="239"/>
      <c r="O177" s="252">
        <f t="shared" si="38"/>
        <v>0</v>
      </c>
    </row>
    <row r="178" spans="1:15" ht="15.6">
      <c r="A178" s="250" t="s">
        <v>335</v>
      </c>
      <c r="B178" s="225"/>
      <c r="C178" s="225" t="str">
        <f t="shared" si="39"/>
        <v>Year 2017</v>
      </c>
      <c r="D178" s="225"/>
      <c r="E178" s="239">
        <f t="shared" si="40"/>
        <v>0</v>
      </c>
      <c r="F178" s="239"/>
      <c r="G178" s="251">
        <f t="shared" si="41"/>
        <v>5.7999999999999996E-3</v>
      </c>
      <c r="H178" s="251"/>
      <c r="I178" s="584">
        <f t="shared" si="42"/>
        <v>9</v>
      </c>
      <c r="J178" s="253"/>
      <c r="K178" s="239">
        <f t="shared" si="37"/>
        <v>0</v>
      </c>
      <c r="L178" s="239"/>
      <c r="M178" s="239"/>
      <c r="N178" s="239"/>
      <c r="O178" s="252">
        <f t="shared" si="38"/>
        <v>0</v>
      </c>
    </row>
    <row r="179" spans="1:15" ht="15.6">
      <c r="A179" s="250" t="s">
        <v>336</v>
      </c>
      <c r="B179" s="225"/>
      <c r="C179" s="225" t="str">
        <f t="shared" si="39"/>
        <v>Year 2017</v>
      </c>
      <c r="D179" s="225"/>
      <c r="E179" s="239">
        <f t="shared" si="40"/>
        <v>0</v>
      </c>
      <c r="F179" s="239"/>
      <c r="G179" s="251">
        <f t="shared" si="41"/>
        <v>5.7999999999999996E-3</v>
      </c>
      <c r="H179" s="251"/>
      <c r="I179" s="584">
        <f t="shared" si="42"/>
        <v>8</v>
      </c>
      <c r="J179" s="253"/>
      <c r="K179" s="239">
        <f t="shared" si="37"/>
        <v>0</v>
      </c>
      <c r="L179" s="239"/>
      <c r="M179" s="239"/>
      <c r="N179" s="239"/>
      <c r="O179" s="252">
        <f t="shared" si="38"/>
        <v>0</v>
      </c>
    </row>
    <row r="180" spans="1:15" ht="15.6">
      <c r="A180" s="250" t="s">
        <v>507</v>
      </c>
      <c r="B180" s="225"/>
      <c r="C180" s="225" t="str">
        <f t="shared" si="39"/>
        <v>Year 2017</v>
      </c>
      <c r="D180" s="225"/>
      <c r="E180" s="239">
        <f t="shared" si="40"/>
        <v>0</v>
      </c>
      <c r="F180" s="239"/>
      <c r="G180" s="251">
        <f t="shared" si="41"/>
        <v>5.7999999999999996E-3</v>
      </c>
      <c r="H180" s="251"/>
      <c r="I180" s="584">
        <f t="shared" si="42"/>
        <v>7</v>
      </c>
      <c r="J180" s="253"/>
      <c r="K180" s="239">
        <f t="shared" si="37"/>
        <v>0</v>
      </c>
      <c r="L180" s="239"/>
      <c r="M180" s="239"/>
      <c r="N180" s="239"/>
      <c r="O180" s="252">
        <f t="shared" si="38"/>
        <v>0</v>
      </c>
    </row>
    <row r="181" spans="1:15" ht="15.6">
      <c r="A181" s="250" t="s">
        <v>338</v>
      </c>
      <c r="B181" s="225"/>
      <c r="C181" s="225" t="str">
        <f t="shared" si="39"/>
        <v>Year 2017</v>
      </c>
      <c r="D181" s="225"/>
      <c r="E181" s="239">
        <f t="shared" si="40"/>
        <v>0</v>
      </c>
      <c r="F181" s="239"/>
      <c r="G181" s="251">
        <f t="shared" si="41"/>
        <v>5.7999999999999996E-3</v>
      </c>
      <c r="H181" s="251"/>
      <c r="I181" s="584">
        <f t="shared" si="42"/>
        <v>6</v>
      </c>
      <c r="J181" s="253"/>
      <c r="K181" s="239">
        <f t="shared" si="37"/>
        <v>0</v>
      </c>
      <c r="L181" s="239"/>
      <c r="M181" s="239"/>
      <c r="N181" s="239"/>
      <c r="O181" s="252">
        <f t="shared" si="38"/>
        <v>0</v>
      </c>
    </row>
    <row r="182" spans="1:15" ht="15.6">
      <c r="A182" s="250" t="s">
        <v>339</v>
      </c>
      <c r="B182" s="225"/>
      <c r="C182" s="225" t="str">
        <f t="shared" si="39"/>
        <v>Year 2017</v>
      </c>
      <c r="D182" s="225"/>
      <c r="E182" s="239">
        <f t="shared" si="40"/>
        <v>0</v>
      </c>
      <c r="F182" s="239"/>
      <c r="G182" s="251">
        <f t="shared" si="41"/>
        <v>5.7999999999999996E-3</v>
      </c>
      <c r="H182" s="251"/>
      <c r="I182" s="584">
        <f t="shared" si="42"/>
        <v>5</v>
      </c>
      <c r="J182" s="253"/>
      <c r="K182" s="239">
        <f t="shared" si="37"/>
        <v>0</v>
      </c>
      <c r="L182" s="239"/>
      <c r="M182" s="239"/>
      <c r="N182" s="239"/>
      <c r="O182" s="252">
        <f t="shared" si="38"/>
        <v>0</v>
      </c>
    </row>
    <row r="183" spans="1:15" ht="15.6">
      <c r="A183" s="250" t="s">
        <v>340</v>
      </c>
      <c r="B183" s="225"/>
      <c r="C183" s="225" t="str">
        <f t="shared" si="39"/>
        <v>Year 2017</v>
      </c>
      <c r="D183" s="225"/>
      <c r="E183" s="239">
        <f t="shared" si="40"/>
        <v>0</v>
      </c>
      <c r="F183" s="239"/>
      <c r="G183" s="251">
        <f t="shared" si="41"/>
        <v>5.7999999999999996E-3</v>
      </c>
      <c r="H183" s="251"/>
      <c r="I183" s="584">
        <f t="shared" si="42"/>
        <v>4</v>
      </c>
      <c r="J183" s="253"/>
      <c r="K183" s="239">
        <f t="shared" si="37"/>
        <v>0</v>
      </c>
      <c r="L183" s="239"/>
      <c r="M183" s="239"/>
      <c r="N183" s="239"/>
      <c r="O183" s="252">
        <f t="shared" si="38"/>
        <v>0</v>
      </c>
    </row>
    <row r="184" spans="1:15" ht="15.6">
      <c r="A184" s="250" t="s">
        <v>347</v>
      </c>
      <c r="B184" s="225"/>
      <c r="C184" s="225" t="str">
        <f t="shared" si="39"/>
        <v>Year 2017</v>
      </c>
      <c r="D184" s="225"/>
      <c r="E184" s="239">
        <f t="shared" si="40"/>
        <v>0</v>
      </c>
      <c r="F184" s="239"/>
      <c r="G184" s="251">
        <f t="shared" si="41"/>
        <v>5.7999999999999996E-3</v>
      </c>
      <c r="H184" s="251"/>
      <c r="I184" s="584">
        <f t="shared" si="42"/>
        <v>3</v>
      </c>
      <c r="J184" s="253"/>
      <c r="K184" s="239">
        <f t="shared" si="37"/>
        <v>0</v>
      </c>
      <c r="L184" s="239"/>
      <c r="M184" s="239"/>
      <c r="N184" s="239"/>
      <c r="O184" s="252">
        <f t="shared" si="38"/>
        <v>0</v>
      </c>
    </row>
    <row r="185" spans="1:15" ht="15.6">
      <c r="A185" s="250" t="s">
        <v>342</v>
      </c>
      <c r="B185" s="225"/>
      <c r="C185" s="225" t="str">
        <f t="shared" si="39"/>
        <v>Year 2017</v>
      </c>
      <c r="D185" s="225"/>
      <c r="E185" s="239">
        <f t="shared" si="40"/>
        <v>0</v>
      </c>
      <c r="F185" s="239"/>
      <c r="G185" s="251">
        <f t="shared" si="41"/>
        <v>5.7999999999999996E-3</v>
      </c>
      <c r="H185" s="251"/>
      <c r="I185" s="584">
        <f t="shared" si="42"/>
        <v>2</v>
      </c>
      <c r="J185" s="253"/>
      <c r="K185" s="239">
        <f t="shared" si="37"/>
        <v>0</v>
      </c>
      <c r="L185" s="239"/>
      <c r="M185" s="239"/>
      <c r="N185" s="239"/>
      <c r="O185" s="252">
        <f t="shared" si="38"/>
        <v>0</v>
      </c>
    </row>
    <row r="186" spans="1:15" ht="15.6">
      <c r="A186" s="250" t="s">
        <v>329</v>
      </c>
      <c r="B186" s="225"/>
      <c r="C186" s="225" t="str">
        <f t="shared" si="39"/>
        <v>Year 2017</v>
      </c>
      <c r="D186" s="225"/>
      <c r="E186" s="239">
        <f t="shared" si="40"/>
        <v>0</v>
      </c>
      <c r="F186" s="239"/>
      <c r="G186" s="251">
        <f t="shared" si="41"/>
        <v>5.7999999999999996E-3</v>
      </c>
      <c r="H186" s="251"/>
      <c r="I186" s="584">
        <f t="shared" si="42"/>
        <v>1</v>
      </c>
      <c r="J186" s="253"/>
      <c r="K186" s="238">
        <f t="shared" si="37"/>
        <v>0</v>
      </c>
      <c r="L186" s="239"/>
      <c r="M186" s="239"/>
      <c r="N186" s="239"/>
      <c r="O186" s="252">
        <f t="shared" si="38"/>
        <v>0</v>
      </c>
    </row>
    <row r="187" spans="1:15" ht="15.6">
      <c r="A187" s="250"/>
      <c r="B187" s="225"/>
      <c r="C187" s="225"/>
      <c r="D187" s="225"/>
      <c r="E187" s="239"/>
      <c r="F187" s="239"/>
      <c r="G187" s="251"/>
      <c r="H187" s="251"/>
      <c r="I187" s="253"/>
      <c r="J187" s="253"/>
      <c r="K187" s="239">
        <f>SUM(K175:K186)</f>
        <v>0</v>
      </c>
      <c r="L187" s="239"/>
      <c r="M187" s="239"/>
      <c r="N187" s="239"/>
      <c r="O187" s="254">
        <f>SUM(O175:O186)</f>
        <v>0</v>
      </c>
    </row>
    <row r="188" spans="1:15" ht="15.6">
      <c r="A188" s="250"/>
      <c r="B188" s="225"/>
      <c r="C188" s="225"/>
      <c r="D188" s="225"/>
      <c r="E188" s="239"/>
      <c r="F188" s="239"/>
      <c r="G188" s="251"/>
      <c r="H188" s="251"/>
      <c r="I188" s="253"/>
      <c r="J188" s="253"/>
      <c r="K188" s="239"/>
      <c r="L188" s="239"/>
      <c r="M188" s="239"/>
      <c r="N188" s="239"/>
      <c r="O188" s="254"/>
    </row>
    <row r="189" spans="1:15" ht="15.6">
      <c r="A189" s="250"/>
      <c r="B189" s="225"/>
      <c r="C189" s="225"/>
      <c r="D189" s="225"/>
      <c r="E189" s="239"/>
      <c r="F189" s="239"/>
      <c r="G189" s="251"/>
      <c r="H189" s="251"/>
      <c r="I189" s="253"/>
      <c r="J189" s="253"/>
      <c r="K189" s="255" t="s">
        <v>891</v>
      </c>
      <c r="L189" s="239"/>
      <c r="M189" s="239"/>
      <c r="N189" s="239"/>
      <c r="O189" s="254"/>
    </row>
    <row r="190" spans="1:15" ht="15.6">
      <c r="A190" s="250"/>
      <c r="B190" s="225"/>
      <c r="C190" s="225"/>
      <c r="D190" s="225"/>
      <c r="E190" s="239"/>
      <c r="F190" s="239"/>
      <c r="G190" s="251"/>
      <c r="H190" s="251"/>
      <c r="I190" s="253"/>
      <c r="J190" s="253"/>
      <c r="K190" s="255"/>
      <c r="L190" s="239"/>
      <c r="M190" s="239"/>
      <c r="N190" s="239"/>
      <c r="O190" s="254"/>
    </row>
    <row r="191" spans="1:15" ht="15.6">
      <c r="A191" s="250" t="s">
        <v>892</v>
      </c>
      <c r="B191" s="225"/>
      <c r="C191" s="225" t="s">
        <v>942</v>
      </c>
      <c r="D191" s="225"/>
      <c r="E191" s="227">
        <f>O187</f>
        <v>0</v>
      </c>
      <c r="F191" s="227"/>
      <c r="G191" s="251">
        <f>M14</f>
        <v>5.7000000000000002E-3</v>
      </c>
      <c r="H191" s="251"/>
      <c r="I191" s="583">
        <v>12</v>
      </c>
      <c r="J191" s="225"/>
      <c r="K191" s="239">
        <f>+I191*G191*E191</f>
        <v>0</v>
      </c>
      <c r="L191" s="239"/>
      <c r="M191" s="239"/>
      <c r="N191" s="239"/>
      <c r="O191" s="254">
        <f>+E191+K191</f>
        <v>0</v>
      </c>
    </row>
    <row r="192" spans="1:15" ht="15.6">
      <c r="A192" s="250" t="s">
        <v>892</v>
      </c>
      <c r="B192" s="225"/>
      <c r="C192" s="225" t="s">
        <v>943</v>
      </c>
      <c r="D192" s="225"/>
      <c r="E192" s="227">
        <f>O191</f>
        <v>0</v>
      </c>
      <c r="F192" s="227"/>
      <c r="G192" s="251">
        <f>G191</f>
        <v>5.7000000000000002E-3</v>
      </c>
      <c r="H192" s="251"/>
      <c r="I192" s="583">
        <v>12</v>
      </c>
      <c r="J192" s="225"/>
      <c r="K192" s="239">
        <f>+I192*G192*E192</f>
        <v>0</v>
      </c>
      <c r="L192" s="239"/>
      <c r="M192" s="239"/>
      <c r="N192" s="239"/>
      <c r="O192" s="254">
        <f>+E192+K192</f>
        <v>0</v>
      </c>
    </row>
    <row r="193" spans="1:15" ht="15.6">
      <c r="A193" s="250"/>
      <c r="B193" s="225"/>
      <c r="C193" s="225"/>
      <c r="D193" s="225"/>
      <c r="E193" s="227"/>
      <c r="F193" s="227"/>
      <c r="G193" s="251"/>
      <c r="H193" s="251"/>
      <c r="I193" s="225"/>
      <c r="J193" s="225"/>
      <c r="K193" s="239"/>
      <c r="L193" s="239"/>
      <c r="M193" s="239"/>
      <c r="N193" s="239"/>
      <c r="O193" s="254"/>
    </row>
    <row r="194" spans="1:15" ht="15.6">
      <c r="A194" s="250"/>
      <c r="B194" s="225"/>
      <c r="C194" s="225"/>
      <c r="D194" s="225"/>
      <c r="E194" s="227"/>
      <c r="F194" s="227"/>
      <c r="G194" s="251"/>
      <c r="H194" s="251"/>
      <c r="I194" s="225"/>
      <c r="J194" s="225"/>
      <c r="K194" s="239"/>
      <c r="L194" s="239"/>
      <c r="M194" s="239"/>
      <c r="N194" s="239"/>
      <c r="O194" s="252"/>
    </row>
    <row r="195" spans="1:15" ht="15.6">
      <c r="A195" s="256" t="s">
        <v>894</v>
      </c>
      <c r="B195" s="257"/>
      <c r="C195" s="225"/>
      <c r="D195" s="225"/>
      <c r="E195" s="239"/>
      <c r="F195" s="239"/>
      <c r="G195" s="251"/>
      <c r="H195" s="251"/>
      <c r="I195" s="225"/>
      <c r="J195" s="225"/>
      <c r="K195" s="255" t="s">
        <v>889</v>
      </c>
      <c r="L195" s="255"/>
      <c r="M195" s="239"/>
      <c r="N195" s="239"/>
      <c r="O195" s="252"/>
    </row>
    <row r="196" spans="1:15" ht="15.6">
      <c r="A196" s="250" t="s">
        <v>331</v>
      </c>
      <c r="B196" s="225"/>
      <c r="C196" s="225" t="s">
        <v>944</v>
      </c>
      <c r="D196" s="225"/>
      <c r="E196" s="258">
        <f>-O192</f>
        <v>0</v>
      </c>
      <c r="F196" s="227"/>
      <c r="G196" s="251">
        <f>G192</f>
        <v>5.7000000000000002E-3</v>
      </c>
      <c r="H196" s="251"/>
      <c r="I196" s="225"/>
      <c r="J196" s="225"/>
      <c r="K196" s="239">
        <f t="shared" ref="K196:K207" si="43" xml:space="preserve"> -G196*E196</f>
        <v>0</v>
      </c>
      <c r="L196" s="239"/>
      <c r="M196" s="239">
        <f>-PMT(G196,12,O192)</f>
        <v>0</v>
      </c>
      <c r="N196" s="239"/>
      <c r="O196" s="252">
        <f t="shared" ref="O196:O207" si="44">(+E196+E196*G196+M196)*-1</f>
        <v>0</v>
      </c>
    </row>
    <row r="197" spans="1:15" ht="15.6">
      <c r="A197" s="250" t="s">
        <v>333</v>
      </c>
      <c r="B197" s="225"/>
      <c r="C197" s="225" t="str">
        <f>+C196</f>
        <v>Year 2020</v>
      </c>
      <c r="D197" s="225"/>
      <c r="E197" s="227">
        <f t="shared" ref="E197:E207" si="45">-O196</f>
        <v>0</v>
      </c>
      <c r="F197" s="227"/>
      <c r="G197" s="251">
        <f t="shared" ref="G197:G207" si="46">+G196</f>
        <v>5.7000000000000002E-3</v>
      </c>
      <c r="H197" s="251"/>
      <c r="I197" s="225"/>
      <c r="J197" s="225"/>
      <c r="K197" s="239">
        <f t="shared" si="43"/>
        <v>0</v>
      </c>
      <c r="L197" s="239"/>
      <c r="M197" s="239">
        <f t="shared" ref="M197:M207" si="47">M196</f>
        <v>0</v>
      </c>
      <c r="N197" s="239"/>
      <c r="O197" s="252">
        <f t="shared" si="44"/>
        <v>0</v>
      </c>
    </row>
    <row r="198" spans="1:15" ht="15.6">
      <c r="A198" s="250" t="s">
        <v>334</v>
      </c>
      <c r="B198" s="225"/>
      <c r="C198" s="225" t="str">
        <f>+C197</f>
        <v>Year 2020</v>
      </c>
      <c r="D198" s="225"/>
      <c r="E198" s="227">
        <f t="shared" si="45"/>
        <v>0</v>
      </c>
      <c r="F198" s="227"/>
      <c r="G198" s="251">
        <f t="shared" si="46"/>
        <v>5.7000000000000002E-3</v>
      </c>
      <c r="H198" s="251"/>
      <c r="I198" s="225"/>
      <c r="J198" s="225"/>
      <c r="K198" s="239">
        <f t="shared" si="43"/>
        <v>0</v>
      </c>
      <c r="L198" s="239"/>
      <c r="M198" s="239">
        <f t="shared" si="47"/>
        <v>0</v>
      </c>
      <c r="N198" s="239"/>
      <c r="O198" s="252">
        <f t="shared" si="44"/>
        <v>0</v>
      </c>
    </row>
    <row r="199" spans="1:15" ht="15.6">
      <c r="A199" s="250" t="s">
        <v>335</v>
      </c>
      <c r="B199" s="225"/>
      <c r="C199" s="225" t="str">
        <f>+C198</f>
        <v>Year 2020</v>
      </c>
      <c r="D199" s="225"/>
      <c r="E199" s="227">
        <f t="shared" si="45"/>
        <v>0</v>
      </c>
      <c r="F199" s="227"/>
      <c r="G199" s="251">
        <f t="shared" si="46"/>
        <v>5.7000000000000002E-3</v>
      </c>
      <c r="H199" s="251"/>
      <c r="I199" s="225"/>
      <c r="J199" s="225"/>
      <c r="K199" s="239">
        <f t="shared" si="43"/>
        <v>0</v>
      </c>
      <c r="L199" s="239"/>
      <c r="M199" s="239">
        <f t="shared" si="47"/>
        <v>0</v>
      </c>
      <c r="N199" s="239"/>
      <c r="O199" s="252">
        <f t="shared" si="44"/>
        <v>0</v>
      </c>
    </row>
    <row r="200" spans="1:15" ht="15.6">
      <c r="A200" s="250" t="s">
        <v>336</v>
      </c>
      <c r="B200" s="225"/>
      <c r="C200" s="225" t="str">
        <f>+C199</f>
        <v>Year 2020</v>
      </c>
      <c r="D200" s="225"/>
      <c r="E200" s="227">
        <f t="shared" si="45"/>
        <v>0</v>
      </c>
      <c r="F200" s="227"/>
      <c r="G200" s="251">
        <f t="shared" si="46"/>
        <v>5.7000000000000002E-3</v>
      </c>
      <c r="H200" s="251"/>
      <c r="I200" s="225"/>
      <c r="J200" s="225"/>
      <c r="K200" s="239">
        <f t="shared" si="43"/>
        <v>0</v>
      </c>
      <c r="L200" s="239"/>
      <c r="M200" s="239">
        <f t="shared" si="47"/>
        <v>0</v>
      </c>
      <c r="N200" s="239"/>
      <c r="O200" s="252">
        <f t="shared" si="44"/>
        <v>0</v>
      </c>
    </row>
    <row r="201" spans="1:15" ht="15.6">
      <c r="A201" s="250" t="s">
        <v>507</v>
      </c>
      <c r="B201" s="225"/>
      <c r="C201" s="225" t="str">
        <f>C200</f>
        <v>Year 2020</v>
      </c>
      <c r="D201" s="222"/>
      <c r="E201" s="227">
        <f t="shared" si="45"/>
        <v>0</v>
      </c>
      <c r="F201" s="227"/>
      <c r="G201" s="251">
        <f t="shared" si="46"/>
        <v>5.7000000000000002E-3</v>
      </c>
      <c r="H201" s="251"/>
      <c r="I201" s="225"/>
      <c r="J201" s="225"/>
      <c r="K201" s="239">
        <f t="shared" si="43"/>
        <v>0</v>
      </c>
      <c r="L201" s="239"/>
      <c r="M201" s="239">
        <f t="shared" si="47"/>
        <v>0</v>
      </c>
      <c r="N201" s="239"/>
      <c r="O201" s="252">
        <f t="shared" si="44"/>
        <v>0</v>
      </c>
    </row>
    <row r="202" spans="1:15" ht="15.6">
      <c r="A202" s="250" t="s">
        <v>338</v>
      </c>
      <c r="B202" s="225"/>
      <c r="C202" s="225" t="str">
        <f t="shared" ref="C202:C207" si="48">+C201</f>
        <v>Year 2020</v>
      </c>
      <c r="D202" s="225"/>
      <c r="E202" s="227">
        <f t="shared" si="45"/>
        <v>0</v>
      </c>
      <c r="F202" s="227"/>
      <c r="G202" s="251">
        <f t="shared" si="46"/>
        <v>5.7000000000000002E-3</v>
      </c>
      <c r="H202" s="251"/>
      <c r="I202" s="225"/>
      <c r="J202" s="225"/>
      <c r="K202" s="239">
        <f t="shared" si="43"/>
        <v>0</v>
      </c>
      <c r="L202" s="239"/>
      <c r="M202" s="239">
        <f t="shared" si="47"/>
        <v>0</v>
      </c>
      <c r="N202" s="239"/>
      <c r="O202" s="252">
        <f t="shared" si="44"/>
        <v>0</v>
      </c>
    </row>
    <row r="203" spans="1:15" ht="15.6">
      <c r="A203" s="250" t="s">
        <v>339</v>
      </c>
      <c r="B203" s="225"/>
      <c r="C203" s="225" t="str">
        <f t="shared" si="48"/>
        <v>Year 2020</v>
      </c>
      <c r="D203" s="225"/>
      <c r="E203" s="227">
        <f t="shared" si="45"/>
        <v>0</v>
      </c>
      <c r="F203" s="227"/>
      <c r="G203" s="251">
        <f t="shared" si="46"/>
        <v>5.7000000000000002E-3</v>
      </c>
      <c r="H203" s="251"/>
      <c r="I203" s="225"/>
      <c r="J203" s="225"/>
      <c r="K203" s="239">
        <f t="shared" si="43"/>
        <v>0</v>
      </c>
      <c r="L203" s="239"/>
      <c r="M203" s="239">
        <f t="shared" si="47"/>
        <v>0</v>
      </c>
      <c r="N203" s="239"/>
      <c r="O203" s="252">
        <f t="shared" si="44"/>
        <v>0</v>
      </c>
    </row>
    <row r="204" spans="1:15" ht="15.6">
      <c r="A204" s="250" t="s">
        <v>340</v>
      </c>
      <c r="B204" s="225"/>
      <c r="C204" s="225" t="str">
        <f t="shared" si="48"/>
        <v>Year 2020</v>
      </c>
      <c r="D204" s="225"/>
      <c r="E204" s="227">
        <f t="shared" si="45"/>
        <v>0</v>
      </c>
      <c r="F204" s="227"/>
      <c r="G204" s="251">
        <f t="shared" si="46"/>
        <v>5.7000000000000002E-3</v>
      </c>
      <c r="H204" s="251"/>
      <c r="I204" s="225"/>
      <c r="J204" s="225"/>
      <c r="K204" s="239">
        <f t="shared" si="43"/>
        <v>0</v>
      </c>
      <c r="L204" s="239"/>
      <c r="M204" s="239">
        <f t="shared" si="47"/>
        <v>0</v>
      </c>
      <c r="N204" s="239"/>
      <c r="O204" s="252">
        <f t="shared" si="44"/>
        <v>0</v>
      </c>
    </row>
    <row r="205" spans="1:15" ht="15.6">
      <c r="A205" s="250" t="s">
        <v>347</v>
      </c>
      <c r="B205" s="225"/>
      <c r="C205" s="225" t="str">
        <f t="shared" si="48"/>
        <v>Year 2020</v>
      </c>
      <c r="D205" s="225"/>
      <c r="E205" s="227">
        <f t="shared" si="45"/>
        <v>0</v>
      </c>
      <c r="F205" s="227"/>
      <c r="G205" s="251">
        <f t="shared" si="46"/>
        <v>5.7000000000000002E-3</v>
      </c>
      <c r="H205" s="251"/>
      <c r="I205" s="225"/>
      <c r="J205" s="225"/>
      <c r="K205" s="239">
        <f t="shared" si="43"/>
        <v>0</v>
      </c>
      <c r="L205" s="239"/>
      <c r="M205" s="239">
        <f t="shared" si="47"/>
        <v>0</v>
      </c>
      <c r="N205" s="239"/>
      <c r="O205" s="252">
        <f t="shared" si="44"/>
        <v>0</v>
      </c>
    </row>
    <row r="206" spans="1:15" ht="15.6">
      <c r="A206" s="250" t="s">
        <v>342</v>
      </c>
      <c r="B206" s="225"/>
      <c r="C206" s="225" t="str">
        <f t="shared" si="48"/>
        <v>Year 2020</v>
      </c>
      <c r="D206" s="225"/>
      <c r="E206" s="227">
        <f t="shared" si="45"/>
        <v>0</v>
      </c>
      <c r="F206" s="227"/>
      <c r="G206" s="251">
        <f t="shared" si="46"/>
        <v>5.7000000000000002E-3</v>
      </c>
      <c r="H206" s="251"/>
      <c r="I206" s="225"/>
      <c r="J206" s="225"/>
      <c r="K206" s="239">
        <f t="shared" si="43"/>
        <v>0</v>
      </c>
      <c r="L206" s="239"/>
      <c r="M206" s="239">
        <f t="shared" si="47"/>
        <v>0</v>
      </c>
      <c r="N206" s="239"/>
      <c r="O206" s="252">
        <f t="shared" si="44"/>
        <v>0</v>
      </c>
    </row>
    <row r="207" spans="1:15" ht="15.6">
      <c r="A207" s="250" t="s">
        <v>329</v>
      </c>
      <c r="B207" s="225"/>
      <c r="C207" s="225" t="str">
        <f t="shared" si="48"/>
        <v>Year 2020</v>
      </c>
      <c r="D207" s="225"/>
      <c r="E207" s="227">
        <f t="shared" si="45"/>
        <v>0</v>
      </c>
      <c r="F207" s="227"/>
      <c r="G207" s="251">
        <f t="shared" si="46"/>
        <v>5.7000000000000002E-3</v>
      </c>
      <c r="H207" s="251"/>
      <c r="I207" s="225"/>
      <c r="J207" s="225"/>
      <c r="K207" s="238">
        <f t="shared" si="43"/>
        <v>0</v>
      </c>
      <c r="L207" s="239"/>
      <c r="M207" s="239">
        <f t="shared" si="47"/>
        <v>0</v>
      </c>
      <c r="N207" s="239"/>
      <c r="O207" s="252">
        <f t="shared" si="44"/>
        <v>0</v>
      </c>
    </row>
    <row r="208" spans="1:15" ht="15.6">
      <c r="A208" s="250"/>
      <c r="B208" s="225"/>
      <c r="C208" s="225"/>
      <c r="D208" s="225"/>
      <c r="E208" s="227"/>
      <c r="F208" s="227"/>
      <c r="G208" s="251"/>
      <c r="H208" s="251"/>
      <c r="I208" s="225"/>
      <c r="J208" s="225"/>
      <c r="K208" s="239">
        <f>SUM(K196:K207)</f>
        <v>0</v>
      </c>
      <c r="L208" s="239"/>
      <c r="M208" s="239"/>
      <c r="N208" s="239"/>
      <c r="O208" s="252"/>
    </row>
    <row r="209" spans="1:15">
      <c r="A209" s="259"/>
      <c r="B209" s="220"/>
      <c r="C209" s="220"/>
      <c r="D209" s="220"/>
      <c r="E209" s="220"/>
      <c r="F209" s="220"/>
      <c r="G209" s="220"/>
      <c r="H209" s="220"/>
      <c r="I209" s="220"/>
      <c r="J209" s="220"/>
      <c r="K209" s="220"/>
      <c r="L209" s="220"/>
      <c r="M209" s="220"/>
      <c r="N209" s="220"/>
      <c r="O209" s="260"/>
    </row>
    <row r="210" spans="1:15" ht="15.6">
      <c r="A210" s="250" t="s">
        <v>955</v>
      </c>
      <c r="B210" s="225"/>
      <c r="C210" s="220"/>
      <c r="D210" s="220"/>
      <c r="E210" s="220"/>
      <c r="F210" s="220"/>
      <c r="G210" s="220"/>
      <c r="H210" s="220"/>
      <c r="I210" s="220"/>
      <c r="J210" s="220"/>
      <c r="K210" s="220"/>
      <c r="L210" s="220"/>
      <c r="M210" s="261">
        <f>SUM(M196:M207)</f>
        <v>0</v>
      </c>
      <c r="N210" s="220"/>
      <c r="O210" s="260"/>
    </row>
    <row r="211" spans="1:15" ht="15.6">
      <c r="A211" s="250" t="s">
        <v>897</v>
      </c>
      <c r="B211" s="225"/>
      <c r="C211" s="220"/>
      <c r="D211" s="220"/>
      <c r="E211" s="220"/>
      <c r="F211" s="220"/>
      <c r="G211" s="220"/>
      <c r="H211" s="220"/>
      <c r="I211" s="220"/>
      <c r="J211" s="220"/>
      <c r="K211" s="220"/>
      <c r="L211" s="220"/>
      <c r="M211" s="261">
        <f>K13</f>
        <v>0</v>
      </c>
      <c r="N211" s="220"/>
      <c r="O211" s="260"/>
    </row>
    <row r="212" spans="1:15" ht="15.6">
      <c r="A212" s="262" t="s">
        <v>898</v>
      </c>
      <c r="B212" s="263"/>
      <c r="C212" s="264"/>
      <c r="D212" s="264"/>
      <c r="E212" s="264"/>
      <c r="F212" s="264"/>
      <c r="G212" s="264"/>
      <c r="H212" s="264"/>
      <c r="I212" s="264"/>
      <c r="J212" s="264"/>
      <c r="K212" s="264"/>
      <c r="L212" s="264"/>
      <c r="M212" s="265">
        <f>(M210+M211)</f>
        <v>0</v>
      </c>
      <c r="N212" s="264"/>
      <c r="O212" s="266"/>
    </row>
    <row r="215" spans="1:15" ht="18">
      <c r="A215" s="240" t="s">
        <v>956</v>
      </c>
      <c r="B215" s="241"/>
      <c r="C215" s="242"/>
      <c r="D215" s="242"/>
      <c r="E215" s="242"/>
      <c r="F215" s="242"/>
      <c r="G215" s="243"/>
      <c r="H215" s="243"/>
      <c r="I215" s="243"/>
      <c r="J215" s="243"/>
      <c r="K215" s="244"/>
      <c r="L215" s="244"/>
      <c r="M215" s="242"/>
      <c r="N215" s="242"/>
      <c r="O215" s="245"/>
    </row>
    <row r="216" spans="1:15" ht="15.6">
      <c r="A216" s="246" t="s">
        <v>957</v>
      </c>
      <c r="B216" s="247"/>
      <c r="C216" s="226"/>
      <c r="D216" s="226"/>
      <c r="E216" s="226"/>
      <c r="F216" s="226"/>
      <c r="G216" s="222"/>
      <c r="H216" s="222"/>
      <c r="I216" s="222"/>
      <c r="J216" s="222"/>
      <c r="K216" s="228" t="s">
        <v>889</v>
      </c>
      <c r="L216" s="228"/>
      <c r="M216" s="226"/>
      <c r="N216" s="226"/>
      <c r="O216" s="248"/>
    </row>
    <row r="217" spans="1:15" ht="18">
      <c r="A217" s="249"/>
      <c r="B217" s="247"/>
      <c r="C217" s="226"/>
      <c r="D217" s="226"/>
      <c r="E217" s="226"/>
      <c r="F217" s="226"/>
      <c r="G217" s="222"/>
      <c r="H217" s="222"/>
      <c r="I217" s="222"/>
      <c r="J217" s="222"/>
      <c r="K217" s="228"/>
      <c r="L217" s="228"/>
      <c r="M217" s="226"/>
      <c r="N217" s="226"/>
      <c r="O217" s="248"/>
    </row>
    <row r="218" spans="1:15" ht="15.6">
      <c r="A218" s="250" t="s">
        <v>331</v>
      </c>
      <c r="B218" s="225"/>
      <c r="C218" s="225" t="s">
        <v>942</v>
      </c>
      <c r="D218" s="225"/>
      <c r="E218" s="239">
        <f>K14/12</f>
        <v>0</v>
      </c>
      <c r="F218" s="239"/>
      <c r="G218" s="251">
        <f>M14</f>
        <v>5.7000000000000002E-3</v>
      </c>
      <c r="H218" s="251"/>
      <c r="I218" s="583">
        <v>12</v>
      </c>
      <c r="J218" s="225"/>
      <c r="K218" s="239">
        <f t="shared" ref="K218:K229" si="49">G218*E218*I218*-1</f>
        <v>0</v>
      </c>
      <c r="L218" s="239"/>
      <c r="M218" s="239"/>
      <c r="N218" s="239"/>
      <c r="O218" s="252">
        <f t="shared" ref="O218:O229" si="50">(-K218+E218)*-1</f>
        <v>0</v>
      </c>
    </row>
    <row r="219" spans="1:15" ht="15.6">
      <c r="A219" s="250" t="s">
        <v>333</v>
      </c>
      <c r="B219" s="225"/>
      <c r="C219" s="225" t="str">
        <f t="shared" ref="C219:C229" si="51">C218</f>
        <v>Year 2018</v>
      </c>
      <c r="D219" s="225"/>
      <c r="E219" s="239">
        <f t="shared" ref="E219:E229" si="52">+E218</f>
        <v>0</v>
      </c>
      <c r="F219" s="239"/>
      <c r="G219" s="251">
        <f t="shared" ref="G219:G229" si="53">+G218</f>
        <v>5.7000000000000002E-3</v>
      </c>
      <c r="H219" s="251"/>
      <c r="I219" s="584">
        <f t="shared" ref="I219:I229" si="54">+I218-1</f>
        <v>11</v>
      </c>
      <c r="J219" s="253"/>
      <c r="K219" s="239">
        <f t="shared" si="49"/>
        <v>0</v>
      </c>
      <c r="L219" s="239"/>
      <c r="M219" s="239"/>
      <c r="N219" s="239"/>
      <c r="O219" s="252">
        <f t="shared" si="50"/>
        <v>0</v>
      </c>
    </row>
    <row r="220" spans="1:15" ht="15.6">
      <c r="A220" s="250" t="s">
        <v>334</v>
      </c>
      <c r="B220" s="225"/>
      <c r="C220" s="225" t="str">
        <f t="shared" si="51"/>
        <v>Year 2018</v>
      </c>
      <c r="D220" s="225"/>
      <c r="E220" s="239">
        <f t="shared" si="52"/>
        <v>0</v>
      </c>
      <c r="F220" s="239"/>
      <c r="G220" s="251">
        <f t="shared" si="53"/>
        <v>5.7000000000000002E-3</v>
      </c>
      <c r="H220" s="251"/>
      <c r="I220" s="584">
        <f t="shared" si="54"/>
        <v>10</v>
      </c>
      <c r="J220" s="253"/>
      <c r="K220" s="239">
        <f t="shared" si="49"/>
        <v>0</v>
      </c>
      <c r="L220" s="239"/>
      <c r="M220" s="239"/>
      <c r="N220" s="239"/>
      <c r="O220" s="252">
        <f t="shared" si="50"/>
        <v>0</v>
      </c>
    </row>
    <row r="221" spans="1:15" ht="15.6">
      <c r="A221" s="250" t="s">
        <v>335</v>
      </c>
      <c r="B221" s="225"/>
      <c r="C221" s="225" t="str">
        <f t="shared" si="51"/>
        <v>Year 2018</v>
      </c>
      <c r="D221" s="225"/>
      <c r="E221" s="239">
        <f t="shared" si="52"/>
        <v>0</v>
      </c>
      <c r="F221" s="239"/>
      <c r="G221" s="251">
        <f t="shared" si="53"/>
        <v>5.7000000000000002E-3</v>
      </c>
      <c r="H221" s="251"/>
      <c r="I221" s="584">
        <f t="shared" si="54"/>
        <v>9</v>
      </c>
      <c r="J221" s="253"/>
      <c r="K221" s="239">
        <f t="shared" si="49"/>
        <v>0</v>
      </c>
      <c r="L221" s="239"/>
      <c r="M221" s="239"/>
      <c r="N221" s="239"/>
      <c r="O221" s="252">
        <f t="shared" si="50"/>
        <v>0</v>
      </c>
    </row>
    <row r="222" spans="1:15" ht="15.6">
      <c r="A222" s="250" t="s">
        <v>336</v>
      </c>
      <c r="B222" s="225"/>
      <c r="C222" s="225" t="str">
        <f t="shared" si="51"/>
        <v>Year 2018</v>
      </c>
      <c r="D222" s="225"/>
      <c r="E222" s="239">
        <f t="shared" si="52"/>
        <v>0</v>
      </c>
      <c r="F222" s="239"/>
      <c r="G222" s="251">
        <f t="shared" si="53"/>
        <v>5.7000000000000002E-3</v>
      </c>
      <c r="H222" s="251"/>
      <c r="I222" s="584">
        <f t="shared" si="54"/>
        <v>8</v>
      </c>
      <c r="J222" s="253"/>
      <c r="K222" s="239">
        <f t="shared" si="49"/>
        <v>0</v>
      </c>
      <c r="L222" s="239"/>
      <c r="M222" s="239"/>
      <c r="N222" s="239"/>
      <c r="O222" s="252">
        <f t="shared" si="50"/>
        <v>0</v>
      </c>
    </row>
    <row r="223" spans="1:15" ht="15.6">
      <c r="A223" s="250" t="s">
        <v>507</v>
      </c>
      <c r="B223" s="225"/>
      <c r="C223" s="225" t="str">
        <f t="shared" si="51"/>
        <v>Year 2018</v>
      </c>
      <c r="D223" s="225"/>
      <c r="E223" s="239">
        <f t="shared" si="52"/>
        <v>0</v>
      </c>
      <c r="F223" s="239"/>
      <c r="G223" s="251">
        <f t="shared" si="53"/>
        <v>5.7000000000000002E-3</v>
      </c>
      <c r="H223" s="251"/>
      <c r="I223" s="584">
        <f t="shared" si="54"/>
        <v>7</v>
      </c>
      <c r="J223" s="253"/>
      <c r="K223" s="239">
        <f t="shared" si="49"/>
        <v>0</v>
      </c>
      <c r="L223" s="239"/>
      <c r="M223" s="239"/>
      <c r="N223" s="239"/>
      <c r="O223" s="252">
        <f t="shared" si="50"/>
        <v>0</v>
      </c>
    </row>
    <row r="224" spans="1:15" ht="15.6">
      <c r="A224" s="250" t="s">
        <v>338</v>
      </c>
      <c r="B224" s="225"/>
      <c r="C224" s="225" t="str">
        <f t="shared" si="51"/>
        <v>Year 2018</v>
      </c>
      <c r="D224" s="225"/>
      <c r="E224" s="239">
        <f t="shared" si="52"/>
        <v>0</v>
      </c>
      <c r="F224" s="239"/>
      <c r="G224" s="251">
        <f t="shared" si="53"/>
        <v>5.7000000000000002E-3</v>
      </c>
      <c r="H224" s="251"/>
      <c r="I224" s="584">
        <f t="shared" si="54"/>
        <v>6</v>
      </c>
      <c r="J224" s="253"/>
      <c r="K224" s="239">
        <f t="shared" si="49"/>
        <v>0</v>
      </c>
      <c r="L224" s="239"/>
      <c r="M224" s="239"/>
      <c r="N224" s="239"/>
      <c r="O224" s="252">
        <f t="shared" si="50"/>
        <v>0</v>
      </c>
    </row>
    <row r="225" spans="1:15" ht="15.6">
      <c r="A225" s="250" t="s">
        <v>339</v>
      </c>
      <c r="B225" s="225"/>
      <c r="C225" s="225" t="str">
        <f t="shared" si="51"/>
        <v>Year 2018</v>
      </c>
      <c r="D225" s="225"/>
      <c r="E225" s="239">
        <f t="shared" si="52"/>
        <v>0</v>
      </c>
      <c r="F225" s="239"/>
      <c r="G225" s="251">
        <f t="shared" si="53"/>
        <v>5.7000000000000002E-3</v>
      </c>
      <c r="H225" s="251"/>
      <c r="I225" s="584">
        <f t="shared" si="54"/>
        <v>5</v>
      </c>
      <c r="J225" s="253"/>
      <c r="K225" s="239">
        <f t="shared" si="49"/>
        <v>0</v>
      </c>
      <c r="L225" s="239"/>
      <c r="M225" s="239"/>
      <c r="N225" s="239"/>
      <c r="O225" s="252">
        <f t="shared" si="50"/>
        <v>0</v>
      </c>
    </row>
    <row r="226" spans="1:15" ht="15.6">
      <c r="A226" s="250" t="s">
        <v>340</v>
      </c>
      <c r="B226" s="225"/>
      <c r="C226" s="225" t="str">
        <f t="shared" si="51"/>
        <v>Year 2018</v>
      </c>
      <c r="D226" s="225"/>
      <c r="E226" s="239">
        <f t="shared" si="52"/>
        <v>0</v>
      </c>
      <c r="F226" s="239"/>
      <c r="G226" s="251">
        <f t="shared" si="53"/>
        <v>5.7000000000000002E-3</v>
      </c>
      <c r="H226" s="251"/>
      <c r="I226" s="584">
        <f t="shared" si="54"/>
        <v>4</v>
      </c>
      <c r="J226" s="253"/>
      <c r="K226" s="239">
        <f t="shared" si="49"/>
        <v>0</v>
      </c>
      <c r="L226" s="239"/>
      <c r="M226" s="239"/>
      <c r="N226" s="239"/>
      <c r="O226" s="252">
        <f t="shared" si="50"/>
        <v>0</v>
      </c>
    </row>
    <row r="227" spans="1:15" ht="15.6">
      <c r="A227" s="250" t="s">
        <v>347</v>
      </c>
      <c r="B227" s="225"/>
      <c r="C227" s="225" t="str">
        <f t="shared" si="51"/>
        <v>Year 2018</v>
      </c>
      <c r="D227" s="225"/>
      <c r="E227" s="239">
        <f t="shared" si="52"/>
        <v>0</v>
      </c>
      <c r="F227" s="239"/>
      <c r="G227" s="251">
        <f t="shared" si="53"/>
        <v>5.7000000000000002E-3</v>
      </c>
      <c r="H227" s="251"/>
      <c r="I227" s="584">
        <f t="shared" si="54"/>
        <v>3</v>
      </c>
      <c r="J227" s="253"/>
      <c r="K227" s="239">
        <f t="shared" si="49"/>
        <v>0</v>
      </c>
      <c r="L227" s="239"/>
      <c r="M227" s="239"/>
      <c r="N227" s="239"/>
      <c r="O227" s="252">
        <f t="shared" si="50"/>
        <v>0</v>
      </c>
    </row>
    <row r="228" spans="1:15" ht="15.6">
      <c r="A228" s="250" t="s">
        <v>342</v>
      </c>
      <c r="B228" s="225"/>
      <c r="C228" s="225" t="str">
        <f t="shared" si="51"/>
        <v>Year 2018</v>
      </c>
      <c r="D228" s="225"/>
      <c r="E228" s="239">
        <f t="shared" si="52"/>
        <v>0</v>
      </c>
      <c r="F228" s="239"/>
      <c r="G228" s="251">
        <f t="shared" si="53"/>
        <v>5.7000000000000002E-3</v>
      </c>
      <c r="H228" s="251"/>
      <c r="I228" s="584">
        <f t="shared" si="54"/>
        <v>2</v>
      </c>
      <c r="J228" s="253"/>
      <c r="K228" s="239">
        <f t="shared" si="49"/>
        <v>0</v>
      </c>
      <c r="L228" s="239"/>
      <c r="M228" s="239"/>
      <c r="N228" s="239"/>
      <c r="O228" s="252">
        <f t="shared" si="50"/>
        <v>0</v>
      </c>
    </row>
    <row r="229" spans="1:15" ht="15.6">
      <c r="A229" s="250" t="s">
        <v>329</v>
      </c>
      <c r="B229" s="225"/>
      <c r="C229" s="225" t="str">
        <f t="shared" si="51"/>
        <v>Year 2018</v>
      </c>
      <c r="D229" s="225"/>
      <c r="E229" s="239">
        <f t="shared" si="52"/>
        <v>0</v>
      </c>
      <c r="F229" s="239"/>
      <c r="G229" s="251">
        <f t="shared" si="53"/>
        <v>5.7000000000000002E-3</v>
      </c>
      <c r="H229" s="251"/>
      <c r="I229" s="584">
        <f t="shared" si="54"/>
        <v>1</v>
      </c>
      <c r="J229" s="253"/>
      <c r="K229" s="238">
        <f t="shared" si="49"/>
        <v>0</v>
      </c>
      <c r="L229" s="239"/>
      <c r="M229" s="239"/>
      <c r="N229" s="239"/>
      <c r="O229" s="252">
        <f t="shared" si="50"/>
        <v>0</v>
      </c>
    </row>
    <row r="230" spans="1:15" ht="15.6">
      <c r="A230" s="250"/>
      <c r="B230" s="225"/>
      <c r="C230" s="225"/>
      <c r="D230" s="225"/>
      <c r="E230" s="239"/>
      <c r="F230" s="239"/>
      <c r="G230" s="251"/>
      <c r="H230" s="251"/>
      <c r="I230" s="253"/>
      <c r="J230" s="253"/>
      <c r="K230" s="239">
        <f>SUM(K218:K229)</f>
        <v>0</v>
      </c>
      <c r="L230" s="239"/>
      <c r="M230" s="239"/>
      <c r="N230" s="239"/>
      <c r="O230" s="254">
        <f>SUM(O218:O229)</f>
        <v>0</v>
      </c>
    </row>
    <row r="231" spans="1:15" ht="15.6">
      <c r="A231" s="250"/>
      <c r="B231" s="225"/>
      <c r="C231" s="225"/>
      <c r="D231" s="225"/>
      <c r="E231" s="239"/>
      <c r="F231" s="239"/>
      <c r="G231" s="251"/>
      <c r="H231" s="251"/>
      <c r="I231" s="253"/>
      <c r="J231" s="253"/>
      <c r="K231" s="239"/>
      <c r="L231" s="239"/>
      <c r="M231" s="239"/>
      <c r="N231" s="239"/>
      <c r="O231" s="254"/>
    </row>
    <row r="232" spans="1:15" ht="15.6">
      <c r="A232" s="250"/>
      <c r="B232" s="225"/>
      <c r="C232" s="225"/>
      <c r="D232" s="225"/>
      <c r="E232" s="239"/>
      <c r="F232" s="239"/>
      <c r="G232" s="251"/>
      <c r="H232" s="251"/>
      <c r="I232" s="253"/>
      <c r="J232" s="253"/>
      <c r="K232" s="255" t="s">
        <v>891</v>
      </c>
      <c r="L232" s="239"/>
      <c r="M232" s="239"/>
      <c r="N232" s="239"/>
      <c r="O232" s="254"/>
    </row>
    <row r="233" spans="1:15" ht="15.6">
      <c r="A233" s="250"/>
      <c r="B233" s="225"/>
      <c r="C233" s="225"/>
      <c r="D233" s="225"/>
      <c r="E233" s="239"/>
      <c r="F233" s="239"/>
      <c r="G233" s="251"/>
      <c r="H233" s="251"/>
      <c r="I233" s="253"/>
      <c r="J233" s="253"/>
      <c r="K233" s="255"/>
      <c r="L233" s="239"/>
      <c r="M233" s="239"/>
      <c r="N233" s="239"/>
      <c r="O233" s="254"/>
    </row>
    <row r="234" spans="1:15" ht="15.6">
      <c r="A234" s="250" t="s">
        <v>892</v>
      </c>
      <c r="B234" s="225"/>
      <c r="C234" s="225" t="s">
        <v>943</v>
      </c>
      <c r="D234" s="225"/>
      <c r="E234" s="227">
        <f>O230</f>
        <v>0</v>
      </c>
      <c r="F234" s="227"/>
      <c r="G234" s="251">
        <f>G229</f>
        <v>5.7000000000000002E-3</v>
      </c>
      <c r="H234" s="251"/>
      <c r="I234" s="583">
        <v>12</v>
      </c>
      <c r="J234" s="225"/>
      <c r="K234" s="239">
        <f>+I234*G234*E234</f>
        <v>0</v>
      </c>
      <c r="L234" s="239"/>
      <c r="M234" s="239"/>
      <c r="N234" s="239"/>
      <c r="O234" s="254">
        <f>+E234+K234</f>
        <v>0</v>
      </c>
    </row>
    <row r="235" spans="1:15" ht="15.6">
      <c r="A235" s="250"/>
      <c r="B235" s="225"/>
      <c r="C235" s="225"/>
      <c r="D235" s="225"/>
      <c r="E235" s="227"/>
      <c r="F235" s="227"/>
      <c r="G235" s="251"/>
      <c r="H235" s="251"/>
      <c r="I235" s="225"/>
      <c r="J235" s="225"/>
      <c r="K235" s="239"/>
      <c r="L235" s="239"/>
      <c r="M235" s="239"/>
      <c r="N235" s="239"/>
      <c r="O235" s="254"/>
    </row>
    <row r="236" spans="1:15" ht="15.6">
      <c r="A236" s="250"/>
      <c r="B236" s="225"/>
      <c r="C236" s="225"/>
      <c r="D236" s="225"/>
      <c r="E236" s="227"/>
      <c r="F236" s="227"/>
      <c r="G236" s="251"/>
      <c r="H236" s="251"/>
      <c r="I236" s="225"/>
      <c r="J236" s="225"/>
      <c r="K236" s="239"/>
      <c r="L236" s="239"/>
      <c r="M236" s="239"/>
      <c r="N236" s="239"/>
      <c r="O236" s="252"/>
    </row>
    <row r="237" spans="1:15" ht="15.6">
      <c r="A237" s="256" t="s">
        <v>894</v>
      </c>
      <c r="B237" s="257"/>
      <c r="C237" s="225"/>
      <c r="D237" s="225"/>
      <c r="E237" s="239"/>
      <c r="F237" s="239"/>
      <c r="G237" s="251"/>
      <c r="H237" s="251"/>
      <c r="I237" s="225"/>
      <c r="J237" s="225"/>
      <c r="K237" s="255" t="s">
        <v>889</v>
      </c>
      <c r="L237" s="255"/>
      <c r="M237" s="239"/>
      <c r="N237" s="239"/>
      <c r="O237" s="252"/>
    </row>
    <row r="238" spans="1:15" ht="15.6">
      <c r="A238" s="250" t="s">
        <v>331</v>
      </c>
      <c r="B238" s="225"/>
      <c r="C238" s="225" t="s">
        <v>944</v>
      </c>
      <c r="D238" s="225"/>
      <c r="E238" s="258">
        <f>-O234</f>
        <v>0</v>
      </c>
      <c r="F238" s="227"/>
      <c r="G238" s="251">
        <f>G234</f>
        <v>5.7000000000000002E-3</v>
      </c>
      <c r="H238" s="251"/>
      <c r="I238" s="225"/>
      <c r="J238" s="225"/>
      <c r="K238" s="239">
        <f t="shared" ref="K238:K249" si="55" xml:space="preserve"> -G238*E238</f>
        <v>0</v>
      </c>
      <c r="L238" s="239"/>
      <c r="M238" s="239">
        <f>-PMT(G238,12,O234)</f>
        <v>0</v>
      </c>
      <c r="N238" s="239"/>
      <c r="O238" s="252">
        <f t="shared" ref="O238:O249" si="56">(+E238+E238*G238+M238)*-1</f>
        <v>0</v>
      </c>
    </row>
    <row r="239" spans="1:15" ht="15.6">
      <c r="A239" s="250" t="s">
        <v>333</v>
      </c>
      <c r="B239" s="225"/>
      <c r="C239" s="225" t="str">
        <f>+C238</f>
        <v>Year 2020</v>
      </c>
      <c r="D239" s="225"/>
      <c r="E239" s="227">
        <f t="shared" ref="E239:E249" si="57">-O238</f>
        <v>0</v>
      </c>
      <c r="F239" s="227"/>
      <c r="G239" s="251">
        <f t="shared" ref="G239:G249" si="58">+G238</f>
        <v>5.7000000000000002E-3</v>
      </c>
      <c r="H239" s="251"/>
      <c r="I239" s="225"/>
      <c r="J239" s="225"/>
      <c r="K239" s="239">
        <f t="shared" si="55"/>
        <v>0</v>
      </c>
      <c r="L239" s="239"/>
      <c r="M239" s="239">
        <f t="shared" ref="M239:M249" si="59">M238</f>
        <v>0</v>
      </c>
      <c r="N239" s="239"/>
      <c r="O239" s="252">
        <f t="shared" si="56"/>
        <v>0</v>
      </c>
    </row>
    <row r="240" spans="1:15" ht="15.6">
      <c r="A240" s="250" t="s">
        <v>334</v>
      </c>
      <c r="B240" s="225"/>
      <c r="C240" s="225" t="str">
        <f>+C239</f>
        <v>Year 2020</v>
      </c>
      <c r="D240" s="225"/>
      <c r="E240" s="227">
        <f t="shared" si="57"/>
        <v>0</v>
      </c>
      <c r="F240" s="227"/>
      <c r="G240" s="251">
        <f t="shared" si="58"/>
        <v>5.7000000000000002E-3</v>
      </c>
      <c r="H240" s="251"/>
      <c r="I240" s="225"/>
      <c r="J240" s="225"/>
      <c r="K240" s="239">
        <f t="shared" si="55"/>
        <v>0</v>
      </c>
      <c r="L240" s="239"/>
      <c r="M240" s="239">
        <f t="shared" si="59"/>
        <v>0</v>
      </c>
      <c r="N240" s="239"/>
      <c r="O240" s="252">
        <f t="shared" si="56"/>
        <v>0</v>
      </c>
    </row>
    <row r="241" spans="1:15" ht="15.6">
      <c r="A241" s="250" t="s">
        <v>335</v>
      </c>
      <c r="B241" s="225"/>
      <c r="C241" s="225" t="str">
        <f>+C240</f>
        <v>Year 2020</v>
      </c>
      <c r="D241" s="225"/>
      <c r="E241" s="227">
        <f t="shared" si="57"/>
        <v>0</v>
      </c>
      <c r="F241" s="227"/>
      <c r="G241" s="251">
        <f t="shared" si="58"/>
        <v>5.7000000000000002E-3</v>
      </c>
      <c r="H241" s="251"/>
      <c r="I241" s="225"/>
      <c r="J241" s="225"/>
      <c r="K241" s="239">
        <f t="shared" si="55"/>
        <v>0</v>
      </c>
      <c r="L241" s="239"/>
      <c r="M241" s="239">
        <f t="shared" si="59"/>
        <v>0</v>
      </c>
      <c r="N241" s="239"/>
      <c r="O241" s="252">
        <f t="shared" si="56"/>
        <v>0</v>
      </c>
    </row>
    <row r="242" spans="1:15" ht="15.6">
      <c r="A242" s="250" t="s">
        <v>336</v>
      </c>
      <c r="B242" s="225"/>
      <c r="C242" s="225" t="str">
        <f>+C241</f>
        <v>Year 2020</v>
      </c>
      <c r="D242" s="225"/>
      <c r="E242" s="227">
        <f t="shared" si="57"/>
        <v>0</v>
      </c>
      <c r="F242" s="227"/>
      <c r="G242" s="251">
        <f t="shared" si="58"/>
        <v>5.7000000000000002E-3</v>
      </c>
      <c r="H242" s="251"/>
      <c r="I242" s="225"/>
      <c r="J242" s="225"/>
      <c r="K242" s="239">
        <f t="shared" si="55"/>
        <v>0</v>
      </c>
      <c r="L242" s="239"/>
      <c r="M242" s="239">
        <f t="shared" si="59"/>
        <v>0</v>
      </c>
      <c r="N242" s="239"/>
      <c r="O242" s="252">
        <f t="shared" si="56"/>
        <v>0</v>
      </c>
    </row>
    <row r="243" spans="1:15" ht="15.6">
      <c r="A243" s="250" t="s">
        <v>507</v>
      </c>
      <c r="B243" s="225"/>
      <c r="C243" s="225" t="str">
        <f>C242</f>
        <v>Year 2020</v>
      </c>
      <c r="D243" s="222"/>
      <c r="E243" s="227">
        <f t="shared" si="57"/>
        <v>0</v>
      </c>
      <c r="F243" s="227"/>
      <c r="G243" s="251">
        <f t="shared" si="58"/>
        <v>5.7000000000000002E-3</v>
      </c>
      <c r="H243" s="251"/>
      <c r="I243" s="225"/>
      <c r="J243" s="225"/>
      <c r="K243" s="239">
        <f t="shared" si="55"/>
        <v>0</v>
      </c>
      <c r="L243" s="239"/>
      <c r="M243" s="239">
        <f t="shared" si="59"/>
        <v>0</v>
      </c>
      <c r="N243" s="239"/>
      <c r="O243" s="252">
        <f t="shared" si="56"/>
        <v>0</v>
      </c>
    </row>
    <row r="244" spans="1:15" ht="15.6">
      <c r="A244" s="250" t="s">
        <v>338</v>
      </c>
      <c r="B244" s="225"/>
      <c r="C244" s="225" t="str">
        <f t="shared" ref="C244:C249" si="60">+C243</f>
        <v>Year 2020</v>
      </c>
      <c r="D244" s="225"/>
      <c r="E244" s="227">
        <f t="shared" si="57"/>
        <v>0</v>
      </c>
      <c r="F244" s="227"/>
      <c r="G244" s="251">
        <f t="shared" si="58"/>
        <v>5.7000000000000002E-3</v>
      </c>
      <c r="H244" s="251"/>
      <c r="I244" s="225"/>
      <c r="J244" s="225"/>
      <c r="K244" s="239">
        <f t="shared" si="55"/>
        <v>0</v>
      </c>
      <c r="L244" s="239"/>
      <c r="M244" s="239">
        <f t="shared" si="59"/>
        <v>0</v>
      </c>
      <c r="N244" s="239"/>
      <c r="O244" s="252">
        <f t="shared" si="56"/>
        <v>0</v>
      </c>
    </row>
    <row r="245" spans="1:15" ht="15.6">
      <c r="A245" s="250" t="s">
        <v>339</v>
      </c>
      <c r="B245" s="225"/>
      <c r="C245" s="225" t="str">
        <f t="shared" si="60"/>
        <v>Year 2020</v>
      </c>
      <c r="D245" s="225"/>
      <c r="E245" s="227">
        <f t="shared" si="57"/>
        <v>0</v>
      </c>
      <c r="F245" s="227"/>
      <c r="G245" s="251">
        <f t="shared" si="58"/>
        <v>5.7000000000000002E-3</v>
      </c>
      <c r="H245" s="251"/>
      <c r="I245" s="225"/>
      <c r="J245" s="225"/>
      <c r="K245" s="239">
        <f t="shared" si="55"/>
        <v>0</v>
      </c>
      <c r="L245" s="239"/>
      <c r="M245" s="239">
        <f t="shared" si="59"/>
        <v>0</v>
      </c>
      <c r="N245" s="239"/>
      <c r="O245" s="252">
        <f t="shared" si="56"/>
        <v>0</v>
      </c>
    </row>
    <row r="246" spans="1:15" ht="15.6">
      <c r="A246" s="250" t="s">
        <v>340</v>
      </c>
      <c r="B246" s="225"/>
      <c r="C246" s="225" t="str">
        <f t="shared" si="60"/>
        <v>Year 2020</v>
      </c>
      <c r="D246" s="225"/>
      <c r="E246" s="227">
        <f t="shared" si="57"/>
        <v>0</v>
      </c>
      <c r="F246" s="227"/>
      <c r="G246" s="251">
        <f t="shared" si="58"/>
        <v>5.7000000000000002E-3</v>
      </c>
      <c r="H246" s="251"/>
      <c r="I246" s="225"/>
      <c r="J246" s="225"/>
      <c r="K246" s="239">
        <f t="shared" si="55"/>
        <v>0</v>
      </c>
      <c r="L246" s="239"/>
      <c r="M246" s="239">
        <f t="shared" si="59"/>
        <v>0</v>
      </c>
      <c r="N246" s="239"/>
      <c r="O246" s="252">
        <f t="shared" si="56"/>
        <v>0</v>
      </c>
    </row>
    <row r="247" spans="1:15" ht="15.6">
      <c r="A247" s="250" t="s">
        <v>347</v>
      </c>
      <c r="B247" s="225"/>
      <c r="C247" s="225" t="str">
        <f t="shared" si="60"/>
        <v>Year 2020</v>
      </c>
      <c r="D247" s="225"/>
      <c r="E247" s="227">
        <f t="shared" si="57"/>
        <v>0</v>
      </c>
      <c r="F247" s="227"/>
      <c r="G247" s="251">
        <f t="shared" si="58"/>
        <v>5.7000000000000002E-3</v>
      </c>
      <c r="H247" s="251"/>
      <c r="I247" s="225"/>
      <c r="J247" s="225"/>
      <c r="K247" s="239">
        <f t="shared" si="55"/>
        <v>0</v>
      </c>
      <c r="L247" s="239"/>
      <c r="M247" s="239">
        <f t="shared" si="59"/>
        <v>0</v>
      </c>
      <c r="N247" s="239"/>
      <c r="O247" s="252">
        <f t="shared" si="56"/>
        <v>0</v>
      </c>
    </row>
    <row r="248" spans="1:15" ht="15.6">
      <c r="A248" s="250" t="s">
        <v>342</v>
      </c>
      <c r="B248" s="225"/>
      <c r="C248" s="225" t="str">
        <f t="shared" si="60"/>
        <v>Year 2020</v>
      </c>
      <c r="D248" s="225"/>
      <c r="E248" s="227">
        <f t="shared" si="57"/>
        <v>0</v>
      </c>
      <c r="F248" s="227"/>
      <c r="G248" s="251">
        <f t="shared" si="58"/>
        <v>5.7000000000000002E-3</v>
      </c>
      <c r="H248" s="251"/>
      <c r="I248" s="225"/>
      <c r="J248" s="225"/>
      <c r="K248" s="239">
        <f t="shared" si="55"/>
        <v>0</v>
      </c>
      <c r="L248" s="239"/>
      <c r="M248" s="239">
        <f t="shared" si="59"/>
        <v>0</v>
      </c>
      <c r="N248" s="239"/>
      <c r="O248" s="252">
        <f t="shared" si="56"/>
        <v>0</v>
      </c>
    </row>
    <row r="249" spans="1:15" ht="15.6">
      <c r="A249" s="250" t="s">
        <v>329</v>
      </c>
      <c r="B249" s="225"/>
      <c r="C249" s="225" t="str">
        <f t="shared" si="60"/>
        <v>Year 2020</v>
      </c>
      <c r="D249" s="225"/>
      <c r="E249" s="227">
        <f t="shared" si="57"/>
        <v>0</v>
      </c>
      <c r="F249" s="227"/>
      <c r="G249" s="251">
        <f t="shared" si="58"/>
        <v>5.7000000000000002E-3</v>
      </c>
      <c r="H249" s="251"/>
      <c r="I249" s="225"/>
      <c r="J249" s="225"/>
      <c r="K249" s="238">
        <f t="shared" si="55"/>
        <v>0</v>
      </c>
      <c r="L249" s="239"/>
      <c r="M249" s="239">
        <f t="shared" si="59"/>
        <v>0</v>
      </c>
      <c r="N249" s="239"/>
      <c r="O249" s="252">
        <f t="shared" si="56"/>
        <v>0</v>
      </c>
    </row>
    <row r="250" spans="1:15" ht="15.6">
      <c r="A250" s="250"/>
      <c r="B250" s="225"/>
      <c r="C250" s="225"/>
      <c r="D250" s="225"/>
      <c r="E250" s="227"/>
      <c r="F250" s="227"/>
      <c r="G250" s="251"/>
      <c r="H250" s="251"/>
      <c r="I250" s="225"/>
      <c r="J250" s="225"/>
      <c r="K250" s="239">
        <f>SUM(K238:K249)</f>
        <v>0</v>
      </c>
      <c r="L250" s="239"/>
      <c r="M250" s="239"/>
      <c r="N250" s="239"/>
      <c r="O250" s="252"/>
    </row>
    <row r="251" spans="1:15">
      <c r="A251" s="259"/>
      <c r="B251" s="220"/>
      <c r="C251" s="220"/>
      <c r="D251" s="220"/>
      <c r="E251" s="220"/>
      <c r="F251" s="220"/>
      <c r="G251" s="220"/>
      <c r="H251" s="220"/>
      <c r="I251" s="220"/>
      <c r="J251" s="220"/>
      <c r="K251" s="220"/>
      <c r="L251" s="220"/>
      <c r="M251" s="220"/>
      <c r="N251" s="220"/>
      <c r="O251" s="260"/>
    </row>
    <row r="252" spans="1:15" ht="15.6">
      <c r="A252" s="250" t="s">
        <v>958</v>
      </c>
      <c r="B252" s="225"/>
      <c r="C252" s="220"/>
      <c r="D252" s="220"/>
      <c r="E252" s="220"/>
      <c r="F252" s="220"/>
      <c r="G252" s="220"/>
      <c r="H252" s="220"/>
      <c r="I252" s="220"/>
      <c r="J252" s="220"/>
      <c r="K252" s="220"/>
      <c r="L252" s="220"/>
      <c r="M252" s="261">
        <f>SUM(M238:M249)</f>
        <v>0</v>
      </c>
      <c r="N252" s="220"/>
      <c r="O252" s="260"/>
    </row>
    <row r="253" spans="1:15" ht="15.6">
      <c r="A253" s="250" t="s">
        <v>897</v>
      </c>
      <c r="B253" s="225"/>
      <c r="C253" s="220"/>
      <c r="D253" s="220"/>
      <c r="E253" s="220"/>
      <c r="F253" s="220"/>
      <c r="G253" s="220"/>
      <c r="H253" s="220"/>
      <c r="I253" s="220"/>
      <c r="J253" s="220"/>
      <c r="K253" s="220"/>
      <c r="L253" s="220"/>
      <c r="M253" s="261">
        <f>K14</f>
        <v>0</v>
      </c>
      <c r="N253" s="220"/>
      <c r="O253" s="260"/>
    </row>
    <row r="254" spans="1:15" ht="15.6">
      <c r="A254" s="262" t="s">
        <v>898</v>
      </c>
      <c r="B254" s="263"/>
      <c r="C254" s="264"/>
      <c r="D254" s="264"/>
      <c r="E254" s="264"/>
      <c r="F254" s="264"/>
      <c r="G254" s="264"/>
      <c r="H254" s="264"/>
      <c r="I254" s="264"/>
      <c r="J254" s="264"/>
      <c r="K254" s="264"/>
      <c r="L254" s="264"/>
      <c r="M254" s="265">
        <f>(M252+M253)</f>
        <v>0</v>
      </c>
      <c r="N254" s="264"/>
      <c r="O254" s="266"/>
    </row>
    <row r="256" spans="1:15" ht="15.6">
      <c r="A256" s="225" t="s">
        <v>959</v>
      </c>
    </row>
    <row r="257" spans="1:1" ht="15.6">
      <c r="A257" s="253" t="s">
        <v>960</v>
      </c>
    </row>
    <row r="258" spans="1:1" ht="15.6">
      <c r="A258" s="272" t="s">
        <v>961</v>
      </c>
    </row>
  </sheetData>
  <mergeCells count="12">
    <mergeCell ref="A7:O7"/>
    <mergeCell ref="A25:O25"/>
    <mergeCell ref="G8:K8"/>
    <mergeCell ref="A2:M2"/>
    <mergeCell ref="A4:M4"/>
    <mergeCell ref="A3:M3"/>
    <mergeCell ref="A170:M170"/>
    <mergeCell ref="A75:M75"/>
    <mergeCell ref="A76:M76"/>
    <mergeCell ref="A77:M77"/>
    <mergeCell ref="A168:M168"/>
    <mergeCell ref="A169:M169"/>
  </mergeCells>
  <phoneticPr fontId="61" type="noConversion"/>
  <pageMargins left="0.75" right="0.75" top="1" bottom="1" header="0.5" footer="0.5"/>
  <pageSetup scale="41" orientation="portrait" r:id="rId1"/>
  <headerFooter alignWithMargins="0"/>
  <rowBreaks count="2" manualBreakCount="2">
    <brk id="73" max="16383" man="1"/>
    <brk id="166"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R110"/>
  <sheetViews>
    <sheetView view="pageBreakPreview" zoomScale="60" zoomScaleNormal="100" workbookViewId="0"/>
  </sheetViews>
  <sheetFormatPr defaultRowHeight="15"/>
  <cols>
    <col min="1" max="1" width="7.54296875" customWidth="1"/>
    <col min="2" max="2" width="23.1796875" customWidth="1"/>
    <col min="3" max="3" width="50.81640625" customWidth="1"/>
    <col min="4" max="4" width="14.81640625" customWidth="1"/>
    <col min="8" max="8" width="23" style="88" customWidth="1"/>
    <col min="9" max="9" width="25.6328125" style="88" customWidth="1"/>
    <col min="10" max="10" width="13.81640625" style="88" customWidth="1"/>
  </cols>
  <sheetData>
    <row r="1" spans="1:18" ht="15.6">
      <c r="H1" s="469"/>
      <c r="I1" s="8"/>
      <c r="J1" s="470"/>
    </row>
    <row r="2" spans="1:18" ht="15.6">
      <c r="H2" s="469"/>
      <c r="I2" s="473"/>
      <c r="J2" s="471"/>
    </row>
    <row r="3" spans="1:18">
      <c r="H3" s="472"/>
      <c r="I3" s="473"/>
      <c r="J3" s="471"/>
    </row>
    <row r="4" spans="1:18">
      <c r="H4" s="472"/>
      <c r="I4" s="473"/>
      <c r="J4" s="471"/>
    </row>
    <row r="5" spans="1:18" ht="17.399999999999999">
      <c r="A5" s="1384" t="s">
        <v>962</v>
      </c>
      <c r="B5" s="1384"/>
      <c r="C5" s="1384"/>
      <c r="D5" s="1384"/>
      <c r="E5" s="1384"/>
      <c r="H5" s="472"/>
      <c r="I5" s="473"/>
      <c r="J5" s="471"/>
    </row>
    <row r="6" spans="1:18" ht="15.6">
      <c r="A6" s="1376" t="str">
        <f>'7 - True-Up'!$A$3</f>
        <v>New York Transco LLC</v>
      </c>
      <c r="B6" s="1376"/>
      <c r="C6" s="1376"/>
      <c r="D6" s="1376"/>
      <c r="E6" s="1376"/>
      <c r="F6" s="373"/>
      <c r="G6" s="373"/>
      <c r="H6" s="472"/>
      <c r="I6" s="473"/>
      <c r="J6" s="471"/>
      <c r="K6" s="373"/>
      <c r="L6" s="373"/>
      <c r="M6" s="373"/>
      <c r="N6" s="373"/>
      <c r="O6" s="373"/>
    </row>
    <row r="7" spans="1:18">
      <c r="A7" s="135"/>
      <c r="B7" s="135"/>
      <c r="C7" s="135"/>
      <c r="D7" s="135"/>
      <c r="E7" s="135"/>
      <c r="H7" s="472"/>
      <c r="I7" s="473"/>
      <c r="J7" s="471"/>
    </row>
    <row r="8" spans="1:18">
      <c r="A8" s="135"/>
      <c r="B8" s="135"/>
      <c r="C8" s="372"/>
      <c r="D8" s="135"/>
      <c r="E8" s="135"/>
      <c r="H8" s="472"/>
      <c r="I8" s="473"/>
      <c r="J8" s="471"/>
    </row>
    <row r="9" spans="1:18" ht="30">
      <c r="A9" s="500"/>
      <c r="B9" s="372" t="s">
        <v>963</v>
      </c>
      <c r="C9" s="367" t="s">
        <v>964</v>
      </c>
      <c r="D9" s="470" t="s">
        <v>965</v>
      </c>
      <c r="E9" s="135"/>
      <c r="H9" s="472"/>
      <c r="I9" s="473"/>
      <c r="J9" s="471"/>
    </row>
    <row r="10" spans="1:18">
      <c r="A10" s="135"/>
      <c r="E10" s="135"/>
      <c r="H10" s="472"/>
      <c r="I10" s="473"/>
      <c r="J10" s="471"/>
    </row>
    <row r="11" spans="1:18" ht="15.6">
      <c r="A11" s="88"/>
      <c r="B11" s="469" t="s">
        <v>966</v>
      </c>
      <c r="E11" s="135"/>
      <c r="H11" s="677"/>
      <c r="I11"/>
      <c r="J11"/>
      <c r="K11" s="667"/>
      <c r="L11" s="667"/>
      <c r="M11" s="667"/>
      <c r="N11" s="667"/>
      <c r="O11" s="667"/>
      <c r="P11" s="667"/>
    </row>
    <row r="12" spans="1:18">
      <c r="A12" s="88"/>
      <c r="B12" s="367"/>
      <c r="C12" s="367"/>
      <c r="D12" s="367"/>
      <c r="E12" s="135"/>
      <c r="H12" s="677"/>
      <c r="M12" s="668"/>
      <c r="N12" s="668"/>
      <c r="O12" s="668"/>
      <c r="P12" s="668"/>
      <c r="Q12" s="668"/>
      <c r="R12" s="667"/>
    </row>
    <row r="13" spans="1:18">
      <c r="A13" s="88">
        <v>1</v>
      </c>
      <c r="B13" s="501">
        <v>350.1</v>
      </c>
      <c r="C13" s="501" t="s">
        <v>967</v>
      </c>
      <c r="D13" s="669">
        <v>1.02</v>
      </c>
      <c r="E13" s="135"/>
      <c r="H13" s="677"/>
      <c r="M13" s="668"/>
      <c r="N13" s="668"/>
      <c r="O13" s="668"/>
      <c r="P13" s="668"/>
      <c r="Q13" s="668"/>
      <c r="R13" s="667"/>
    </row>
    <row r="14" spans="1:18">
      <c r="A14" s="88"/>
      <c r="B14" s="367"/>
      <c r="C14" s="367"/>
      <c r="D14" s="367"/>
      <c r="E14" s="135"/>
      <c r="H14" s="677"/>
      <c r="M14" s="668"/>
      <c r="N14" s="668"/>
      <c r="O14" s="668"/>
      <c r="P14" s="668"/>
      <c r="Q14" s="668"/>
      <c r="R14" s="667"/>
    </row>
    <row r="15" spans="1:18">
      <c r="A15" s="88">
        <f>+A13+1</f>
        <v>2</v>
      </c>
      <c r="B15" s="501">
        <v>352</v>
      </c>
      <c r="C15" t="s">
        <v>968</v>
      </c>
      <c r="D15" s="669">
        <v>2.0512944654794749</v>
      </c>
      <c r="E15" s="135"/>
      <c r="H15" s="677"/>
      <c r="M15" s="668"/>
      <c r="N15" s="668"/>
      <c r="O15" s="668"/>
      <c r="P15" s="668"/>
      <c r="Q15" s="668"/>
      <c r="R15" s="667"/>
    </row>
    <row r="16" spans="1:18">
      <c r="D16" s="594"/>
      <c r="E16" s="135"/>
      <c r="H16" s="677"/>
      <c r="I16"/>
      <c r="J16"/>
      <c r="M16" s="667"/>
      <c r="N16" s="667"/>
      <c r="O16" s="667"/>
      <c r="P16" s="667"/>
      <c r="Q16" s="667"/>
      <c r="R16" s="667"/>
    </row>
    <row r="17" spans="1:18">
      <c r="A17" s="88">
        <f>+A15+1</f>
        <v>3</v>
      </c>
      <c r="B17" s="501">
        <v>353</v>
      </c>
      <c r="C17" t="s">
        <v>969</v>
      </c>
      <c r="D17" s="669">
        <v>2.2589741689325979</v>
      </c>
      <c r="E17" s="135"/>
      <c r="H17" s="677"/>
      <c r="I17"/>
      <c r="J17"/>
      <c r="M17" s="667"/>
      <c r="N17" s="667"/>
      <c r="O17" s="667"/>
      <c r="P17" s="667"/>
      <c r="Q17" s="667"/>
      <c r="R17" s="667"/>
    </row>
    <row r="18" spans="1:18" ht="15.6">
      <c r="D18" s="594"/>
      <c r="E18" s="135"/>
      <c r="H18" s="677"/>
      <c r="I18"/>
      <c r="J18"/>
      <c r="M18" s="667"/>
      <c r="N18" s="670"/>
      <c r="O18" s="667"/>
      <c r="P18" s="667"/>
      <c r="Q18" s="668"/>
      <c r="R18" s="667"/>
    </row>
    <row r="19" spans="1:18">
      <c r="A19" s="88">
        <f>+A17+1</f>
        <v>4</v>
      </c>
      <c r="B19" s="501">
        <v>354</v>
      </c>
      <c r="C19" t="s">
        <v>970</v>
      </c>
      <c r="D19" s="669">
        <v>2.0390574135752702</v>
      </c>
      <c r="E19" s="135"/>
      <c r="H19" s="677"/>
      <c r="I19"/>
      <c r="J19"/>
      <c r="M19" s="667"/>
      <c r="N19" s="667"/>
      <c r="O19" s="667"/>
      <c r="P19" s="667"/>
      <c r="Q19" s="668"/>
    </row>
    <row r="20" spans="1:18">
      <c r="D20" s="594"/>
      <c r="E20" s="135"/>
      <c r="H20" s="677"/>
      <c r="I20"/>
      <c r="J20"/>
      <c r="M20" s="667"/>
      <c r="N20" s="667"/>
      <c r="O20" s="667"/>
      <c r="P20" s="667"/>
      <c r="Q20" s="668"/>
    </row>
    <row r="21" spans="1:18" ht="15.6">
      <c r="A21" s="88">
        <f>+A19+1</f>
        <v>5</v>
      </c>
      <c r="B21" s="501">
        <v>355</v>
      </c>
      <c r="C21" t="s">
        <v>971</v>
      </c>
      <c r="D21" s="669">
        <v>2.2370223329824479</v>
      </c>
      <c r="E21" s="135"/>
      <c r="H21" s="677"/>
      <c r="I21"/>
      <c r="J21"/>
      <c r="M21" s="667"/>
      <c r="N21" s="670"/>
      <c r="O21" s="667"/>
      <c r="P21" s="667"/>
      <c r="Q21" s="668"/>
    </row>
    <row r="22" spans="1:18" ht="15.6">
      <c r="D22" s="594"/>
      <c r="E22" s="135"/>
      <c r="H22" s="677"/>
      <c r="I22" s="671"/>
      <c r="J22"/>
      <c r="M22" s="667"/>
      <c r="N22" s="670"/>
      <c r="O22" s="667"/>
      <c r="P22" s="667"/>
      <c r="Q22" s="668"/>
    </row>
    <row r="23" spans="1:18" ht="15.6">
      <c r="A23" s="88">
        <f>+A21+1</f>
        <v>6</v>
      </c>
      <c r="B23" s="501">
        <v>356</v>
      </c>
      <c r="C23" t="s">
        <v>972</v>
      </c>
      <c r="D23" s="669">
        <v>2.2217023138321017</v>
      </c>
      <c r="E23" s="135"/>
      <c r="H23" s="677"/>
      <c r="I23"/>
      <c r="J23"/>
      <c r="M23" s="667"/>
      <c r="N23" s="670"/>
      <c r="O23" s="667"/>
      <c r="P23" s="667"/>
      <c r="Q23" s="668"/>
    </row>
    <row r="24" spans="1:18">
      <c r="D24" s="594"/>
      <c r="E24" s="135"/>
      <c r="H24" s="677"/>
      <c r="J24"/>
      <c r="M24" s="667"/>
      <c r="N24" s="667"/>
      <c r="O24" s="667"/>
      <c r="P24" s="667"/>
      <c r="Q24" s="668"/>
    </row>
    <row r="25" spans="1:18">
      <c r="A25" s="88">
        <f>+A23+1</f>
        <v>7</v>
      </c>
      <c r="B25" s="501">
        <v>357</v>
      </c>
      <c r="C25" t="s">
        <v>973</v>
      </c>
      <c r="D25" s="669">
        <v>2.0505266218685785</v>
      </c>
      <c r="E25" s="135"/>
      <c r="H25" s="677"/>
      <c r="I25"/>
      <c r="J25"/>
      <c r="K25" s="669"/>
      <c r="M25" s="667"/>
      <c r="N25" s="667"/>
      <c r="O25" s="667"/>
      <c r="P25" s="667"/>
      <c r="Q25" s="668"/>
    </row>
    <row r="26" spans="1:18">
      <c r="D26" s="594"/>
      <c r="E26" s="135"/>
      <c r="H26" s="677"/>
      <c r="I26"/>
      <c r="J26"/>
      <c r="K26" s="669"/>
      <c r="M26" s="667"/>
      <c r="N26" s="667"/>
      <c r="O26" s="667"/>
      <c r="P26" s="667"/>
      <c r="Q26" s="668"/>
    </row>
    <row r="27" spans="1:18">
      <c r="A27" s="88">
        <f>+A25+1</f>
        <v>8</v>
      </c>
      <c r="B27" s="501">
        <v>358</v>
      </c>
      <c r="C27" t="s">
        <v>974</v>
      </c>
      <c r="D27" s="669">
        <v>2.3897472790969565</v>
      </c>
      <c r="E27" s="135"/>
      <c r="H27" s="677"/>
      <c r="I27"/>
      <c r="J27"/>
      <c r="M27" s="667"/>
      <c r="N27" s="667"/>
      <c r="O27" s="667"/>
      <c r="P27" s="667"/>
      <c r="Q27" s="668"/>
    </row>
    <row r="28" spans="1:18">
      <c r="A28" s="88"/>
      <c r="B28" s="88"/>
      <c r="C28" s="502"/>
      <c r="D28" s="595"/>
      <c r="E28" s="135"/>
      <c r="H28" s="677"/>
      <c r="I28"/>
      <c r="J28"/>
      <c r="M28" s="667"/>
      <c r="N28" s="667"/>
      <c r="O28" s="667"/>
      <c r="P28" s="667"/>
      <c r="Q28" s="668"/>
    </row>
    <row r="29" spans="1:18">
      <c r="A29" s="88">
        <f>+A27+1</f>
        <v>9</v>
      </c>
      <c r="B29" s="501">
        <v>359</v>
      </c>
      <c r="C29" t="s">
        <v>975</v>
      </c>
      <c r="D29" s="669">
        <v>1.167467491982435</v>
      </c>
      <c r="E29" s="135"/>
      <c r="H29" s="677"/>
      <c r="I29"/>
      <c r="J29"/>
      <c r="K29" s="669"/>
      <c r="M29" s="667"/>
      <c r="N29" s="667"/>
      <c r="O29" s="667"/>
      <c r="P29" s="667"/>
      <c r="Q29" s="668"/>
    </row>
    <row r="30" spans="1:18">
      <c r="A30" s="88"/>
      <c r="B30" s="88"/>
      <c r="C30" s="502"/>
      <c r="D30" s="595"/>
      <c r="E30" s="135"/>
      <c r="H30" s="677"/>
      <c r="I30"/>
      <c r="J30"/>
      <c r="K30" s="669"/>
      <c r="M30" s="667"/>
      <c r="N30" s="667"/>
      <c r="O30" s="667"/>
      <c r="P30" s="667"/>
      <c r="Q30" s="668"/>
    </row>
    <row r="31" spans="1:18" ht="15.6">
      <c r="A31" s="88">
        <f>+A29+1</f>
        <v>10</v>
      </c>
      <c r="B31" s="1057" t="s">
        <v>976</v>
      </c>
      <c r="C31" s="502" t="s">
        <v>977</v>
      </c>
      <c r="D31" s="1056">
        <v>0</v>
      </c>
      <c r="E31" s="135"/>
      <c r="H31" s="677"/>
      <c r="I31"/>
      <c r="J31"/>
      <c r="K31" s="669"/>
      <c r="M31" s="667"/>
      <c r="N31" s="667"/>
      <c r="O31" s="667"/>
      <c r="P31" s="667"/>
      <c r="Q31" s="668"/>
    </row>
    <row r="32" spans="1:18" ht="15.6">
      <c r="A32" s="88"/>
      <c r="B32" s="1057"/>
      <c r="C32" s="502"/>
      <c r="D32" s="1056"/>
      <c r="E32" s="135"/>
      <c r="H32" s="677"/>
      <c r="I32"/>
      <c r="J32"/>
      <c r="K32" s="669"/>
      <c r="M32" s="667"/>
      <c r="N32" s="667"/>
      <c r="O32" s="667"/>
      <c r="P32" s="667"/>
      <c r="Q32" s="668"/>
    </row>
    <row r="33" spans="1:18" ht="15.6">
      <c r="A33" s="88">
        <f>+A31+1</f>
        <v>11</v>
      </c>
      <c r="B33" s="1057" t="s">
        <v>978</v>
      </c>
      <c r="C33" s="8" t="s">
        <v>977</v>
      </c>
      <c r="D33" s="1056">
        <v>0</v>
      </c>
      <c r="E33" s="135"/>
      <c r="H33" s="677"/>
      <c r="I33"/>
      <c r="J33"/>
      <c r="K33" s="669"/>
      <c r="M33" s="667"/>
      <c r="N33" s="667"/>
      <c r="O33" s="667"/>
      <c r="P33" s="667"/>
      <c r="Q33" s="668"/>
    </row>
    <row r="34" spans="1:18">
      <c r="A34" s="88"/>
      <c r="B34" s="88"/>
      <c r="C34" s="502"/>
      <c r="D34" s="595"/>
      <c r="E34" s="135"/>
      <c r="H34" s="677"/>
      <c r="I34"/>
      <c r="J34"/>
      <c r="K34" s="669"/>
      <c r="M34" s="667"/>
      <c r="N34" s="667"/>
      <c r="O34" s="667"/>
      <c r="P34" s="667"/>
      <c r="Q34" s="668"/>
    </row>
    <row r="35" spans="1:18" ht="15.6">
      <c r="A35" s="88"/>
      <c r="B35" s="469" t="s">
        <v>979</v>
      </c>
      <c r="D35" s="470"/>
      <c r="E35" s="135"/>
      <c r="M35" s="667"/>
      <c r="N35" s="667"/>
      <c r="O35" s="667"/>
      <c r="P35" s="667"/>
      <c r="Q35" s="668"/>
    </row>
    <row r="36" spans="1:18" ht="15.6">
      <c r="A36" s="88"/>
      <c r="B36" s="469"/>
      <c r="C36" s="473"/>
      <c r="D36" s="596"/>
      <c r="E36" s="135"/>
      <c r="M36" s="667"/>
      <c r="N36" s="670"/>
      <c r="O36" s="667"/>
      <c r="P36" s="667"/>
      <c r="Q36" s="668"/>
    </row>
    <row r="37" spans="1:18">
      <c r="A37" s="88">
        <v>12</v>
      </c>
      <c r="B37" s="472">
        <v>390</v>
      </c>
      <c r="C37" s="473" t="s">
        <v>980</v>
      </c>
      <c r="D37" s="669">
        <v>3.3616666666666668</v>
      </c>
      <c r="E37" s="135"/>
      <c r="H37" s="677"/>
      <c r="I37"/>
      <c r="J37"/>
      <c r="M37" s="667"/>
      <c r="N37" s="667"/>
      <c r="O37" s="667"/>
      <c r="P37" s="667"/>
      <c r="Q37" s="668"/>
    </row>
    <row r="38" spans="1:18">
      <c r="A38" s="88"/>
      <c r="B38" s="472"/>
      <c r="C38" s="473"/>
      <c r="D38" s="596"/>
      <c r="E38" s="135"/>
      <c r="H38" s="677"/>
      <c r="I38"/>
      <c r="J38"/>
      <c r="M38" s="667"/>
      <c r="N38" s="667"/>
      <c r="O38" s="667"/>
      <c r="P38" s="667"/>
      <c r="Q38" s="668"/>
    </row>
    <row r="39" spans="1:18">
      <c r="A39" s="88">
        <f>+A37+1</f>
        <v>13</v>
      </c>
      <c r="B39" s="472">
        <v>391</v>
      </c>
      <c r="C39" s="473" t="s">
        <v>981</v>
      </c>
      <c r="D39" s="669">
        <v>5.242</v>
      </c>
      <c r="E39" s="135"/>
      <c r="H39" s="677"/>
      <c r="I39"/>
      <c r="J39"/>
      <c r="M39" s="667"/>
      <c r="N39" s="667"/>
      <c r="O39" s="667"/>
      <c r="P39" s="667"/>
      <c r="Q39" s="668"/>
    </row>
    <row r="40" spans="1:18">
      <c r="A40" s="88"/>
      <c r="B40" s="472"/>
      <c r="C40" s="473"/>
      <c r="D40" s="596"/>
      <c r="E40" s="135"/>
      <c r="M40" s="667"/>
      <c r="N40" s="667"/>
      <c r="O40" s="667"/>
      <c r="P40" s="667"/>
      <c r="Q40" s="668"/>
    </row>
    <row r="41" spans="1:18" ht="15.6">
      <c r="A41" s="88">
        <f>+A39+1</f>
        <v>14</v>
      </c>
      <c r="B41" s="472">
        <v>392</v>
      </c>
      <c r="C41" s="473" t="s">
        <v>982</v>
      </c>
      <c r="D41" s="669">
        <v>9.7800000000000011</v>
      </c>
      <c r="E41" s="135"/>
      <c r="M41" s="667"/>
      <c r="N41" s="670"/>
      <c r="O41" s="667"/>
      <c r="P41" s="667"/>
      <c r="Q41" s="668"/>
    </row>
    <row r="42" spans="1:18" ht="15.6">
      <c r="A42" s="88"/>
      <c r="B42" s="472"/>
      <c r="C42" s="473"/>
      <c r="D42" s="596"/>
      <c r="E42" s="135"/>
      <c r="H42" s="677"/>
      <c r="I42"/>
      <c r="J42"/>
      <c r="M42" s="667"/>
      <c r="N42" s="670"/>
      <c r="O42" s="667"/>
      <c r="P42" s="667"/>
      <c r="Q42" s="667"/>
    </row>
    <row r="43" spans="1:18">
      <c r="A43" s="88">
        <f>+A41+1</f>
        <v>15</v>
      </c>
      <c r="B43" s="472">
        <v>393</v>
      </c>
      <c r="C43" s="473" t="s">
        <v>983</v>
      </c>
      <c r="D43" s="669">
        <v>3.9125000000000005</v>
      </c>
      <c r="E43" s="135"/>
      <c r="H43" s="677"/>
      <c r="I43"/>
      <c r="J43"/>
      <c r="M43" s="667"/>
      <c r="N43" s="667"/>
      <c r="O43" s="667"/>
      <c r="P43" s="667"/>
      <c r="Q43" s="667"/>
    </row>
    <row r="44" spans="1:18">
      <c r="A44" s="88"/>
      <c r="B44" s="472"/>
      <c r="C44" s="88"/>
      <c r="D44" s="596"/>
      <c r="E44" s="135"/>
      <c r="H44" s="677"/>
      <c r="I44"/>
      <c r="J44"/>
      <c r="M44" s="672"/>
      <c r="N44" s="667"/>
      <c r="O44" s="667"/>
      <c r="P44" s="667"/>
      <c r="Q44" s="668"/>
      <c r="R44" s="667"/>
    </row>
    <row r="45" spans="1:18">
      <c r="A45" s="88">
        <f>+A43+1</f>
        <v>16</v>
      </c>
      <c r="B45" s="472">
        <v>394</v>
      </c>
      <c r="C45" s="473" t="s">
        <v>984</v>
      </c>
      <c r="D45" s="669">
        <v>4.6760000000000002</v>
      </c>
      <c r="E45" s="135"/>
      <c r="H45" s="677"/>
      <c r="I45"/>
      <c r="J45"/>
      <c r="K45" t="s">
        <v>28</v>
      </c>
      <c r="M45" s="673"/>
      <c r="N45" s="667"/>
      <c r="O45" s="667"/>
      <c r="P45" s="667"/>
      <c r="Q45" s="668"/>
      <c r="R45" s="667"/>
    </row>
    <row r="46" spans="1:18">
      <c r="A46" s="88"/>
      <c r="B46" s="472"/>
      <c r="C46" s="473"/>
      <c r="D46" s="596"/>
      <c r="E46" s="135"/>
      <c r="H46" s="677"/>
      <c r="I46"/>
      <c r="J46"/>
      <c r="K46" s="669"/>
      <c r="M46" s="674"/>
      <c r="N46" s="667"/>
      <c r="O46" s="667"/>
      <c r="P46" s="668"/>
      <c r="Q46" s="668"/>
      <c r="R46" s="667"/>
    </row>
    <row r="47" spans="1:18">
      <c r="A47" s="88">
        <f>+A45+1</f>
        <v>17</v>
      </c>
      <c r="B47" s="472">
        <v>395</v>
      </c>
      <c r="C47" s="473" t="s">
        <v>985</v>
      </c>
      <c r="D47" s="669">
        <v>3.746</v>
      </c>
      <c r="E47" s="135"/>
      <c r="H47" s="677"/>
      <c r="I47"/>
      <c r="J47"/>
      <c r="K47" s="669"/>
      <c r="M47" s="674"/>
      <c r="N47" s="667"/>
      <c r="O47" s="667"/>
      <c r="P47" s="668"/>
      <c r="Q47" s="668"/>
      <c r="R47" s="667"/>
    </row>
    <row r="48" spans="1:18">
      <c r="A48" s="88"/>
      <c r="B48" s="472"/>
      <c r="C48" s="473"/>
      <c r="D48" s="596"/>
      <c r="E48" s="135"/>
      <c r="H48" s="677"/>
      <c r="I48"/>
      <c r="J48"/>
      <c r="K48" s="669"/>
      <c r="M48" s="674"/>
      <c r="N48" s="667"/>
      <c r="O48" s="667"/>
      <c r="P48" s="668"/>
      <c r="Q48" s="668"/>
      <c r="R48" s="667"/>
    </row>
    <row r="49" spans="1:18">
      <c r="A49" s="88">
        <f>+A47+1</f>
        <v>18</v>
      </c>
      <c r="B49" s="472">
        <v>396</v>
      </c>
      <c r="C49" s="473" t="s">
        <v>986</v>
      </c>
      <c r="D49" s="669">
        <v>7.62</v>
      </c>
      <c r="E49" s="135"/>
      <c r="H49" s="677"/>
      <c r="I49"/>
      <c r="J49"/>
      <c r="M49" s="672"/>
      <c r="N49" s="667"/>
      <c r="O49" s="667"/>
      <c r="P49" s="668"/>
      <c r="Q49" s="668"/>
      <c r="R49" s="667"/>
    </row>
    <row r="50" spans="1:18">
      <c r="A50" s="88"/>
      <c r="B50" s="472"/>
      <c r="C50" s="473"/>
      <c r="D50" s="596"/>
      <c r="E50" s="135"/>
      <c r="H50" s="677"/>
      <c r="I50"/>
      <c r="J50"/>
      <c r="M50" s="672"/>
      <c r="N50" s="667"/>
      <c r="O50" s="667"/>
      <c r="P50" s="668"/>
      <c r="Q50" s="668"/>
      <c r="R50" s="667"/>
    </row>
    <row r="51" spans="1:18">
      <c r="A51" s="88">
        <f>+A49+1</f>
        <v>19</v>
      </c>
      <c r="B51" s="472">
        <v>397</v>
      </c>
      <c r="C51" s="473" t="s">
        <v>987</v>
      </c>
      <c r="D51" s="669">
        <v>3.8200000000000003</v>
      </c>
      <c r="E51" s="135"/>
      <c r="H51" s="677"/>
      <c r="I51"/>
      <c r="J51"/>
      <c r="M51" s="672"/>
      <c r="N51" s="667"/>
      <c r="O51" s="667"/>
      <c r="P51" s="668"/>
      <c r="Q51" s="668"/>
      <c r="R51" s="667"/>
    </row>
    <row r="52" spans="1:18">
      <c r="A52" s="88"/>
      <c r="B52" s="472"/>
      <c r="C52" s="473"/>
      <c r="E52" s="135"/>
      <c r="H52" s="677"/>
      <c r="I52"/>
      <c r="J52"/>
      <c r="M52" s="672"/>
      <c r="N52" s="667"/>
      <c r="O52" s="667"/>
      <c r="P52" s="668"/>
      <c r="Q52" s="668"/>
      <c r="R52" s="667"/>
    </row>
    <row r="53" spans="1:18">
      <c r="A53" s="88">
        <f>+A51+1</f>
        <v>20</v>
      </c>
      <c r="B53" s="472">
        <v>398</v>
      </c>
      <c r="C53" s="473" t="s">
        <v>988</v>
      </c>
      <c r="D53" s="669">
        <v>4.548</v>
      </c>
      <c r="H53" s="677"/>
      <c r="I53"/>
      <c r="J53"/>
      <c r="M53" s="672"/>
      <c r="N53" s="667"/>
      <c r="O53" s="667"/>
      <c r="P53" s="668"/>
      <c r="Q53" s="668"/>
      <c r="R53" s="667"/>
    </row>
    <row r="54" spans="1:18" ht="15.6">
      <c r="A54" s="88"/>
      <c r="H54" s="677"/>
      <c r="I54"/>
      <c r="J54"/>
      <c r="M54" s="672"/>
      <c r="N54" s="667"/>
      <c r="O54" s="670"/>
      <c r="P54" s="668"/>
      <c r="Q54" s="676"/>
      <c r="R54" s="670"/>
    </row>
    <row r="55" spans="1:18" ht="15.6">
      <c r="A55" s="88"/>
      <c r="B55" s="469" t="s">
        <v>989</v>
      </c>
      <c r="C55" s="473"/>
      <c r="D55" s="470"/>
      <c r="H55" s="677"/>
      <c r="I55"/>
      <c r="J55"/>
      <c r="M55" s="672"/>
      <c r="N55" s="667"/>
      <c r="O55" s="675"/>
      <c r="P55" s="668"/>
      <c r="Q55" s="676"/>
      <c r="R55" s="670"/>
    </row>
    <row r="56" spans="1:18" ht="15.6">
      <c r="A56" s="88"/>
      <c r="B56" s="472"/>
      <c r="C56" s="473"/>
      <c r="D56" s="596"/>
      <c r="H56" s="677"/>
      <c r="I56" s="671"/>
      <c r="J56"/>
      <c r="K56" s="671"/>
      <c r="M56" s="672"/>
      <c r="N56" s="667"/>
      <c r="O56" s="670"/>
      <c r="P56" s="676"/>
      <c r="Q56" s="676"/>
      <c r="R56" s="670"/>
    </row>
    <row r="57" spans="1:18" ht="15.6">
      <c r="A57" s="88">
        <f>+A53+1</f>
        <v>21</v>
      </c>
      <c r="B57" s="472">
        <v>303</v>
      </c>
      <c r="C57" s="473" t="s">
        <v>990</v>
      </c>
      <c r="D57" s="596"/>
      <c r="H57" s="677"/>
      <c r="I57" s="671"/>
      <c r="J57"/>
      <c r="K57" s="671"/>
      <c r="M57" s="672"/>
      <c r="N57" s="667"/>
      <c r="O57" s="670"/>
      <c r="P57" s="676"/>
      <c r="Q57" s="676"/>
      <c r="R57" s="670"/>
    </row>
    <row r="58" spans="1:18" ht="15.6">
      <c r="A58" s="88"/>
      <c r="C58" t="s">
        <v>991</v>
      </c>
      <c r="D58" s="669">
        <v>20</v>
      </c>
      <c r="F58" s="722"/>
      <c r="H58" s="677"/>
      <c r="I58" s="671"/>
      <c r="J58"/>
      <c r="K58" s="671"/>
      <c r="M58" s="672"/>
      <c r="N58" s="667"/>
      <c r="O58" s="670"/>
      <c r="P58" s="676"/>
      <c r="Q58" s="676"/>
      <c r="R58" s="670"/>
    </row>
    <row r="59" spans="1:18" ht="15.6">
      <c r="A59" s="88"/>
      <c r="C59" t="s">
        <v>992</v>
      </c>
      <c r="D59" s="669">
        <v>14.285714285714286</v>
      </c>
      <c r="H59" s="677"/>
      <c r="I59" s="671"/>
      <c r="J59"/>
      <c r="K59" s="671"/>
      <c r="M59" s="672"/>
      <c r="N59" s="667"/>
      <c r="O59" s="670"/>
      <c r="P59" s="676"/>
      <c r="Q59" s="676"/>
      <c r="R59" s="670"/>
    </row>
    <row r="60" spans="1:18" ht="15.6">
      <c r="A60" s="88"/>
      <c r="C60" t="s">
        <v>993</v>
      </c>
      <c r="D60" s="669">
        <v>10</v>
      </c>
      <c r="H60" s="677"/>
      <c r="I60" s="671"/>
      <c r="J60"/>
      <c r="K60" s="671"/>
      <c r="M60" s="672"/>
      <c r="N60" s="667"/>
      <c r="O60" s="670"/>
      <c r="P60" s="676"/>
      <c r="Q60" s="676"/>
      <c r="R60" s="670"/>
    </row>
    <row r="61" spans="1:18" ht="15.6">
      <c r="A61" s="88"/>
      <c r="C61" t="s">
        <v>994</v>
      </c>
      <c r="D61" s="669">
        <v>6.67</v>
      </c>
      <c r="H61" s="677"/>
      <c r="I61" s="671"/>
      <c r="J61"/>
      <c r="K61" s="671"/>
      <c r="M61" s="672"/>
      <c r="N61" s="667"/>
      <c r="O61" s="670"/>
      <c r="P61" s="676"/>
      <c r="Q61" s="676"/>
      <c r="R61" s="670"/>
    </row>
    <row r="62" spans="1:18" ht="15.6">
      <c r="C62" t="s">
        <v>995</v>
      </c>
      <c r="D62" s="605" t="s">
        <v>284</v>
      </c>
      <c r="H62" s="677"/>
      <c r="I62" s="671"/>
      <c r="J62"/>
      <c r="K62" s="671"/>
      <c r="M62" s="672"/>
      <c r="N62" s="667"/>
      <c r="O62" s="670"/>
      <c r="P62" s="676"/>
      <c r="Q62" s="676"/>
      <c r="R62" s="670"/>
    </row>
    <row r="63" spans="1:18" ht="15.6">
      <c r="H63" s="677"/>
      <c r="I63" s="671"/>
      <c r="J63"/>
      <c r="K63" s="671"/>
      <c r="M63" s="672"/>
      <c r="N63" s="667"/>
      <c r="O63" s="670"/>
      <c r="P63" s="676"/>
      <c r="Q63" s="676"/>
      <c r="R63" s="670"/>
    </row>
    <row r="64" spans="1:18" ht="15.6">
      <c r="A64" s="88" t="s">
        <v>996</v>
      </c>
      <c r="H64" s="677"/>
      <c r="I64" s="671"/>
      <c r="J64"/>
      <c r="K64" s="671"/>
      <c r="M64" s="672"/>
      <c r="N64" s="667"/>
      <c r="O64" s="673"/>
      <c r="P64" s="676"/>
      <c r="Q64" s="676"/>
      <c r="R64" s="670"/>
    </row>
    <row r="65" spans="1:18" ht="15.6">
      <c r="H65" s="677"/>
      <c r="I65" s="671"/>
      <c r="J65"/>
      <c r="K65" s="671"/>
      <c r="M65" s="672"/>
      <c r="N65" s="667"/>
      <c r="O65" s="673"/>
      <c r="P65" s="676"/>
      <c r="Q65" s="676"/>
      <c r="R65" s="670"/>
    </row>
    <row r="66" spans="1:18" ht="15.6">
      <c r="A66" t="s">
        <v>997</v>
      </c>
      <c r="H66" s="677"/>
      <c r="I66"/>
      <c r="J66"/>
      <c r="M66" s="672"/>
      <c r="N66" s="667"/>
      <c r="O66" s="670"/>
      <c r="P66" s="668"/>
      <c r="Q66" s="676"/>
      <c r="R66" s="670"/>
    </row>
    <row r="67" spans="1:18" ht="15.6">
      <c r="A67" t="s">
        <v>998</v>
      </c>
      <c r="H67"/>
      <c r="I67"/>
      <c r="J67"/>
      <c r="M67" s="667"/>
      <c r="N67" s="667"/>
      <c r="O67" s="670"/>
      <c r="P67" s="670"/>
      <c r="Q67" s="670"/>
      <c r="R67" s="670"/>
    </row>
    <row r="68" spans="1:18">
      <c r="A68" t="s">
        <v>999</v>
      </c>
      <c r="H68"/>
      <c r="I68"/>
      <c r="J68"/>
      <c r="M68" s="667"/>
      <c r="N68" s="667"/>
      <c r="O68" s="667"/>
      <c r="P68" s="667"/>
    </row>
    <row r="69" spans="1:18">
      <c r="A69" t="s">
        <v>1000</v>
      </c>
      <c r="H69"/>
      <c r="I69"/>
      <c r="J69"/>
      <c r="M69" s="677"/>
      <c r="N69" s="679"/>
      <c r="O69" s="679"/>
      <c r="P69" s="667"/>
      <c r="Q69" s="680"/>
    </row>
    <row r="70" spans="1:18" ht="15.6">
      <c r="H70"/>
      <c r="I70"/>
      <c r="J70"/>
      <c r="K70" s="677"/>
      <c r="L70" s="678"/>
      <c r="M70" s="677"/>
      <c r="N70" s="679"/>
      <c r="O70" s="679"/>
      <c r="P70" s="681"/>
      <c r="Q70" s="680"/>
    </row>
    <row r="71" spans="1:18" ht="15.6">
      <c r="H71"/>
      <c r="I71"/>
      <c r="J71"/>
      <c r="K71" s="682"/>
      <c r="L71" s="682"/>
      <c r="M71" s="682"/>
      <c r="N71" s="682"/>
      <c r="O71" s="682"/>
      <c r="P71" s="681"/>
      <c r="Q71" s="680"/>
    </row>
    <row r="72" spans="1:18">
      <c r="J72" s="474"/>
    </row>
    <row r="73" spans="1:18">
      <c r="J73" s="474"/>
    </row>
    <row r="74" spans="1:18">
      <c r="J74" s="474"/>
    </row>
    <row r="75" spans="1:18">
      <c r="J75" s="474"/>
    </row>
    <row r="76" spans="1:18">
      <c r="J76" s="474"/>
    </row>
    <row r="77" spans="1:18">
      <c r="J77" s="474"/>
    </row>
    <row r="78" spans="1:18">
      <c r="J78" s="474"/>
    </row>
    <row r="79" spans="1:18">
      <c r="J79" s="474"/>
    </row>
    <row r="80" spans="1:18">
      <c r="J80" s="474"/>
    </row>
    <row r="81" spans="10:10">
      <c r="J81" s="474"/>
    </row>
    <row r="82" spans="10:10">
      <c r="J82" s="474"/>
    </row>
    <row r="83" spans="10:10">
      <c r="J83" s="474"/>
    </row>
    <row r="84" spans="10:10">
      <c r="J84" s="474"/>
    </row>
    <row r="85" spans="10:10">
      <c r="J85" s="474"/>
    </row>
    <row r="86" spans="10:10">
      <c r="J86" s="474"/>
    </row>
    <row r="87" spans="10:10">
      <c r="J87" s="474"/>
    </row>
    <row r="88" spans="10:10">
      <c r="J88" s="474"/>
    </row>
    <row r="89" spans="10:10">
      <c r="J89" s="474"/>
    </row>
    <row r="90" spans="10:10">
      <c r="J90" s="474"/>
    </row>
    <row r="91" spans="10:10">
      <c r="J91" s="474"/>
    </row>
    <row r="92" spans="10:10">
      <c r="J92" s="474"/>
    </row>
    <row r="93" spans="10:10">
      <c r="J93" s="474"/>
    </row>
    <row r="94" spans="10:10">
      <c r="J94" s="474"/>
    </row>
    <row r="95" spans="10:10">
      <c r="J95" s="474"/>
    </row>
    <row r="96" spans="10:10">
      <c r="J96" s="474"/>
    </row>
    <row r="97" spans="10:10">
      <c r="J97" s="474"/>
    </row>
    <row r="98" spans="10:10">
      <c r="J98" s="474"/>
    </row>
    <row r="99" spans="10:10">
      <c r="J99" s="474"/>
    </row>
    <row r="100" spans="10:10">
      <c r="J100" s="474"/>
    </row>
    <row r="101" spans="10:10">
      <c r="J101" s="474"/>
    </row>
    <row r="102" spans="10:10">
      <c r="J102" s="474"/>
    </row>
    <row r="103" spans="10:10">
      <c r="J103" s="474"/>
    </row>
    <row r="104" spans="10:10">
      <c r="J104" s="474"/>
    </row>
    <row r="105" spans="10:10">
      <c r="J105" s="474"/>
    </row>
    <row r="106" spans="10:10">
      <c r="J106" s="474"/>
    </row>
    <row r="107" spans="10:10">
      <c r="J107" s="474"/>
    </row>
    <row r="108" spans="10:10">
      <c r="J108" s="474"/>
    </row>
    <row r="109" spans="10:10">
      <c r="J109" s="474"/>
    </row>
    <row r="110" spans="10:10">
      <c r="J110" s="474"/>
    </row>
  </sheetData>
  <mergeCells count="2">
    <mergeCell ref="A5:E5"/>
    <mergeCell ref="A6:E6"/>
  </mergeCells>
  <phoneticPr fontId="61" type="noConversion"/>
  <pageMargins left="0.7" right="0.7" top="0.75" bottom="0.75" header="0.3" footer="0.3"/>
  <pageSetup scale="64" orientation="portrait" r:id="rId1"/>
  <rowBreaks count="1" manualBreakCount="1">
    <brk id="69"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D180"/>
  <sheetViews>
    <sheetView view="pageBreakPreview" zoomScale="80" zoomScaleNormal="100" zoomScaleSheetLayoutView="80" workbookViewId="0"/>
  </sheetViews>
  <sheetFormatPr defaultRowHeight="15"/>
  <cols>
    <col min="1" max="1" width="3.81640625" customWidth="1"/>
    <col min="2" max="2" width="9.81640625" customWidth="1"/>
    <col min="3" max="3" width="8.81640625" customWidth="1"/>
    <col min="4" max="4" width="10.81640625" customWidth="1"/>
    <col min="5" max="5" width="10.54296875" customWidth="1"/>
    <col min="6" max="9" width="8.81640625" customWidth="1"/>
    <col min="10" max="10" width="10.1796875" customWidth="1"/>
    <col min="11" max="11" width="10.453125" customWidth="1"/>
    <col min="12" max="12" width="9.81640625" customWidth="1"/>
    <col min="13" max="19" width="8.81640625" customWidth="1"/>
    <col min="20" max="20" width="9.81640625" customWidth="1"/>
    <col min="21" max="22" width="8.81640625" customWidth="1"/>
    <col min="23" max="23" width="10.54296875" customWidth="1"/>
    <col min="24" max="24" width="11.1796875" customWidth="1"/>
    <col min="25" max="25" width="10.81640625" customWidth="1"/>
    <col min="26" max="30" width="8.81640625" customWidth="1"/>
  </cols>
  <sheetData>
    <row r="1" spans="1:30" ht="15.6">
      <c r="A1" s="758"/>
      <c r="B1" s="758"/>
      <c r="C1" s="758"/>
      <c r="D1" s="758"/>
      <c r="E1" s="758"/>
      <c r="F1" s="758"/>
      <c r="G1" s="758"/>
      <c r="H1" s="758"/>
      <c r="I1" s="758"/>
      <c r="J1" s="758"/>
      <c r="K1" s="758"/>
      <c r="L1" s="758"/>
      <c r="M1" s="758"/>
      <c r="N1" s="758"/>
      <c r="O1" s="758"/>
      <c r="P1" s="758"/>
      <c r="Q1" s="758"/>
      <c r="R1" s="758"/>
      <c r="S1" s="758"/>
      <c r="T1" s="758"/>
      <c r="U1" s="758"/>
      <c r="V1" s="758"/>
      <c r="W1" s="758"/>
      <c r="X1" s="758"/>
      <c r="Y1" s="758"/>
      <c r="Z1" s="758"/>
      <c r="AA1" s="758"/>
      <c r="AB1" s="758"/>
      <c r="AC1" s="758"/>
      <c r="AD1" s="758"/>
    </row>
    <row r="2" spans="1:30" ht="15.6">
      <c r="A2" s="1393" t="s">
        <v>1001</v>
      </c>
      <c r="B2" s="1393"/>
      <c r="C2" s="1393"/>
      <c r="D2" s="1393"/>
      <c r="E2" s="1393"/>
      <c r="F2" s="1393"/>
      <c r="G2" s="1393"/>
      <c r="H2" s="1393"/>
      <c r="I2" s="1393"/>
      <c r="J2" s="1393"/>
      <c r="K2" s="1393"/>
      <c r="L2" s="1393"/>
      <c r="M2" s="1393"/>
      <c r="N2" s="1393"/>
      <c r="O2" s="1393"/>
      <c r="P2" s="1393"/>
      <c r="Q2" s="1393"/>
      <c r="R2" s="1393"/>
      <c r="S2" s="1393"/>
      <c r="T2" s="1393"/>
      <c r="U2" s="1393"/>
      <c r="V2" s="1393"/>
      <c r="W2" s="1393"/>
      <c r="X2" s="1393"/>
      <c r="Y2" s="1393"/>
      <c r="Z2" s="1393"/>
      <c r="AA2" s="1393"/>
      <c r="AB2" s="1393"/>
      <c r="AC2" s="758"/>
      <c r="AD2" s="758"/>
    </row>
    <row r="3" spans="1:30" ht="15.6">
      <c r="A3" s="1408" t="str">
        <f>+'1 - Revenue Credits'!A2:D2</f>
        <v>New York Transco LLC</v>
      </c>
      <c r="B3" s="1408"/>
      <c r="C3" s="1408"/>
      <c r="D3" s="1408"/>
      <c r="E3" s="1408"/>
      <c r="F3" s="1408"/>
      <c r="G3" s="1408"/>
      <c r="H3" s="1408"/>
      <c r="I3" s="1408"/>
      <c r="J3" s="1408"/>
      <c r="K3" s="1408"/>
      <c r="L3" s="1408"/>
      <c r="M3" s="1408"/>
      <c r="N3" s="1408"/>
      <c r="O3" s="1408"/>
      <c r="P3" s="1408"/>
      <c r="Q3" s="1408"/>
      <c r="R3" s="1408"/>
      <c r="S3" s="1408"/>
      <c r="T3" s="1408"/>
      <c r="U3" s="1408"/>
      <c r="V3" s="1408"/>
      <c r="W3" s="1408"/>
      <c r="X3" s="1408"/>
      <c r="Y3" s="1408"/>
      <c r="Z3" s="1408"/>
      <c r="AA3" s="1408"/>
      <c r="AB3" s="1408"/>
      <c r="AC3" s="758"/>
      <c r="AD3" s="758"/>
    </row>
    <row r="4" spans="1:30" ht="15.6">
      <c r="A4" s="759"/>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8"/>
      <c r="AD4" s="758"/>
    </row>
    <row r="5" spans="1:30" ht="15.6">
      <c r="A5" s="758"/>
      <c r="B5" s="759"/>
      <c r="C5" s="759"/>
      <c r="D5" s="759"/>
      <c r="E5" s="759"/>
      <c r="F5" s="759"/>
      <c r="G5" s="759"/>
      <c r="H5" s="759"/>
      <c r="I5" s="759"/>
      <c r="J5" s="759"/>
      <c r="K5" s="759"/>
      <c r="L5" s="759"/>
      <c r="M5" s="759"/>
      <c r="N5" s="759"/>
      <c r="O5" s="759"/>
      <c r="P5" s="759"/>
      <c r="Q5" s="759"/>
      <c r="R5" s="759"/>
      <c r="S5" s="759"/>
      <c r="T5" s="759"/>
      <c r="U5" s="759"/>
      <c r="V5" s="759"/>
      <c r="W5" s="759"/>
      <c r="X5" s="759"/>
      <c r="Y5" s="759"/>
      <c r="Z5" s="759"/>
      <c r="AA5" s="759"/>
      <c r="AB5" s="759"/>
      <c r="AC5" s="758"/>
      <c r="AD5" s="758"/>
    </row>
    <row r="6" spans="1:30" ht="15.6">
      <c r="A6" s="760" t="s">
        <v>1002</v>
      </c>
      <c r="B6" s="759"/>
      <c r="C6" s="759"/>
      <c r="D6" s="759"/>
      <c r="E6" s="759"/>
      <c r="F6" s="759"/>
      <c r="G6" s="759"/>
      <c r="H6" s="759"/>
      <c r="I6" s="759"/>
      <c r="J6" s="759"/>
      <c r="K6" s="759"/>
      <c r="L6" s="759"/>
      <c r="M6" s="759"/>
      <c r="N6" s="759"/>
      <c r="O6" s="759"/>
      <c r="P6" s="759"/>
      <c r="Q6" s="759"/>
      <c r="R6" s="759"/>
      <c r="S6" s="759"/>
      <c r="T6" s="759"/>
      <c r="U6" s="759"/>
      <c r="V6" s="759"/>
      <c r="W6" s="759"/>
      <c r="X6" s="759"/>
      <c r="Y6" s="759"/>
      <c r="Z6" s="759"/>
      <c r="AA6" s="759"/>
      <c r="AB6" s="759"/>
      <c r="AC6" s="758"/>
      <c r="AD6" s="758"/>
    </row>
    <row r="7" spans="1:30" ht="15.6">
      <c r="A7" s="759"/>
      <c r="B7" s="761" t="s">
        <v>191</v>
      </c>
      <c r="C7" s="761" t="s">
        <v>192</v>
      </c>
      <c r="D7" s="762" t="s">
        <v>193</v>
      </c>
      <c r="E7" s="761" t="s">
        <v>421</v>
      </c>
      <c r="F7" s="762" t="s">
        <v>422</v>
      </c>
      <c r="G7" s="761" t="s">
        <v>423</v>
      </c>
      <c r="H7" s="762" t="s">
        <v>424</v>
      </c>
      <c r="I7" s="761" t="s">
        <v>425</v>
      </c>
      <c r="J7" s="762" t="s">
        <v>624</v>
      </c>
      <c r="K7" s="761" t="s">
        <v>625</v>
      </c>
      <c r="L7" s="762" t="s">
        <v>626</v>
      </c>
      <c r="M7" s="761" t="s">
        <v>627</v>
      </c>
      <c r="N7" s="762" t="s">
        <v>628</v>
      </c>
      <c r="O7" s="761" t="s">
        <v>629</v>
      </c>
      <c r="P7" s="762" t="s">
        <v>630</v>
      </c>
      <c r="Q7" s="761" t="s">
        <v>631</v>
      </c>
      <c r="R7" s="761" t="s">
        <v>632</v>
      </c>
      <c r="S7" s="762" t="s">
        <v>1003</v>
      </c>
      <c r="T7" s="762" t="s">
        <v>1004</v>
      </c>
      <c r="U7" s="762" t="s">
        <v>1005</v>
      </c>
      <c r="V7" s="762" t="s">
        <v>1006</v>
      </c>
      <c r="W7" s="762" t="s">
        <v>1007</v>
      </c>
      <c r="X7" s="762" t="s">
        <v>1008</v>
      </c>
      <c r="Y7" s="762" t="s">
        <v>1009</v>
      </c>
      <c r="Z7" s="762" t="s">
        <v>1010</v>
      </c>
      <c r="AA7" s="762" t="s">
        <v>1011</v>
      </c>
      <c r="AB7" s="762" t="s">
        <v>1012</v>
      </c>
      <c r="AC7" s="758"/>
      <c r="AD7" s="758"/>
    </row>
    <row r="8" spans="1:30" ht="15.6">
      <c r="A8" s="759"/>
      <c r="B8" s="758"/>
      <c r="C8" s="758"/>
      <c r="D8" s="758"/>
      <c r="E8" s="758"/>
      <c r="F8" s="758"/>
      <c r="G8" s="758"/>
      <c r="H8" s="758"/>
      <c r="I8" s="758"/>
      <c r="J8" s="782" t="s">
        <v>1013</v>
      </c>
      <c r="K8" s="783" t="s">
        <v>1014</v>
      </c>
      <c r="L8" s="783" t="s">
        <v>1015</v>
      </c>
      <c r="M8" s="783" t="s">
        <v>1016</v>
      </c>
      <c r="N8" s="783" t="s">
        <v>1017</v>
      </c>
      <c r="O8" s="783" t="s">
        <v>1018</v>
      </c>
      <c r="P8" s="783" t="s">
        <v>1019</v>
      </c>
      <c r="Q8" s="783" t="s">
        <v>1020</v>
      </c>
      <c r="R8" s="783" t="s">
        <v>1021</v>
      </c>
      <c r="S8" s="783" t="s">
        <v>1022</v>
      </c>
      <c r="T8" s="783" t="s">
        <v>1023</v>
      </c>
      <c r="U8" s="783" t="s">
        <v>1024</v>
      </c>
      <c r="V8" s="783" t="s">
        <v>1013</v>
      </c>
      <c r="W8" s="758"/>
      <c r="X8" s="758"/>
      <c r="Y8" s="758"/>
      <c r="Z8" s="758"/>
      <c r="AA8" s="758"/>
      <c r="AB8" s="758"/>
      <c r="AC8" s="758"/>
      <c r="AD8" s="758"/>
    </row>
    <row r="9" spans="1:30" ht="73.5" customHeight="1">
      <c r="A9" s="763" t="s">
        <v>38</v>
      </c>
      <c r="B9" s="956" t="s">
        <v>1025</v>
      </c>
      <c r="C9" s="957" t="s">
        <v>1026</v>
      </c>
      <c r="D9" s="957" t="s">
        <v>1027</v>
      </c>
      <c r="E9" s="957" t="s">
        <v>1028</v>
      </c>
      <c r="F9" s="957" t="s">
        <v>1029</v>
      </c>
      <c r="G9" s="954" t="s">
        <v>1030</v>
      </c>
      <c r="H9" s="954" t="s">
        <v>1031</v>
      </c>
      <c r="I9" s="954" t="s">
        <v>1032</v>
      </c>
      <c r="J9" s="995" t="s">
        <v>1033</v>
      </c>
      <c r="K9" s="996" t="s">
        <v>1034</v>
      </c>
      <c r="L9" s="996" t="s">
        <v>1034</v>
      </c>
      <c r="M9" s="996" t="s">
        <v>1034</v>
      </c>
      <c r="N9" s="996" t="s">
        <v>1034</v>
      </c>
      <c r="O9" s="996" t="s">
        <v>1034</v>
      </c>
      <c r="P9" s="996" t="s">
        <v>1034</v>
      </c>
      <c r="Q9" s="996" t="s">
        <v>1034</v>
      </c>
      <c r="R9" s="996" t="s">
        <v>1034</v>
      </c>
      <c r="S9" s="996" t="s">
        <v>1034</v>
      </c>
      <c r="T9" s="996" t="s">
        <v>1034</v>
      </c>
      <c r="U9" s="996" t="s">
        <v>1034</v>
      </c>
      <c r="V9" s="996" t="s">
        <v>1034</v>
      </c>
      <c r="W9" s="954" t="s">
        <v>1035</v>
      </c>
      <c r="X9" s="954" t="s">
        <v>1036</v>
      </c>
      <c r="Y9" s="954" t="s">
        <v>1037</v>
      </c>
      <c r="Z9" s="954" t="s">
        <v>1038</v>
      </c>
      <c r="AA9" s="954" t="s">
        <v>1039</v>
      </c>
      <c r="AB9" s="955" t="s">
        <v>1040</v>
      </c>
      <c r="AC9" s="758"/>
      <c r="AD9" s="758"/>
    </row>
    <row r="10" spans="1:30" ht="15.6">
      <c r="A10" s="764" t="s">
        <v>296</v>
      </c>
      <c r="B10" s="765"/>
      <c r="C10" s="1074"/>
      <c r="D10" s="766"/>
      <c r="E10" s="988">
        <f>IF(D10=0,0,C10/D10)</f>
        <v>0</v>
      </c>
      <c r="F10" s="766"/>
      <c r="G10" s="988">
        <f>+E10*F10</f>
        <v>0</v>
      </c>
      <c r="H10" s="766"/>
      <c r="I10" s="988">
        <f>+G10*H10</f>
        <v>0</v>
      </c>
      <c r="J10" s="1074"/>
      <c r="K10" s="1074"/>
      <c r="L10" s="1074"/>
      <c r="M10" s="1074"/>
      <c r="N10" s="1074"/>
      <c r="O10" s="1074"/>
      <c r="P10" s="1074"/>
      <c r="Q10" s="1074"/>
      <c r="R10" s="1074"/>
      <c r="S10" s="1074"/>
      <c r="T10" s="1074"/>
      <c r="U10" s="1074"/>
      <c r="V10" s="1074"/>
      <c r="W10" s="991">
        <f>SUM(J10:V10)/13</f>
        <v>0</v>
      </c>
      <c r="X10" s="768"/>
      <c r="Y10" s="991">
        <f>+H10</f>
        <v>0</v>
      </c>
      <c r="Z10" s="993">
        <f>+W10*X10*Y10</f>
        <v>0</v>
      </c>
      <c r="AA10" s="766"/>
      <c r="AB10" s="769"/>
      <c r="AC10" s="758"/>
      <c r="AD10" s="758"/>
    </row>
    <row r="11" spans="1:30" ht="15.6">
      <c r="A11" s="764" t="s">
        <v>1041</v>
      </c>
      <c r="B11" s="770"/>
      <c r="C11" s="771"/>
      <c r="D11" s="771"/>
      <c r="E11" s="989">
        <f t="shared" ref="E11:E20" si="0">IF(D11=0,0,C11/D11)</f>
        <v>0</v>
      </c>
      <c r="F11" s="771"/>
      <c r="G11" s="989">
        <f t="shared" ref="G11:G20" si="1">+E11*F11</f>
        <v>0</v>
      </c>
      <c r="H11" s="771"/>
      <c r="I11" s="989">
        <f t="shared" ref="I11:I20" si="2">+G11*H11</f>
        <v>0</v>
      </c>
      <c r="J11" s="771"/>
      <c r="K11" s="771"/>
      <c r="L11" s="771"/>
      <c r="M11" s="771"/>
      <c r="N11" s="771"/>
      <c r="O11" s="771"/>
      <c r="P11" s="771"/>
      <c r="Q11" s="771"/>
      <c r="R11" s="771"/>
      <c r="S11" s="771"/>
      <c r="T11" s="771"/>
      <c r="U11" s="771"/>
      <c r="V11" s="771"/>
      <c r="W11" s="992">
        <f t="shared" ref="W11:W20" si="3">SUM(J11:V11)/13</f>
        <v>0</v>
      </c>
      <c r="X11" s="772"/>
      <c r="Y11" s="992">
        <f t="shared" ref="Y11:Y20" si="4">+H11</f>
        <v>0</v>
      </c>
      <c r="Z11" s="994">
        <f t="shared" ref="Z11:Z20" si="5">+W11+X11+Y11</f>
        <v>0</v>
      </c>
      <c r="AA11" s="771"/>
      <c r="AB11" s="773"/>
      <c r="AC11" s="758"/>
      <c r="AD11" s="758"/>
    </row>
    <row r="12" spans="1:30" ht="15.6">
      <c r="A12" s="764" t="s">
        <v>1042</v>
      </c>
      <c r="B12" s="770"/>
      <c r="C12" s="771"/>
      <c r="D12" s="771"/>
      <c r="E12" s="989">
        <f t="shared" si="0"/>
        <v>0</v>
      </c>
      <c r="F12" s="771"/>
      <c r="G12" s="989">
        <f t="shared" si="1"/>
        <v>0</v>
      </c>
      <c r="H12" s="771"/>
      <c r="I12" s="989">
        <f t="shared" si="2"/>
        <v>0</v>
      </c>
      <c r="J12" s="771"/>
      <c r="K12" s="771"/>
      <c r="L12" s="771"/>
      <c r="M12" s="771"/>
      <c r="N12" s="771"/>
      <c r="O12" s="771"/>
      <c r="P12" s="771"/>
      <c r="Q12" s="771"/>
      <c r="R12" s="771"/>
      <c r="S12" s="771"/>
      <c r="T12" s="771"/>
      <c r="U12" s="771"/>
      <c r="V12" s="771"/>
      <c r="W12" s="992">
        <f t="shared" si="3"/>
        <v>0</v>
      </c>
      <c r="X12" s="772"/>
      <c r="Y12" s="992">
        <f t="shared" si="4"/>
        <v>0</v>
      </c>
      <c r="Z12" s="994">
        <f t="shared" si="5"/>
        <v>0</v>
      </c>
      <c r="AA12" s="771"/>
      <c r="AB12" s="773"/>
      <c r="AC12" s="758"/>
      <c r="AD12" s="758"/>
    </row>
    <row r="13" spans="1:30" ht="15.6">
      <c r="A13" s="764" t="s">
        <v>298</v>
      </c>
      <c r="B13" s="770"/>
      <c r="C13" s="771"/>
      <c r="D13" s="771"/>
      <c r="E13" s="989">
        <f t="shared" si="0"/>
        <v>0</v>
      </c>
      <c r="F13" s="771"/>
      <c r="G13" s="989">
        <f t="shared" si="1"/>
        <v>0</v>
      </c>
      <c r="H13" s="771"/>
      <c r="I13" s="989">
        <f t="shared" si="2"/>
        <v>0</v>
      </c>
      <c r="J13" s="771"/>
      <c r="K13" s="771"/>
      <c r="L13" s="771"/>
      <c r="M13" s="771"/>
      <c r="N13" s="771"/>
      <c r="O13" s="771"/>
      <c r="P13" s="771"/>
      <c r="Q13" s="771"/>
      <c r="R13" s="771"/>
      <c r="S13" s="771"/>
      <c r="T13" s="771"/>
      <c r="U13" s="771"/>
      <c r="V13" s="771"/>
      <c r="W13" s="992">
        <f t="shared" si="3"/>
        <v>0</v>
      </c>
      <c r="X13" s="772"/>
      <c r="Y13" s="992">
        <f t="shared" si="4"/>
        <v>0</v>
      </c>
      <c r="Z13" s="994">
        <f t="shared" si="5"/>
        <v>0</v>
      </c>
      <c r="AA13" s="771"/>
      <c r="AB13" s="773"/>
      <c r="AC13" s="758"/>
      <c r="AD13" s="758"/>
    </row>
    <row r="14" spans="1:30" ht="15.6">
      <c r="A14" s="764" t="s">
        <v>298</v>
      </c>
      <c r="B14" s="770"/>
      <c r="C14" s="771"/>
      <c r="D14" s="771"/>
      <c r="E14" s="989">
        <f t="shared" si="0"/>
        <v>0</v>
      </c>
      <c r="F14" s="771"/>
      <c r="G14" s="989">
        <f t="shared" si="1"/>
        <v>0</v>
      </c>
      <c r="H14" s="771"/>
      <c r="I14" s="989">
        <f t="shared" si="2"/>
        <v>0</v>
      </c>
      <c r="J14" s="771"/>
      <c r="K14" s="771"/>
      <c r="L14" s="771"/>
      <c r="M14" s="771"/>
      <c r="N14" s="771"/>
      <c r="O14" s="771"/>
      <c r="P14" s="771"/>
      <c r="Q14" s="771"/>
      <c r="R14" s="771"/>
      <c r="S14" s="771"/>
      <c r="T14" s="771"/>
      <c r="U14" s="771"/>
      <c r="V14" s="771"/>
      <c r="W14" s="992">
        <f t="shared" si="3"/>
        <v>0</v>
      </c>
      <c r="X14" s="772"/>
      <c r="Y14" s="992">
        <f t="shared" si="4"/>
        <v>0</v>
      </c>
      <c r="Z14" s="994">
        <f t="shared" si="5"/>
        <v>0</v>
      </c>
      <c r="AA14" s="771"/>
      <c r="AB14" s="773"/>
      <c r="AC14" s="758"/>
      <c r="AD14" s="758"/>
    </row>
    <row r="15" spans="1:30" ht="15.6">
      <c r="A15" s="764" t="s">
        <v>298</v>
      </c>
      <c r="B15" s="770"/>
      <c r="C15" s="771"/>
      <c r="D15" s="771"/>
      <c r="E15" s="989">
        <f t="shared" si="0"/>
        <v>0</v>
      </c>
      <c r="F15" s="771"/>
      <c r="G15" s="989">
        <f t="shared" si="1"/>
        <v>0</v>
      </c>
      <c r="H15" s="771"/>
      <c r="I15" s="989">
        <f t="shared" si="2"/>
        <v>0</v>
      </c>
      <c r="J15" s="771"/>
      <c r="K15" s="771"/>
      <c r="L15" s="771"/>
      <c r="M15" s="771"/>
      <c r="N15" s="771"/>
      <c r="O15" s="771"/>
      <c r="P15" s="771"/>
      <c r="Q15" s="771"/>
      <c r="R15" s="771"/>
      <c r="S15" s="771"/>
      <c r="T15" s="771"/>
      <c r="U15" s="771"/>
      <c r="V15" s="771"/>
      <c r="W15" s="992">
        <f t="shared" si="3"/>
        <v>0</v>
      </c>
      <c r="X15" s="772"/>
      <c r="Y15" s="992">
        <f t="shared" si="4"/>
        <v>0</v>
      </c>
      <c r="Z15" s="994">
        <f t="shared" si="5"/>
        <v>0</v>
      </c>
      <c r="AA15" s="771"/>
      <c r="AB15" s="773"/>
      <c r="AC15" s="758"/>
      <c r="AD15" s="758"/>
    </row>
    <row r="16" spans="1:30" ht="15.6">
      <c r="A16" s="764" t="s">
        <v>298</v>
      </c>
      <c r="B16" s="770"/>
      <c r="C16" s="771"/>
      <c r="D16" s="771"/>
      <c r="E16" s="989">
        <f t="shared" si="0"/>
        <v>0</v>
      </c>
      <c r="F16" s="771"/>
      <c r="G16" s="989">
        <f t="shared" si="1"/>
        <v>0</v>
      </c>
      <c r="H16" s="771"/>
      <c r="I16" s="989">
        <f t="shared" si="2"/>
        <v>0</v>
      </c>
      <c r="J16" s="771"/>
      <c r="K16" s="771"/>
      <c r="L16" s="771"/>
      <c r="M16" s="771"/>
      <c r="N16" s="771"/>
      <c r="O16" s="771"/>
      <c r="P16" s="771"/>
      <c r="Q16" s="771"/>
      <c r="R16" s="771"/>
      <c r="S16" s="771"/>
      <c r="T16" s="771"/>
      <c r="U16" s="771"/>
      <c r="V16" s="771"/>
      <c r="W16" s="992">
        <f t="shared" si="3"/>
        <v>0</v>
      </c>
      <c r="X16" s="772"/>
      <c r="Y16" s="992">
        <f t="shared" si="4"/>
        <v>0</v>
      </c>
      <c r="Z16" s="994">
        <f t="shared" si="5"/>
        <v>0</v>
      </c>
      <c r="AA16" s="771"/>
      <c r="AB16" s="773"/>
      <c r="AC16" s="758"/>
      <c r="AD16" s="758"/>
    </row>
    <row r="17" spans="1:30" ht="15.6">
      <c r="A17" s="764" t="s">
        <v>298</v>
      </c>
      <c r="B17" s="770"/>
      <c r="C17" s="771"/>
      <c r="D17" s="771"/>
      <c r="E17" s="989">
        <f t="shared" si="0"/>
        <v>0</v>
      </c>
      <c r="F17" s="771"/>
      <c r="G17" s="989">
        <f t="shared" si="1"/>
        <v>0</v>
      </c>
      <c r="H17" s="771"/>
      <c r="I17" s="989">
        <f t="shared" si="2"/>
        <v>0</v>
      </c>
      <c r="J17" s="771"/>
      <c r="K17" s="771"/>
      <c r="L17" s="771"/>
      <c r="M17" s="771"/>
      <c r="N17" s="771"/>
      <c r="O17" s="771"/>
      <c r="P17" s="771"/>
      <c r="Q17" s="771"/>
      <c r="R17" s="771"/>
      <c r="S17" s="771"/>
      <c r="T17" s="771"/>
      <c r="U17" s="771"/>
      <c r="V17" s="771"/>
      <c r="W17" s="992">
        <f t="shared" si="3"/>
        <v>0</v>
      </c>
      <c r="X17" s="772"/>
      <c r="Y17" s="992">
        <f t="shared" si="4"/>
        <v>0</v>
      </c>
      <c r="Z17" s="994">
        <f t="shared" si="5"/>
        <v>0</v>
      </c>
      <c r="AA17" s="771"/>
      <c r="AB17" s="773"/>
      <c r="AC17" s="758"/>
      <c r="AD17" s="758"/>
    </row>
    <row r="18" spans="1:30" ht="15.6">
      <c r="A18" s="764" t="s">
        <v>298</v>
      </c>
      <c r="B18" s="770"/>
      <c r="C18" s="771"/>
      <c r="D18" s="771"/>
      <c r="E18" s="989">
        <f t="shared" si="0"/>
        <v>0</v>
      </c>
      <c r="F18" s="771"/>
      <c r="G18" s="989">
        <f t="shared" si="1"/>
        <v>0</v>
      </c>
      <c r="H18" s="771"/>
      <c r="I18" s="989">
        <f t="shared" si="2"/>
        <v>0</v>
      </c>
      <c r="J18" s="771"/>
      <c r="K18" s="771"/>
      <c r="L18" s="771"/>
      <c r="M18" s="771"/>
      <c r="N18" s="771"/>
      <c r="O18" s="771"/>
      <c r="P18" s="771"/>
      <c r="Q18" s="771"/>
      <c r="R18" s="771"/>
      <c r="S18" s="771"/>
      <c r="T18" s="771"/>
      <c r="U18" s="771"/>
      <c r="V18" s="771"/>
      <c r="W18" s="992">
        <f t="shared" si="3"/>
        <v>0</v>
      </c>
      <c r="X18" s="772"/>
      <c r="Y18" s="992">
        <f t="shared" si="4"/>
        <v>0</v>
      </c>
      <c r="Z18" s="994">
        <f t="shared" si="5"/>
        <v>0</v>
      </c>
      <c r="AA18" s="771"/>
      <c r="AB18" s="773"/>
      <c r="AC18" s="758"/>
      <c r="AD18" s="758"/>
    </row>
    <row r="19" spans="1:30" ht="15.6">
      <c r="A19" s="764" t="s">
        <v>298</v>
      </c>
      <c r="B19" s="770"/>
      <c r="C19" s="771"/>
      <c r="D19" s="771"/>
      <c r="E19" s="989">
        <f t="shared" si="0"/>
        <v>0</v>
      </c>
      <c r="F19" s="771"/>
      <c r="G19" s="989">
        <f t="shared" si="1"/>
        <v>0</v>
      </c>
      <c r="H19" s="771"/>
      <c r="I19" s="989">
        <f t="shared" si="2"/>
        <v>0</v>
      </c>
      <c r="J19" s="771"/>
      <c r="K19" s="771"/>
      <c r="L19" s="771"/>
      <c r="M19" s="771"/>
      <c r="N19" s="771"/>
      <c r="O19" s="771"/>
      <c r="P19" s="771"/>
      <c r="Q19" s="771"/>
      <c r="R19" s="771"/>
      <c r="S19" s="771"/>
      <c r="T19" s="771"/>
      <c r="U19" s="771"/>
      <c r="V19" s="771"/>
      <c r="W19" s="992">
        <f t="shared" si="3"/>
        <v>0</v>
      </c>
      <c r="X19" s="772"/>
      <c r="Y19" s="992">
        <f t="shared" si="4"/>
        <v>0</v>
      </c>
      <c r="Z19" s="994">
        <f t="shared" si="5"/>
        <v>0</v>
      </c>
      <c r="AA19" s="771"/>
      <c r="AB19" s="773"/>
      <c r="AC19" s="758"/>
      <c r="AD19" s="758"/>
    </row>
    <row r="20" spans="1:30" ht="15.6">
      <c r="A20" s="764" t="s">
        <v>299</v>
      </c>
      <c r="B20" s="775"/>
      <c r="C20" s="776"/>
      <c r="D20" s="776"/>
      <c r="E20" s="997">
        <f t="shared" si="0"/>
        <v>0</v>
      </c>
      <c r="F20" s="776"/>
      <c r="G20" s="997">
        <f t="shared" si="1"/>
        <v>0</v>
      </c>
      <c r="H20" s="776"/>
      <c r="I20" s="997">
        <f t="shared" si="2"/>
        <v>0</v>
      </c>
      <c r="J20" s="776"/>
      <c r="K20" s="776"/>
      <c r="L20" s="776"/>
      <c r="M20" s="776"/>
      <c r="N20" s="776"/>
      <c r="O20" s="776"/>
      <c r="P20" s="776"/>
      <c r="Q20" s="776"/>
      <c r="R20" s="776"/>
      <c r="S20" s="776"/>
      <c r="T20" s="776"/>
      <c r="U20" s="776"/>
      <c r="V20" s="776"/>
      <c r="W20" s="998">
        <f t="shared" si="3"/>
        <v>0</v>
      </c>
      <c r="X20" s="777"/>
      <c r="Y20" s="998">
        <f t="shared" si="4"/>
        <v>0</v>
      </c>
      <c r="Z20" s="999">
        <f t="shared" si="5"/>
        <v>0</v>
      </c>
      <c r="AA20" s="777"/>
      <c r="AB20" s="778"/>
      <c r="AC20" s="758"/>
      <c r="AD20" s="758"/>
    </row>
    <row r="21" spans="1:30" ht="15.6">
      <c r="A21" s="779">
        <v>2</v>
      </c>
      <c r="B21" s="759" t="s">
        <v>1043</v>
      </c>
      <c r="C21" s="759"/>
      <c r="D21" s="759"/>
      <c r="E21" s="759"/>
      <c r="F21" s="759"/>
      <c r="G21" s="759"/>
      <c r="H21" s="759"/>
      <c r="I21" s="990">
        <f>SUM(I10:I20)</f>
        <v>0</v>
      </c>
      <c r="J21" s="759"/>
      <c r="K21" s="759"/>
      <c r="L21" s="759"/>
      <c r="M21" s="759"/>
      <c r="N21" s="759"/>
      <c r="O21" s="759"/>
      <c r="P21" s="759"/>
      <c r="Q21" s="759"/>
      <c r="R21" s="759"/>
      <c r="S21" s="759"/>
      <c r="T21" s="759"/>
      <c r="U21" s="758"/>
      <c r="V21" s="759"/>
      <c r="W21" s="759"/>
      <c r="X21" s="759"/>
      <c r="Y21" s="761"/>
      <c r="Z21" s="992">
        <f>SUM(Z10:Z20)</f>
        <v>0</v>
      </c>
      <c r="AA21" s="761"/>
      <c r="AB21" s="761"/>
      <c r="AC21" s="758"/>
      <c r="AD21" s="758"/>
    </row>
    <row r="22" spans="1:30" ht="15.6">
      <c r="A22" s="759"/>
      <c r="B22" s="759"/>
      <c r="C22" s="759"/>
      <c r="D22" s="759"/>
      <c r="E22" s="759"/>
      <c r="F22" s="759"/>
      <c r="G22" s="759"/>
      <c r="H22" s="759"/>
      <c r="I22" s="759"/>
      <c r="J22" s="759"/>
      <c r="K22" s="759"/>
      <c r="L22" s="759"/>
      <c r="M22" s="759"/>
      <c r="N22" s="759"/>
      <c r="O22" s="759"/>
      <c r="P22" s="759"/>
      <c r="Q22" s="759"/>
      <c r="R22" s="759"/>
      <c r="S22" s="759"/>
      <c r="T22" s="759"/>
      <c r="U22" s="759"/>
      <c r="V22" s="759"/>
      <c r="W22" s="759"/>
      <c r="X22" s="759"/>
      <c r="Y22" s="759"/>
      <c r="Z22" s="759"/>
      <c r="AA22" s="759"/>
      <c r="AB22" s="759"/>
      <c r="AC22" s="758"/>
      <c r="AD22" s="758"/>
    </row>
    <row r="23" spans="1:30" ht="15.6">
      <c r="A23" s="759" t="s">
        <v>1044</v>
      </c>
      <c r="B23" s="759"/>
      <c r="C23" s="759"/>
      <c r="D23" s="759"/>
      <c r="E23" s="759"/>
      <c r="F23" s="759"/>
      <c r="L23" s="758"/>
      <c r="M23" s="758"/>
      <c r="N23" s="758"/>
      <c r="O23" s="758"/>
      <c r="P23" s="758"/>
      <c r="Q23" s="758"/>
      <c r="R23" s="758"/>
      <c r="S23" s="758"/>
      <c r="T23" s="758"/>
      <c r="U23" s="758"/>
      <c r="V23" s="758"/>
      <c r="W23" s="759"/>
      <c r="X23" s="759"/>
      <c r="Y23" s="759"/>
      <c r="Z23" s="759"/>
      <c r="AA23" s="759"/>
      <c r="AB23" s="759"/>
      <c r="AC23" s="758"/>
      <c r="AD23" s="758"/>
    </row>
    <row r="24" spans="1:30" ht="15" customHeight="1">
      <c r="A24" s="122" t="s">
        <v>1045</v>
      </c>
      <c r="B24" s="122"/>
      <c r="C24" s="122"/>
      <c r="D24" s="122"/>
      <c r="E24" s="952"/>
      <c r="F24" s="759"/>
      <c r="G24" s="759"/>
      <c r="H24" s="759"/>
      <c r="I24" s="759"/>
      <c r="J24" s="758"/>
      <c r="K24" s="758"/>
      <c r="L24" s="758"/>
      <c r="M24" s="758"/>
      <c r="N24" s="758"/>
      <c r="O24" s="758"/>
      <c r="P24" s="758"/>
      <c r="Q24" s="758"/>
      <c r="R24" s="758"/>
      <c r="S24" s="758"/>
      <c r="T24" s="758"/>
      <c r="U24" s="758"/>
      <c r="V24" s="758"/>
      <c r="W24" s="759"/>
      <c r="X24" s="759"/>
      <c r="Y24" s="759"/>
      <c r="Z24" s="759"/>
      <c r="AA24" s="759"/>
      <c r="AB24" s="759"/>
      <c r="AC24" s="758"/>
      <c r="AD24" s="758"/>
    </row>
    <row r="25" spans="1:30" ht="15.6">
      <c r="A25" s="758"/>
      <c r="B25" s="758"/>
      <c r="C25" s="758"/>
      <c r="D25" s="758"/>
      <c r="E25" s="758"/>
      <c r="F25" s="758"/>
      <c r="G25" s="758"/>
      <c r="H25" s="758"/>
      <c r="I25" s="758"/>
      <c r="J25" s="758"/>
      <c r="K25" s="758"/>
      <c r="L25" s="758"/>
      <c r="M25" s="758"/>
      <c r="N25" s="758"/>
      <c r="O25" s="758"/>
      <c r="P25" s="758"/>
      <c r="Q25" s="758"/>
      <c r="R25" s="758"/>
      <c r="S25" s="758"/>
      <c r="T25" s="758"/>
      <c r="U25" s="758"/>
      <c r="V25" s="758"/>
      <c r="W25" s="758"/>
      <c r="X25" s="758"/>
      <c r="Y25" s="758"/>
      <c r="Z25" s="758"/>
      <c r="AA25" s="758"/>
      <c r="AB25" s="758"/>
      <c r="AC25" s="758"/>
      <c r="AD25" s="758"/>
    </row>
    <row r="26" spans="1:30" ht="15.6">
      <c r="A26" s="760" t="s">
        <v>1046</v>
      </c>
      <c r="B26" s="759"/>
      <c r="C26" s="759"/>
      <c r="D26" s="759"/>
      <c r="E26" s="759"/>
      <c r="F26" s="759"/>
      <c r="G26" s="759"/>
      <c r="H26" s="759"/>
      <c r="I26" s="759"/>
      <c r="J26" s="759"/>
      <c r="K26" s="759"/>
      <c r="L26" s="759"/>
      <c r="M26" s="759"/>
      <c r="N26" s="759"/>
      <c r="O26" s="759"/>
      <c r="P26" s="759"/>
      <c r="Q26" s="759"/>
      <c r="R26" s="759"/>
      <c r="S26" s="759"/>
      <c r="T26" s="759"/>
      <c r="U26" s="759"/>
      <c r="V26" s="759"/>
      <c r="W26" s="759"/>
      <c r="X26" s="759"/>
      <c r="Y26" s="759"/>
      <c r="Z26" s="759"/>
      <c r="AA26" s="759"/>
      <c r="AB26" s="759"/>
      <c r="AC26" s="758"/>
      <c r="AD26" s="758"/>
    </row>
    <row r="27" spans="1:30" ht="15.6">
      <c r="A27" s="759"/>
      <c r="B27" s="761" t="s">
        <v>191</v>
      </c>
      <c r="C27" s="761" t="s">
        <v>192</v>
      </c>
      <c r="D27" s="762" t="s">
        <v>193</v>
      </c>
      <c r="E27" s="761" t="s">
        <v>421</v>
      </c>
      <c r="F27" s="762" t="s">
        <v>422</v>
      </c>
      <c r="G27" s="761" t="s">
        <v>423</v>
      </c>
      <c r="H27" s="762" t="s">
        <v>424</v>
      </c>
      <c r="I27" s="761" t="s">
        <v>425</v>
      </c>
      <c r="J27" s="762" t="s">
        <v>624</v>
      </c>
      <c r="K27" s="761" t="s">
        <v>625</v>
      </c>
      <c r="L27" s="762" t="s">
        <v>626</v>
      </c>
      <c r="M27" s="761" t="s">
        <v>627</v>
      </c>
      <c r="N27" s="762" t="s">
        <v>628</v>
      </c>
      <c r="O27" s="761" t="s">
        <v>629</v>
      </c>
      <c r="P27" s="762" t="s">
        <v>630</v>
      </c>
      <c r="Q27" s="761" t="s">
        <v>631</v>
      </c>
      <c r="R27" s="761" t="s">
        <v>632</v>
      </c>
      <c r="S27" s="762" t="s">
        <v>1003</v>
      </c>
      <c r="T27" s="762" t="s">
        <v>1004</v>
      </c>
      <c r="U27" s="762" t="s">
        <v>1005</v>
      </c>
      <c r="V27" s="762" t="s">
        <v>1006</v>
      </c>
      <c r="W27" s="762" t="s">
        <v>1007</v>
      </c>
      <c r="X27" s="762" t="s">
        <v>1008</v>
      </c>
      <c r="Y27" s="762" t="s">
        <v>1009</v>
      </c>
      <c r="Z27" s="762" t="s">
        <v>1010</v>
      </c>
      <c r="AA27" s="762" t="s">
        <v>1011</v>
      </c>
      <c r="AB27" s="762" t="s">
        <v>1012</v>
      </c>
      <c r="AC27" s="758"/>
      <c r="AD27" s="758"/>
    </row>
    <row r="28" spans="1:30" ht="15.6">
      <c r="A28" s="759"/>
      <c r="B28" s="758"/>
      <c r="C28" s="758"/>
      <c r="D28" s="758"/>
      <c r="E28" s="758"/>
      <c r="F28" s="758"/>
      <c r="G28" s="758"/>
      <c r="H28" s="758"/>
      <c r="I28" s="758"/>
      <c r="J28" s="782" t="s">
        <v>1013</v>
      </c>
      <c r="K28" s="783" t="s">
        <v>1014</v>
      </c>
      <c r="L28" s="783" t="s">
        <v>1015</v>
      </c>
      <c r="M28" s="783" t="s">
        <v>1016</v>
      </c>
      <c r="N28" s="783" t="s">
        <v>1017</v>
      </c>
      <c r="O28" s="783" t="s">
        <v>1018</v>
      </c>
      <c r="P28" s="783" t="s">
        <v>1019</v>
      </c>
      <c r="Q28" s="783" t="s">
        <v>1020</v>
      </c>
      <c r="R28" s="783" t="s">
        <v>1021</v>
      </c>
      <c r="S28" s="783" t="s">
        <v>1022</v>
      </c>
      <c r="T28" s="783" t="s">
        <v>1023</v>
      </c>
      <c r="U28" s="783" t="s">
        <v>1024</v>
      </c>
      <c r="V28" s="783" t="s">
        <v>1013</v>
      </c>
      <c r="W28" s="758"/>
      <c r="X28" s="758"/>
      <c r="Y28" s="758"/>
      <c r="Z28" s="758"/>
      <c r="AA28" s="758"/>
      <c r="AB28" s="758"/>
      <c r="AC28" s="758"/>
      <c r="AD28" s="758"/>
    </row>
    <row r="29" spans="1:30" ht="73.5" customHeight="1">
      <c r="A29" s="763" t="s">
        <v>38</v>
      </c>
      <c r="B29" s="956" t="s">
        <v>1025</v>
      </c>
      <c r="C29" s="957" t="s">
        <v>1026</v>
      </c>
      <c r="D29" s="957" t="s">
        <v>1027</v>
      </c>
      <c r="E29" s="957" t="s">
        <v>1028</v>
      </c>
      <c r="F29" s="957" t="s">
        <v>1029</v>
      </c>
      <c r="G29" s="954" t="s">
        <v>1030</v>
      </c>
      <c r="H29" s="954" t="s">
        <v>1031</v>
      </c>
      <c r="I29" s="954" t="s">
        <v>1047</v>
      </c>
      <c r="J29" s="995" t="s">
        <v>1033</v>
      </c>
      <c r="K29" s="996" t="s">
        <v>1034</v>
      </c>
      <c r="L29" s="996" t="s">
        <v>1034</v>
      </c>
      <c r="M29" s="996" t="s">
        <v>1034</v>
      </c>
      <c r="N29" s="996" t="s">
        <v>1034</v>
      </c>
      <c r="O29" s="996" t="s">
        <v>1034</v>
      </c>
      <c r="P29" s="996" t="s">
        <v>1034</v>
      </c>
      <c r="Q29" s="996" t="s">
        <v>1034</v>
      </c>
      <c r="R29" s="996" t="s">
        <v>1034</v>
      </c>
      <c r="S29" s="996" t="s">
        <v>1034</v>
      </c>
      <c r="T29" s="996" t="s">
        <v>1034</v>
      </c>
      <c r="U29" s="996" t="s">
        <v>1034</v>
      </c>
      <c r="V29" s="996" t="s">
        <v>1034</v>
      </c>
      <c r="W29" s="954" t="s">
        <v>1035</v>
      </c>
      <c r="X29" s="954" t="s">
        <v>1036</v>
      </c>
      <c r="Y29" s="954" t="s">
        <v>1037</v>
      </c>
      <c r="Z29" s="954" t="s">
        <v>1038</v>
      </c>
      <c r="AA29" s="954" t="s">
        <v>1039</v>
      </c>
      <c r="AB29" s="955" t="s">
        <v>1040</v>
      </c>
      <c r="AC29" s="758"/>
      <c r="AD29" s="758"/>
    </row>
    <row r="30" spans="1:30" ht="15.6">
      <c r="A30" s="764" t="s">
        <v>1048</v>
      </c>
      <c r="B30" s="765"/>
      <c r="C30" s="766"/>
      <c r="D30" s="766"/>
      <c r="E30" s="988">
        <f t="shared" ref="E30:E40" si="6">IF(D30=0,0,C30/D30)</f>
        <v>0</v>
      </c>
      <c r="F30" s="766"/>
      <c r="G30" s="988">
        <f>+E30*F30</f>
        <v>0</v>
      </c>
      <c r="H30" s="766"/>
      <c r="I30" s="988">
        <f>+G30*H30</f>
        <v>0</v>
      </c>
      <c r="J30" s="766"/>
      <c r="K30" s="766"/>
      <c r="L30" s="766"/>
      <c r="M30" s="766"/>
      <c r="N30" s="766"/>
      <c r="O30" s="766"/>
      <c r="P30" s="766"/>
      <c r="Q30" s="766"/>
      <c r="R30" s="766"/>
      <c r="S30" s="766"/>
      <c r="T30" s="766"/>
      <c r="U30" s="766"/>
      <c r="V30" s="766"/>
      <c r="W30" s="991">
        <f>SUM(J30:V30)/13</f>
        <v>0</v>
      </c>
      <c r="X30" s="768"/>
      <c r="Y30" s="991">
        <f>+H30</f>
        <v>0</v>
      </c>
      <c r="Z30" s="993">
        <f>+W30+X30+Y30</f>
        <v>0</v>
      </c>
      <c r="AA30" s="766"/>
      <c r="AB30" s="769"/>
      <c r="AC30" s="758"/>
      <c r="AD30" s="758"/>
    </row>
    <row r="31" spans="1:30" ht="15.6">
      <c r="A31" s="764" t="s">
        <v>1049</v>
      </c>
      <c r="B31" s="770"/>
      <c r="C31" s="771"/>
      <c r="D31" s="771"/>
      <c r="E31" s="989">
        <f t="shared" si="6"/>
        <v>0</v>
      </c>
      <c r="F31" s="771"/>
      <c r="G31" s="989">
        <f t="shared" ref="G31:G40" si="7">+E31*F31</f>
        <v>0</v>
      </c>
      <c r="H31" s="771"/>
      <c r="I31" s="989">
        <f t="shared" ref="I31:I40" si="8">+G31*H31</f>
        <v>0</v>
      </c>
      <c r="J31" s="771"/>
      <c r="K31" s="771"/>
      <c r="L31" s="771"/>
      <c r="M31" s="771"/>
      <c r="N31" s="771"/>
      <c r="O31" s="771"/>
      <c r="P31" s="771"/>
      <c r="Q31" s="771"/>
      <c r="R31" s="771"/>
      <c r="S31" s="771"/>
      <c r="T31" s="771"/>
      <c r="U31" s="771"/>
      <c r="V31" s="771"/>
      <c r="W31" s="992">
        <f t="shared" ref="W31:W40" si="9">SUM(J31:V31)/13</f>
        <v>0</v>
      </c>
      <c r="X31" s="772"/>
      <c r="Y31" s="992">
        <f t="shared" ref="Y31:Y40" si="10">+H31</f>
        <v>0</v>
      </c>
      <c r="Z31" s="994">
        <f t="shared" ref="Z31:Z40" si="11">+W31+X31+Y31</f>
        <v>0</v>
      </c>
      <c r="AA31" s="771"/>
      <c r="AB31" s="773"/>
      <c r="AC31" s="758"/>
      <c r="AD31" s="758"/>
    </row>
    <row r="32" spans="1:30" ht="15.6">
      <c r="A32" s="764" t="s">
        <v>1050</v>
      </c>
      <c r="B32" s="770"/>
      <c r="C32" s="771"/>
      <c r="D32" s="771"/>
      <c r="E32" s="989">
        <f t="shared" si="6"/>
        <v>0</v>
      </c>
      <c r="F32" s="771"/>
      <c r="G32" s="989">
        <f t="shared" si="7"/>
        <v>0</v>
      </c>
      <c r="H32" s="771"/>
      <c r="I32" s="989">
        <f t="shared" si="8"/>
        <v>0</v>
      </c>
      <c r="J32" s="771"/>
      <c r="K32" s="771"/>
      <c r="L32" s="771"/>
      <c r="M32" s="771"/>
      <c r="N32" s="771"/>
      <c r="O32" s="771"/>
      <c r="P32" s="771"/>
      <c r="Q32" s="771"/>
      <c r="R32" s="771"/>
      <c r="S32" s="771"/>
      <c r="T32" s="771"/>
      <c r="U32" s="771"/>
      <c r="V32" s="771"/>
      <c r="W32" s="992">
        <f t="shared" si="9"/>
        <v>0</v>
      </c>
      <c r="X32" s="772"/>
      <c r="Y32" s="992">
        <f t="shared" si="10"/>
        <v>0</v>
      </c>
      <c r="Z32" s="994">
        <f t="shared" si="11"/>
        <v>0</v>
      </c>
      <c r="AA32" s="771"/>
      <c r="AB32" s="773"/>
      <c r="AC32" s="758"/>
      <c r="AD32" s="758"/>
    </row>
    <row r="33" spans="1:30" ht="15.6">
      <c r="A33" s="764" t="s">
        <v>298</v>
      </c>
      <c r="B33" s="770"/>
      <c r="C33" s="771"/>
      <c r="D33" s="771"/>
      <c r="E33" s="989">
        <f t="shared" si="6"/>
        <v>0</v>
      </c>
      <c r="F33" s="771"/>
      <c r="G33" s="989">
        <f t="shared" si="7"/>
        <v>0</v>
      </c>
      <c r="H33" s="771"/>
      <c r="I33" s="989">
        <f t="shared" si="8"/>
        <v>0</v>
      </c>
      <c r="J33" s="771"/>
      <c r="K33" s="771"/>
      <c r="L33" s="771"/>
      <c r="M33" s="771"/>
      <c r="N33" s="771"/>
      <c r="O33" s="771"/>
      <c r="P33" s="771"/>
      <c r="Q33" s="771"/>
      <c r="R33" s="771"/>
      <c r="S33" s="771"/>
      <c r="T33" s="771"/>
      <c r="U33" s="771"/>
      <c r="V33" s="771"/>
      <c r="W33" s="992">
        <f t="shared" si="9"/>
        <v>0</v>
      </c>
      <c r="X33" s="772"/>
      <c r="Y33" s="992">
        <f t="shared" si="10"/>
        <v>0</v>
      </c>
      <c r="Z33" s="994">
        <f t="shared" si="11"/>
        <v>0</v>
      </c>
      <c r="AA33" s="771"/>
      <c r="AB33" s="773"/>
      <c r="AC33" s="758"/>
      <c r="AD33" s="758"/>
    </row>
    <row r="34" spans="1:30" ht="15.6">
      <c r="A34" s="764" t="s">
        <v>298</v>
      </c>
      <c r="B34" s="770"/>
      <c r="C34" s="771"/>
      <c r="D34" s="771"/>
      <c r="E34" s="989">
        <f t="shared" si="6"/>
        <v>0</v>
      </c>
      <c r="F34" s="771"/>
      <c r="G34" s="989">
        <f t="shared" si="7"/>
        <v>0</v>
      </c>
      <c r="H34" s="771"/>
      <c r="I34" s="989">
        <f t="shared" si="8"/>
        <v>0</v>
      </c>
      <c r="J34" s="771"/>
      <c r="K34" s="771"/>
      <c r="L34" s="771"/>
      <c r="M34" s="771"/>
      <c r="N34" s="771"/>
      <c r="O34" s="771"/>
      <c r="P34" s="771"/>
      <c r="Q34" s="771"/>
      <c r="R34" s="771"/>
      <c r="S34" s="771"/>
      <c r="T34" s="771"/>
      <c r="U34" s="771"/>
      <c r="V34" s="771"/>
      <c r="W34" s="992">
        <f t="shared" si="9"/>
        <v>0</v>
      </c>
      <c r="X34" s="772"/>
      <c r="Y34" s="992">
        <f t="shared" si="10"/>
        <v>0</v>
      </c>
      <c r="Z34" s="994">
        <f t="shared" si="11"/>
        <v>0</v>
      </c>
      <c r="AA34" s="771"/>
      <c r="AB34" s="773"/>
      <c r="AC34" s="758"/>
      <c r="AD34" s="758"/>
    </row>
    <row r="35" spans="1:30" ht="15.6">
      <c r="A35" s="764" t="s">
        <v>298</v>
      </c>
      <c r="B35" s="770"/>
      <c r="C35" s="771"/>
      <c r="D35" s="771"/>
      <c r="E35" s="989">
        <f t="shared" si="6"/>
        <v>0</v>
      </c>
      <c r="F35" s="771"/>
      <c r="G35" s="989">
        <f t="shared" si="7"/>
        <v>0</v>
      </c>
      <c r="H35" s="771"/>
      <c r="I35" s="989">
        <f t="shared" si="8"/>
        <v>0</v>
      </c>
      <c r="J35" s="771"/>
      <c r="K35" s="771"/>
      <c r="L35" s="771"/>
      <c r="M35" s="771"/>
      <c r="N35" s="771"/>
      <c r="O35" s="771"/>
      <c r="P35" s="771"/>
      <c r="Q35" s="771"/>
      <c r="R35" s="771"/>
      <c r="S35" s="771"/>
      <c r="T35" s="771"/>
      <c r="U35" s="771"/>
      <c r="V35" s="771"/>
      <c r="W35" s="992">
        <f t="shared" si="9"/>
        <v>0</v>
      </c>
      <c r="X35" s="772"/>
      <c r="Y35" s="992">
        <f t="shared" si="10"/>
        <v>0</v>
      </c>
      <c r="Z35" s="994">
        <f t="shared" si="11"/>
        <v>0</v>
      </c>
      <c r="AA35" s="771"/>
      <c r="AB35" s="773"/>
      <c r="AC35" s="758"/>
      <c r="AD35" s="758"/>
    </row>
    <row r="36" spans="1:30" ht="15.6">
      <c r="A36" s="764" t="s">
        <v>298</v>
      </c>
      <c r="B36" s="770"/>
      <c r="C36" s="771"/>
      <c r="D36" s="771"/>
      <c r="E36" s="989">
        <f t="shared" si="6"/>
        <v>0</v>
      </c>
      <c r="F36" s="771"/>
      <c r="G36" s="989">
        <f t="shared" si="7"/>
        <v>0</v>
      </c>
      <c r="H36" s="771"/>
      <c r="I36" s="989">
        <f t="shared" si="8"/>
        <v>0</v>
      </c>
      <c r="J36" s="771"/>
      <c r="K36" s="771"/>
      <c r="L36" s="771"/>
      <c r="M36" s="771"/>
      <c r="N36" s="771"/>
      <c r="O36" s="771"/>
      <c r="P36" s="771"/>
      <c r="Q36" s="771"/>
      <c r="R36" s="771"/>
      <c r="S36" s="771"/>
      <c r="T36" s="771"/>
      <c r="U36" s="771"/>
      <c r="V36" s="771"/>
      <c r="W36" s="992">
        <f t="shared" si="9"/>
        <v>0</v>
      </c>
      <c r="X36" s="772"/>
      <c r="Y36" s="992">
        <f t="shared" si="10"/>
        <v>0</v>
      </c>
      <c r="Z36" s="994">
        <f t="shared" si="11"/>
        <v>0</v>
      </c>
      <c r="AA36" s="771"/>
      <c r="AB36" s="773"/>
      <c r="AC36" s="758"/>
      <c r="AD36" s="758"/>
    </row>
    <row r="37" spans="1:30" ht="15.6">
      <c r="A37" s="764" t="s">
        <v>298</v>
      </c>
      <c r="B37" s="770"/>
      <c r="C37" s="771"/>
      <c r="D37" s="771"/>
      <c r="E37" s="989">
        <f t="shared" si="6"/>
        <v>0</v>
      </c>
      <c r="F37" s="771"/>
      <c r="G37" s="989">
        <f t="shared" si="7"/>
        <v>0</v>
      </c>
      <c r="H37" s="771"/>
      <c r="I37" s="989">
        <f t="shared" si="8"/>
        <v>0</v>
      </c>
      <c r="J37" s="771"/>
      <c r="K37" s="771"/>
      <c r="L37" s="771"/>
      <c r="M37" s="771"/>
      <c r="N37" s="771"/>
      <c r="O37" s="771"/>
      <c r="P37" s="771"/>
      <c r="Q37" s="771"/>
      <c r="R37" s="771"/>
      <c r="S37" s="771"/>
      <c r="T37" s="771"/>
      <c r="U37" s="771"/>
      <c r="V37" s="771"/>
      <c r="W37" s="992">
        <f t="shared" si="9"/>
        <v>0</v>
      </c>
      <c r="X37" s="772"/>
      <c r="Y37" s="992">
        <f t="shared" si="10"/>
        <v>0</v>
      </c>
      <c r="Z37" s="994">
        <f t="shared" si="11"/>
        <v>0</v>
      </c>
      <c r="AA37" s="771"/>
      <c r="AB37" s="773"/>
      <c r="AC37" s="758"/>
      <c r="AD37" s="758"/>
    </row>
    <row r="38" spans="1:30" ht="15.6">
      <c r="A38" s="764" t="s">
        <v>298</v>
      </c>
      <c r="B38" s="770"/>
      <c r="C38" s="771"/>
      <c r="D38" s="771"/>
      <c r="E38" s="989">
        <f t="shared" si="6"/>
        <v>0</v>
      </c>
      <c r="F38" s="771"/>
      <c r="G38" s="989">
        <f t="shared" si="7"/>
        <v>0</v>
      </c>
      <c r="H38" s="771"/>
      <c r="I38" s="989">
        <f t="shared" si="8"/>
        <v>0</v>
      </c>
      <c r="J38" s="771"/>
      <c r="K38" s="771"/>
      <c r="L38" s="771"/>
      <c r="M38" s="771"/>
      <c r="N38" s="771"/>
      <c r="O38" s="771"/>
      <c r="P38" s="771"/>
      <c r="Q38" s="771"/>
      <c r="R38" s="771"/>
      <c r="S38" s="771"/>
      <c r="T38" s="771"/>
      <c r="U38" s="771"/>
      <c r="V38" s="771"/>
      <c r="W38" s="992">
        <f t="shared" si="9"/>
        <v>0</v>
      </c>
      <c r="X38" s="772"/>
      <c r="Y38" s="992">
        <f t="shared" si="10"/>
        <v>0</v>
      </c>
      <c r="Z38" s="994">
        <f t="shared" si="11"/>
        <v>0</v>
      </c>
      <c r="AA38" s="771"/>
      <c r="AB38" s="773"/>
      <c r="AC38" s="758"/>
      <c r="AD38" s="758"/>
    </row>
    <row r="39" spans="1:30" ht="15.6">
      <c r="A39" s="764" t="s">
        <v>298</v>
      </c>
      <c r="B39" s="770"/>
      <c r="C39" s="771"/>
      <c r="D39" s="771"/>
      <c r="E39" s="989">
        <f t="shared" si="6"/>
        <v>0</v>
      </c>
      <c r="F39" s="771"/>
      <c r="G39" s="989">
        <f t="shared" si="7"/>
        <v>0</v>
      </c>
      <c r="H39" s="771"/>
      <c r="I39" s="989">
        <f t="shared" si="8"/>
        <v>0</v>
      </c>
      <c r="J39" s="771"/>
      <c r="K39" s="771"/>
      <c r="L39" s="771"/>
      <c r="M39" s="771"/>
      <c r="N39" s="771"/>
      <c r="O39" s="771"/>
      <c r="P39" s="771"/>
      <c r="Q39" s="771"/>
      <c r="R39" s="771"/>
      <c r="S39" s="771"/>
      <c r="T39" s="771"/>
      <c r="U39" s="771"/>
      <c r="V39" s="771"/>
      <c r="W39" s="992">
        <f t="shared" si="9"/>
        <v>0</v>
      </c>
      <c r="X39" s="772"/>
      <c r="Y39" s="992">
        <f t="shared" si="10"/>
        <v>0</v>
      </c>
      <c r="Z39" s="994">
        <f t="shared" si="11"/>
        <v>0</v>
      </c>
      <c r="AA39" s="771"/>
      <c r="AB39" s="773"/>
      <c r="AC39" s="758"/>
      <c r="AD39" s="758"/>
    </row>
    <row r="40" spans="1:30" ht="15.6">
      <c r="A40" s="764" t="s">
        <v>1051</v>
      </c>
      <c r="B40" s="775"/>
      <c r="C40" s="776"/>
      <c r="D40" s="776"/>
      <c r="E40" s="997">
        <f t="shared" si="6"/>
        <v>0</v>
      </c>
      <c r="F40" s="776"/>
      <c r="G40" s="997">
        <f t="shared" si="7"/>
        <v>0</v>
      </c>
      <c r="H40" s="776"/>
      <c r="I40" s="997">
        <f t="shared" si="8"/>
        <v>0</v>
      </c>
      <c r="J40" s="776"/>
      <c r="K40" s="776"/>
      <c r="L40" s="776"/>
      <c r="M40" s="776"/>
      <c r="N40" s="776"/>
      <c r="O40" s="776"/>
      <c r="P40" s="776"/>
      <c r="Q40" s="776"/>
      <c r="R40" s="776"/>
      <c r="S40" s="776"/>
      <c r="T40" s="776"/>
      <c r="U40" s="776"/>
      <c r="V40" s="776"/>
      <c r="W40" s="998">
        <f t="shared" si="9"/>
        <v>0</v>
      </c>
      <c r="X40" s="777"/>
      <c r="Y40" s="998">
        <f t="shared" si="10"/>
        <v>0</v>
      </c>
      <c r="Z40" s="999">
        <f t="shared" si="11"/>
        <v>0</v>
      </c>
      <c r="AA40" s="777"/>
      <c r="AB40" s="778"/>
      <c r="AC40" s="758"/>
      <c r="AD40" s="758"/>
    </row>
    <row r="41" spans="1:30" ht="15.6">
      <c r="A41" s="779">
        <v>4</v>
      </c>
      <c r="B41" s="759" t="s">
        <v>1052</v>
      </c>
      <c r="C41" s="759"/>
      <c r="D41" s="759"/>
      <c r="E41" s="759"/>
      <c r="F41" s="759"/>
      <c r="G41" s="759"/>
      <c r="H41" s="759"/>
      <c r="I41" s="759"/>
      <c r="J41" s="759"/>
      <c r="K41" s="759"/>
      <c r="L41" s="759"/>
      <c r="M41" s="759"/>
      <c r="N41" s="759"/>
      <c r="O41" s="759"/>
      <c r="P41" s="759"/>
      <c r="Q41" s="759"/>
      <c r="R41" s="759"/>
      <c r="S41" s="759"/>
      <c r="T41" s="759"/>
      <c r="U41" s="758"/>
      <c r="V41" s="759"/>
      <c r="W41" s="759"/>
      <c r="X41" s="759"/>
      <c r="Y41" s="761"/>
      <c r="Z41" s="1000">
        <f>SUM(Z30:Z40)</f>
        <v>0</v>
      </c>
      <c r="AA41" s="761"/>
      <c r="AB41" s="761"/>
      <c r="AC41" s="758"/>
      <c r="AD41" s="758"/>
    </row>
    <row r="42" spans="1:30" ht="15.6">
      <c r="A42" s="759"/>
      <c r="B42" s="759"/>
      <c r="C42" s="759"/>
      <c r="D42" s="759"/>
      <c r="E42" s="759"/>
      <c r="F42" s="759"/>
      <c r="G42" s="759"/>
      <c r="H42" s="759"/>
      <c r="I42" s="759"/>
      <c r="J42" s="759"/>
      <c r="K42" s="759"/>
      <c r="L42" s="759"/>
      <c r="M42" s="759"/>
      <c r="N42" s="759"/>
      <c r="O42" s="759"/>
      <c r="P42" s="759"/>
      <c r="Q42" s="759"/>
      <c r="R42" s="759"/>
      <c r="S42" s="759"/>
      <c r="T42" s="759"/>
      <c r="U42" s="759"/>
      <c r="V42" s="759"/>
      <c r="W42" s="759"/>
      <c r="X42" s="759"/>
      <c r="Y42" s="759"/>
      <c r="Z42" s="759"/>
      <c r="AA42" s="759"/>
      <c r="AB42" s="759"/>
      <c r="AC42" s="758"/>
      <c r="AD42" s="758"/>
    </row>
    <row r="43" spans="1:30" ht="15.6">
      <c r="A43" s="759" t="s">
        <v>1044</v>
      </c>
      <c r="B43" s="759"/>
      <c r="C43" s="759"/>
      <c r="D43" s="759"/>
      <c r="E43" s="759"/>
      <c r="F43" s="759"/>
      <c r="G43" s="759"/>
      <c r="H43" s="759"/>
      <c r="I43" s="759"/>
      <c r="J43" s="759"/>
      <c r="K43" s="759"/>
      <c r="L43" s="759"/>
      <c r="M43" s="759"/>
      <c r="N43" s="759"/>
      <c r="O43" s="759"/>
      <c r="P43" s="759"/>
      <c r="Q43" s="759"/>
      <c r="R43" s="759"/>
      <c r="S43" s="759"/>
      <c r="T43" s="759"/>
      <c r="U43" s="759"/>
      <c r="V43" s="759"/>
      <c r="W43" s="759"/>
      <c r="X43" s="759"/>
      <c r="Y43" s="759"/>
      <c r="Z43" s="759"/>
      <c r="AA43" s="759"/>
      <c r="AB43" s="759"/>
      <c r="AC43" s="758"/>
      <c r="AD43" s="758"/>
    </row>
    <row r="44" spans="1:30" ht="15.6">
      <c r="A44" s="758"/>
      <c r="B44" s="759"/>
      <c r="C44" s="759"/>
      <c r="D44" s="759"/>
      <c r="E44" s="759"/>
      <c r="F44" s="759"/>
      <c r="G44" s="759"/>
      <c r="H44" s="759"/>
      <c r="I44" s="759"/>
      <c r="J44" s="759"/>
      <c r="K44" s="759"/>
      <c r="L44" s="759"/>
      <c r="M44" s="759"/>
      <c r="N44" s="759"/>
      <c r="O44" s="759"/>
      <c r="P44" s="759"/>
      <c r="Q44" s="759"/>
      <c r="R44" s="759"/>
      <c r="S44" s="759"/>
      <c r="T44" s="759"/>
      <c r="U44" s="759"/>
      <c r="V44" s="759"/>
      <c r="W44" s="759"/>
      <c r="X44" s="759"/>
      <c r="Y44" s="759"/>
      <c r="Z44" s="759"/>
      <c r="AA44" s="759"/>
      <c r="AB44" s="759"/>
      <c r="AC44" s="758"/>
      <c r="AD44" s="758"/>
    </row>
    <row r="45" spans="1:30" ht="15.6">
      <c r="F45" s="1393"/>
      <c r="G45" s="1393"/>
      <c r="H45" s="1393"/>
      <c r="I45" s="1393"/>
      <c r="J45" s="1393"/>
      <c r="K45" s="1393"/>
      <c r="L45" s="1393"/>
      <c r="M45" s="1393"/>
      <c r="N45" s="1393"/>
      <c r="O45" s="1393"/>
      <c r="P45" s="1393"/>
      <c r="Q45" s="1393"/>
      <c r="R45" s="1393"/>
      <c r="S45" s="758"/>
      <c r="T45" s="758"/>
      <c r="U45" s="758"/>
      <c r="V45" s="758"/>
      <c r="W45" s="758"/>
      <c r="X45" s="758"/>
      <c r="Y45" s="758"/>
      <c r="Z45" s="758"/>
      <c r="AA45" s="758"/>
      <c r="AB45" s="758"/>
      <c r="AC45" s="758"/>
      <c r="AD45" s="758"/>
    </row>
    <row r="46" spans="1:30" ht="15.6">
      <c r="A46" s="801" t="s">
        <v>1053</v>
      </c>
      <c r="B46" s="758"/>
      <c r="C46" s="758"/>
      <c r="D46" s="758"/>
      <c r="E46" s="758"/>
      <c r="F46" s="1394"/>
      <c r="G46" s="1394"/>
      <c r="H46" s="1394"/>
      <c r="I46" s="1394"/>
      <c r="J46" s="1394"/>
      <c r="K46" s="1394"/>
      <c r="L46" s="1394"/>
      <c r="M46" s="1394"/>
      <c r="N46" s="1394"/>
      <c r="O46" s="1394"/>
      <c r="P46" s="1394"/>
      <c r="Q46" s="1394"/>
      <c r="R46" s="1394"/>
      <c r="S46" s="758"/>
      <c r="T46" s="758"/>
      <c r="U46" s="758"/>
      <c r="V46" s="758"/>
      <c r="W46" s="758"/>
      <c r="X46" s="758"/>
      <c r="Y46" s="758"/>
      <c r="Z46" s="758"/>
      <c r="AA46" s="758"/>
      <c r="AB46" s="758"/>
      <c r="AC46" s="758"/>
      <c r="AD46" s="758"/>
    </row>
    <row r="47" spans="1:30" ht="15.6">
      <c r="A47" s="784"/>
      <c r="B47" s="785"/>
      <c r="C47" s="785"/>
      <c r="D47" s="785"/>
      <c r="E47" s="786"/>
      <c r="F47" s="785"/>
      <c r="G47" s="786"/>
      <c r="H47" s="786"/>
      <c r="I47" s="786"/>
      <c r="J47" s="786"/>
      <c r="K47" s="786"/>
      <c r="L47" s="786"/>
      <c r="M47" s="786"/>
      <c r="N47" s="786"/>
      <c r="O47" s="786"/>
      <c r="P47" s="786"/>
      <c r="Q47" s="786"/>
      <c r="R47" s="786"/>
      <c r="S47" s="758"/>
      <c r="T47" s="758"/>
      <c r="U47" s="758"/>
      <c r="V47" s="758"/>
      <c r="W47" s="758"/>
      <c r="X47" s="758"/>
      <c r="Y47" s="758"/>
      <c r="Z47" s="758"/>
      <c r="AA47" s="758"/>
      <c r="AB47" s="758"/>
      <c r="AC47" s="758"/>
      <c r="AD47" s="758"/>
    </row>
    <row r="48" spans="1:30" ht="15.6">
      <c r="A48" s="787"/>
      <c r="B48" s="788" t="s">
        <v>191</v>
      </c>
      <c r="C48" s="789" t="s">
        <v>192</v>
      </c>
      <c r="D48" s="790" t="s">
        <v>1054</v>
      </c>
      <c r="E48" s="790" t="s">
        <v>421</v>
      </c>
      <c r="F48" s="790" t="s">
        <v>1055</v>
      </c>
      <c r="G48" s="790" t="s">
        <v>423</v>
      </c>
      <c r="H48" s="790" t="s">
        <v>424</v>
      </c>
      <c r="I48" s="790" t="s">
        <v>425</v>
      </c>
      <c r="J48" s="790" t="s">
        <v>624</v>
      </c>
      <c r="K48" s="790" t="s">
        <v>625</v>
      </c>
      <c r="L48" s="790" t="s">
        <v>626</v>
      </c>
      <c r="M48" s="790" t="s">
        <v>627</v>
      </c>
      <c r="N48" s="790" t="s">
        <v>628</v>
      </c>
      <c r="O48" s="790" t="s">
        <v>629</v>
      </c>
      <c r="P48" s="790" t="s">
        <v>630</v>
      </c>
      <c r="Q48" s="789" t="s">
        <v>631</v>
      </c>
      <c r="R48" s="787" t="s">
        <v>632</v>
      </c>
      <c r="S48" s="758"/>
      <c r="T48" s="758"/>
      <c r="U48" s="758"/>
      <c r="V48" s="758"/>
      <c r="W48" s="758"/>
      <c r="X48" s="758"/>
      <c r="Y48" s="758"/>
      <c r="Z48" s="758"/>
      <c r="AA48" s="758"/>
      <c r="AB48" s="758"/>
      <c r="AC48" s="758"/>
      <c r="AD48" s="758"/>
    </row>
    <row r="49" spans="1:30" ht="15.6">
      <c r="A49" s="1395" t="s">
        <v>38</v>
      </c>
      <c r="B49" s="1397" t="s">
        <v>1056</v>
      </c>
      <c r="C49" s="1398" t="s">
        <v>1057</v>
      </c>
      <c r="D49" s="1398" t="s">
        <v>1058</v>
      </c>
      <c r="E49" s="791" t="s">
        <v>1013</v>
      </c>
      <c r="F49" s="792" t="s">
        <v>1014</v>
      </c>
      <c r="G49" s="792" t="s">
        <v>1015</v>
      </c>
      <c r="H49" s="792" t="s">
        <v>1016</v>
      </c>
      <c r="I49" s="792" t="s">
        <v>1017</v>
      </c>
      <c r="J49" s="792" t="s">
        <v>1018</v>
      </c>
      <c r="K49" s="792" t="s">
        <v>1019</v>
      </c>
      <c r="L49" s="792" t="s">
        <v>1020</v>
      </c>
      <c r="M49" s="792" t="s">
        <v>1021</v>
      </c>
      <c r="N49" s="792" t="s">
        <v>1022</v>
      </c>
      <c r="O49" s="792" t="s">
        <v>1023</v>
      </c>
      <c r="P49" s="792" t="s">
        <v>1024</v>
      </c>
      <c r="Q49" s="792" t="s">
        <v>1013</v>
      </c>
      <c r="R49" s="1400" t="s">
        <v>1059</v>
      </c>
      <c r="T49" s="758"/>
      <c r="U49" s="758"/>
      <c r="V49" s="758"/>
      <c r="W49" s="758"/>
      <c r="X49" s="758"/>
      <c r="Y49" s="758"/>
      <c r="Z49" s="758"/>
      <c r="AA49" s="758"/>
      <c r="AB49" s="758"/>
      <c r="AC49" s="758"/>
      <c r="AD49" s="758"/>
    </row>
    <row r="50" spans="1:30" ht="24" customHeight="1">
      <c r="A50" s="1396"/>
      <c r="B50" s="1396"/>
      <c r="C50" s="1399"/>
      <c r="D50" s="1399"/>
      <c r="E50" s="793" t="s">
        <v>1033</v>
      </c>
      <c r="F50" s="794" t="s">
        <v>1034</v>
      </c>
      <c r="G50" s="794" t="s">
        <v>1034</v>
      </c>
      <c r="H50" s="794" t="s">
        <v>1034</v>
      </c>
      <c r="I50" s="794" t="s">
        <v>1034</v>
      </c>
      <c r="J50" s="794" t="s">
        <v>1034</v>
      </c>
      <c r="K50" s="794" t="s">
        <v>1034</v>
      </c>
      <c r="L50" s="794" t="s">
        <v>1034</v>
      </c>
      <c r="M50" s="794" t="s">
        <v>1034</v>
      </c>
      <c r="N50" s="794" t="s">
        <v>1034</v>
      </c>
      <c r="O50" s="794" t="s">
        <v>1034</v>
      </c>
      <c r="P50" s="794" t="s">
        <v>1034</v>
      </c>
      <c r="Q50" s="794" t="s">
        <v>1034</v>
      </c>
      <c r="R50" s="1401"/>
      <c r="T50" s="758"/>
      <c r="U50" s="758"/>
      <c r="V50" s="758"/>
      <c r="W50" s="758"/>
      <c r="X50" s="758"/>
      <c r="Y50" s="758"/>
      <c r="Z50" s="758"/>
      <c r="AA50" s="758"/>
      <c r="AB50" s="758"/>
      <c r="AC50" s="758"/>
      <c r="AD50" s="758"/>
    </row>
    <row r="51" spans="1:30" ht="15.6">
      <c r="A51" s="1001" t="s">
        <v>1060</v>
      </c>
      <c r="B51" s="1004"/>
      <c r="C51" s="795"/>
      <c r="D51" s="795"/>
      <c r="E51" s="795"/>
      <c r="F51" s="795"/>
      <c r="G51" s="795"/>
      <c r="H51" s="795"/>
      <c r="I51" s="795"/>
      <c r="J51" s="795"/>
      <c r="K51" s="795"/>
      <c r="L51" s="795"/>
      <c r="M51" s="795"/>
      <c r="N51" s="795"/>
      <c r="O51" s="795"/>
      <c r="P51" s="795"/>
      <c r="Q51" s="795"/>
      <c r="R51" s="1005">
        <f t="shared" ref="R51:R60" si="12">IFERROR(SUM(E51:Q51)/13,0)</f>
        <v>0</v>
      </c>
      <c r="T51" s="758"/>
      <c r="U51" s="758"/>
      <c r="V51" s="758"/>
      <c r="W51" s="758"/>
      <c r="X51" s="758"/>
      <c r="Y51" s="758"/>
      <c r="Z51" s="758"/>
      <c r="AA51" s="758"/>
      <c r="AB51" s="758"/>
      <c r="AC51" s="758"/>
      <c r="AD51" s="758"/>
    </row>
    <row r="52" spans="1:30" ht="15.6">
      <c r="A52" s="1002" t="s">
        <v>1061</v>
      </c>
      <c r="B52" s="1006"/>
      <c r="C52" s="795"/>
      <c r="D52" s="795"/>
      <c r="E52" s="795"/>
      <c r="F52" s="795"/>
      <c r="G52" s="795"/>
      <c r="H52" s="795"/>
      <c r="I52" s="795"/>
      <c r="J52" s="795"/>
      <c r="K52" s="795"/>
      <c r="L52" s="795"/>
      <c r="M52" s="795"/>
      <c r="N52" s="795"/>
      <c r="O52" s="795"/>
      <c r="P52" s="795"/>
      <c r="Q52" s="795"/>
      <c r="R52" s="1005">
        <f t="shared" si="12"/>
        <v>0</v>
      </c>
      <c r="T52" s="758"/>
      <c r="U52" s="758"/>
      <c r="V52" s="758"/>
      <c r="W52" s="758"/>
      <c r="X52" s="758"/>
      <c r="Y52" s="758"/>
      <c r="Z52" s="758"/>
      <c r="AA52" s="758"/>
      <c r="AB52" s="758"/>
      <c r="AC52" s="758"/>
      <c r="AD52" s="758"/>
    </row>
    <row r="53" spans="1:30" ht="15.6">
      <c r="A53" s="1002" t="s">
        <v>1062</v>
      </c>
      <c r="B53" s="1006"/>
      <c r="C53" s="795"/>
      <c r="D53" s="795"/>
      <c r="E53" s="795"/>
      <c r="F53" s="795"/>
      <c r="G53" s="795"/>
      <c r="H53" s="795"/>
      <c r="I53" s="795"/>
      <c r="J53" s="795"/>
      <c r="K53" s="795"/>
      <c r="L53" s="795"/>
      <c r="M53" s="795"/>
      <c r="N53" s="795"/>
      <c r="O53" s="795"/>
      <c r="P53" s="795"/>
      <c r="Q53" s="795"/>
      <c r="R53" s="1005">
        <f t="shared" si="12"/>
        <v>0</v>
      </c>
      <c r="T53" s="758"/>
      <c r="U53" s="758"/>
      <c r="V53" s="758"/>
      <c r="W53" s="758"/>
      <c r="X53" s="758"/>
      <c r="Y53" s="758"/>
      <c r="Z53" s="758"/>
      <c r="AA53" s="758"/>
      <c r="AB53" s="758"/>
      <c r="AC53" s="758"/>
      <c r="AD53" s="758"/>
    </row>
    <row r="54" spans="1:30" ht="15.6">
      <c r="A54" s="1002" t="s">
        <v>298</v>
      </c>
      <c r="B54" s="1006"/>
      <c r="C54" s="795"/>
      <c r="D54" s="795"/>
      <c r="E54" s="795"/>
      <c r="F54" s="795"/>
      <c r="G54" s="795"/>
      <c r="H54" s="795"/>
      <c r="I54" s="795"/>
      <c r="J54" s="795"/>
      <c r="K54" s="795"/>
      <c r="L54" s="795"/>
      <c r="M54" s="795"/>
      <c r="N54" s="795"/>
      <c r="O54" s="795"/>
      <c r="P54" s="795"/>
      <c r="Q54" s="795"/>
      <c r="R54" s="1005">
        <f t="shared" si="12"/>
        <v>0</v>
      </c>
      <c r="T54" s="758"/>
      <c r="U54" s="758"/>
      <c r="V54" s="758"/>
      <c r="W54" s="758"/>
      <c r="X54" s="758"/>
      <c r="Y54" s="758"/>
      <c r="Z54" s="758"/>
      <c r="AA54" s="758"/>
      <c r="AB54" s="758"/>
      <c r="AC54" s="758"/>
      <c r="AD54" s="758"/>
    </row>
    <row r="55" spans="1:30" ht="15.6">
      <c r="A55" s="1002" t="s">
        <v>298</v>
      </c>
      <c r="B55" s="1006"/>
      <c r="C55" s="795"/>
      <c r="D55" s="795"/>
      <c r="E55" s="795"/>
      <c r="F55" s="795"/>
      <c r="G55" s="795"/>
      <c r="H55" s="795"/>
      <c r="I55" s="795"/>
      <c r="J55" s="795"/>
      <c r="K55" s="795"/>
      <c r="L55" s="795"/>
      <c r="M55" s="795"/>
      <c r="N55" s="795"/>
      <c r="O55" s="795"/>
      <c r="P55" s="795"/>
      <c r="Q55" s="795"/>
      <c r="R55" s="1005">
        <f t="shared" si="12"/>
        <v>0</v>
      </c>
      <c r="T55" s="758"/>
      <c r="U55" s="758"/>
      <c r="V55" s="758"/>
      <c r="W55" s="758"/>
      <c r="X55" s="758"/>
      <c r="Y55" s="758"/>
      <c r="Z55" s="758"/>
      <c r="AA55" s="758"/>
      <c r="AB55" s="758"/>
      <c r="AC55" s="758"/>
      <c r="AD55" s="758"/>
    </row>
    <row r="56" spans="1:30" ht="15.6">
      <c r="A56" s="1002" t="s">
        <v>298</v>
      </c>
      <c r="B56" s="1006"/>
      <c r="C56" s="795"/>
      <c r="D56" s="795"/>
      <c r="E56" s="795"/>
      <c r="F56" s="795"/>
      <c r="G56" s="795"/>
      <c r="H56" s="795"/>
      <c r="I56" s="795"/>
      <c r="J56" s="795"/>
      <c r="K56" s="795"/>
      <c r="L56" s="795"/>
      <c r="M56" s="795"/>
      <c r="N56" s="795"/>
      <c r="O56" s="795"/>
      <c r="P56" s="795"/>
      <c r="Q56" s="795"/>
      <c r="R56" s="1005">
        <f t="shared" si="12"/>
        <v>0</v>
      </c>
      <c r="T56" s="758"/>
      <c r="U56" s="758"/>
      <c r="V56" s="758"/>
      <c r="W56" s="758"/>
      <c r="X56" s="758"/>
      <c r="Y56" s="758"/>
      <c r="Z56" s="758"/>
      <c r="AA56" s="758"/>
      <c r="AB56" s="758"/>
      <c r="AC56" s="758"/>
      <c r="AD56" s="758"/>
    </row>
    <row r="57" spans="1:30" ht="15.6">
      <c r="A57" s="1002" t="s">
        <v>298</v>
      </c>
      <c r="B57" s="1006"/>
      <c r="C57" s="795"/>
      <c r="D57" s="795"/>
      <c r="E57" s="795"/>
      <c r="F57" s="795"/>
      <c r="G57" s="795"/>
      <c r="H57" s="795"/>
      <c r="I57" s="795"/>
      <c r="J57" s="795"/>
      <c r="K57" s="795"/>
      <c r="L57" s="795"/>
      <c r="M57" s="795"/>
      <c r="N57" s="795"/>
      <c r="O57" s="795"/>
      <c r="P57" s="795"/>
      <c r="Q57" s="795"/>
      <c r="R57" s="1005">
        <f t="shared" si="12"/>
        <v>0</v>
      </c>
      <c r="T57" s="758"/>
      <c r="U57" s="758"/>
      <c r="V57" s="758"/>
      <c r="W57" s="758"/>
      <c r="X57" s="758"/>
      <c r="Y57" s="758"/>
      <c r="Z57" s="758"/>
      <c r="AA57" s="758"/>
      <c r="AB57" s="758"/>
      <c r="AC57" s="758"/>
      <c r="AD57" s="758"/>
    </row>
    <row r="58" spans="1:30" ht="15.6">
      <c r="A58" s="1002" t="s">
        <v>298</v>
      </c>
      <c r="B58" s="1006"/>
      <c r="C58" s="795"/>
      <c r="D58" s="795"/>
      <c r="E58" s="795"/>
      <c r="F58" s="795"/>
      <c r="G58" s="795"/>
      <c r="H58" s="795"/>
      <c r="I58" s="795"/>
      <c r="J58" s="795"/>
      <c r="K58" s="795"/>
      <c r="L58" s="795"/>
      <c r="M58" s="795"/>
      <c r="N58" s="795"/>
      <c r="O58" s="795"/>
      <c r="P58" s="795"/>
      <c r="Q58" s="795"/>
      <c r="R58" s="1005">
        <f>IFERROR(SUM(E58:Q58)/13,0)</f>
        <v>0</v>
      </c>
      <c r="T58" s="758"/>
      <c r="U58" s="758"/>
      <c r="V58" s="758"/>
      <c r="W58" s="758"/>
      <c r="X58" s="758"/>
      <c r="Y58" s="758"/>
      <c r="Z58" s="758"/>
      <c r="AA58" s="758"/>
      <c r="AB58" s="758"/>
      <c r="AC58" s="758"/>
      <c r="AD58" s="758"/>
    </row>
    <row r="59" spans="1:30" ht="15.6">
      <c r="A59" s="1002" t="s">
        <v>298</v>
      </c>
      <c r="B59" s="1006"/>
      <c r="C59" s="795"/>
      <c r="D59" s="795"/>
      <c r="E59" s="795"/>
      <c r="F59" s="795"/>
      <c r="G59" s="795"/>
      <c r="H59" s="795"/>
      <c r="I59" s="795"/>
      <c r="J59" s="795"/>
      <c r="K59" s="795"/>
      <c r="L59" s="795"/>
      <c r="M59" s="795"/>
      <c r="N59" s="795"/>
      <c r="O59" s="795"/>
      <c r="P59" s="795"/>
      <c r="Q59" s="795"/>
      <c r="R59" s="1005">
        <f t="shared" si="12"/>
        <v>0</v>
      </c>
      <c r="T59" s="758"/>
      <c r="U59" s="758"/>
      <c r="V59" s="758"/>
      <c r="W59" s="758"/>
      <c r="X59" s="758"/>
      <c r="Y59" s="758"/>
      <c r="Z59" s="758"/>
      <c r="AA59" s="758"/>
      <c r="AB59" s="758"/>
      <c r="AC59" s="758"/>
      <c r="AD59" s="758"/>
    </row>
    <row r="60" spans="1:30" ht="15.6">
      <c r="A60" s="1003" t="s">
        <v>1063</v>
      </c>
      <c r="B60" s="1007"/>
      <c r="C60" s="796"/>
      <c r="D60" s="796"/>
      <c r="E60" s="796"/>
      <c r="F60" s="796"/>
      <c r="G60" s="796"/>
      <c r="H60" s="796"/>
      <c r="I60" s="796"/>
      <c r="J60" s="796"/>
      <c r="K60" s="796"/>
      <c r="L60" s="796"/>
      <c r="M60" s="796"/>
      <c r="N60" s="796"/>
      <c r="O60" s="796"/>
      <c r="P60" s="796"/>
      <c r="Q60" s="796"/>
      <c r="R60" s="1008">
        <f t="shared" si="12"/>
        <v>0</v>
      </c>
      <c r="T60" s="758"/>
      <c r="U60" s="758"/>
      <c r="V60" s="758"/>
      <c r="W60" s="758"/>
      <c r="X60" s="758"/>
      <c r="Y60" s="758"/>
      <c r="Z60" s="758"/>
      <c r="AA60" s="758"/>
      <c r="AB60" s="758"/>
      <c r="AC60" s="758"/>
      <c r="AD60" s="758"/>
    </row>
    <row r="61" spans="1:30" ht="15.6">
      <c r="A61" s="806">
        <v>6</v>
      </c>
      <c r="B61" s="811"/>
      <c r="C61" s="797"/>
      <c r="D61" s="797" t="s">
        <v>1064</v>
      </c>
      <c r="F61" s="798"/>
      <c r="G61" s="798"/>
      <c r="H61" s="798"/>
      <c r="I61" s="798"/>
      <c r="J61" s="798"/>
      <c r="K61" s="798"/>
      <c r="L61" s="798"/>
      <c r="M61" s="798"/>
      <c r="N61" s="784"/>
      <c r="O61" s="784"/>
      <c r="P61" s="784"/>
      <c r="Q61" s="784"/>
      <c r="R61" s="784"/>
      <c r="S61" s="953">
        <f>SUM(R51:R60)</f>
        <v>0</v>
      </c>
      <c r="T61" s="758"/>
      <c r="U61" s="758"/>
      <c r="V61" s="758"/>
      <c r="W61" s="758"/>
      <c r="X61" s="758"/>
      <c r="Y61" s="758"/>
      <c r="Z61" s="758"/>
      <c r="AA61" s="758"/>
      <c r="AB61" s="758"/>
      <c r="AC61" s="758"/>
      <c r="AD61" s="758"/>
    </row>
    <row r="62" spans="1:30" ht="15.6">
      <c r="A62" s="758"/>
      <c r="B62" s="758"/>
      <c r="C62" s="758"/>
      <c r="D62" s="758"/>
      <c r="F62" s="758"/>
      <c r="G62" s="758"/>
      <c r="H62" s="758"/>
      <c r="I62" s="758"/>
      <c r="J62" s="758"/>
      <c r="K62" s="758"/>
      <c r="L62" s="758"/>
      <c r="M62" s="758"/>
      <c r="N62" s="758"/>
      <c r="O62" s="758"/>
      <c r="P62" s="758"/>
      <c r="Q62" s="758"/>
      <c r="R62" s="758"/>
      <c r="S62" s="758"/>
      <c r="T62" s="758"/>
      <c r="U62" s="758"/>
      <c r="V62" s="758"/>
      <c r="W62" s="758"/>
      <c r="X62" s="758"/>
      <c r="Y62" s="758"/>
      <c r="Z62" s="758"/>
      <c r="AA62" s="758"/>
      <c r="AB62" s="758"/>
      <c r="AC62" s="758"/>
      <c r="AD62" s="758"/>
    </row>
    <row r="63" spans="1:30" ht="15.6">
      <c r="A63" s="759"/>
      <c r="B63" s="759"/>
      <c r="C63" s="759"/>
      <c r="D63" s="759"/>
      <c r="E63" s="759"/>
      <c r="F63" s="759"/>
      <c r="G63" s="759"/>
      <c r="H63" s="759"/>
      <c r="I63" s="759"/>
      <c r="J63" s="759"/>
      <c r="K63" s="759"/>
      <c r="L63" s="759"/>
      <c r="M63" s="759"/>
      <c r="N63" s="759"/>
      <c r="O63" s="759"/>
      <c r="P63" s="759"/>
      <c r="Q63" s="759"/>
      <c r="R63" s="759"/>
      <c r="S63" s="759"/>
      <c r="T63" s="759"/>
      <c r="U63" s="759"/>
      <c r="V63" s="759"/>
      <c r="W63" s="758"/>
      <c r="X63" s="758"/>
      <c r="Y63" s="758"/>
      <c r="Z63" s="758"/>
      <c r="AA63" s="758"/>
      <c r="AB63" s="758"/>
      <c r="AC63" s="758"/>
      <c r="AD63" s="758"/>
    </row>
    <row r="64" spans="1:30" ht="15.6">
      <c r="A64" s="759"/>
      <c r="B64" s="759"/>
      <c r="C64" s="759"/>
      <c r="D64" s="759"/>
      <c r="E64" s="759"/>
      <c r="F64" s="759"/>
      <c r="G64" s="759"/>
      <c r="H64" s="759"/>
      <c r="I64" s="759"/>
      <c r="J64" s="759"/>
      <c r="K64" s="759"/>
      <c r="L64" s="759"/>
      <c r="M64" s="759"/>
      <c r="N64" s="759"/>
      <c r="O64" s="759"/>
      <c r="P64" s="759"/>
      <c r="Q64" s="759"/>
      <c r="R64" s="759"/>
      <c r="S64" s="759"/>
      <c r="T64" s="759"/>
      <c r="U64" s="759"/>
      <c r="V64" s="759"/>
      <c r="W64" s="758"/>
      <c r="X64" s="758"/>
      <c r="Y64" s="758"/>
      <c r="Z64" s="758"/>
      <c r="AA64" s="758"/>
      <c r="AB64" s="758"/>
      <c r="AC64" s="758"/>
      <c r="AD64" s="758"/>
    </row>
    <row r="65" spans="1:30" ht="15.6">
      <c r="A65" s="760" t="s">
        <v>198</v>
      </c>
      <c r="B65" s="759"/>
      <c r="C65" s="759"/>
      <c r="D65" s="759"/>
      <c r="E65" s="759"/>
      <c r="F65" s="759"/>
      <c r="G65" s="758"/>
      <c r="H65" s="758"/>
      <c r="I65" s="758"/>
      <c r="J65" s="758"/>
      <c r="K65" s="758"/>
      <c r="L65" s="758"/>
      <c r="M65" s="758"/>
      <c r="N65" s="758"/>
      <c r="O65" s="758"/>
      <c r="P65" s="758"/>
      <c r="Q65" s="758"/>
      <c r="R65" s="758"/>
      <c r="S65" s="758"/>
      <c r="T65" s="759"/>
      <c r="U65" s="759"/>
      <c r="V65" s="759"/>
      <c r="W65" s="758"/>
      <c r="X65" s="758"/>
      <c r="Y65" s="758"/>
      <c r="Z65" s="758"/>
      <c r="AA65" s="758"/>
      <c r="AB65" s="758"/>
      <c r="AC65" s="758"/>
      <c r="AD65" s="758"/>
    </row>
    <row r="66" spans="1:30" ht="15.6">
      <c r="A66" s="759"/>
      <c r="B66" s="759"/>
      <c r="C66" s="759"/>
      <c r="D66" s="759"/>
      <c r="E66" s="759"/>
      <c r="F66" s="759"/>
      <c r="G66" s="758"/>
      <c r="H66" s="758"/>
      <c r="I66" s="758"/>
      <c r="J66" s="758"/>
      <c r="K66" s="758"/>
      <c r="L66" s="758"/>
      <c r="M66" s="758"/>
      <c r="N66" s="758"/>
      <c r="O66" s="758"/>
      <c r="P66" s="758"/>
      <c r="Q66" s="758"/>
      <c r="R66" s="758"/>
      <c r="S66" s="758"/>
      <c r="T66" s="759"/>
      <c r="U66" s="759"/>
      <c r="V66" s="759"/>
      <c r="W66" s="758"/>
      <c r="X66" s="758"/>
      <c r="Y66" s="758"/>
      <c r="Z66" s="758"/>
      <c r="AA66" s="758"/>
      <c r="AB66" s="758"/>
      <c r="AC66" s="758"/>
      <c r="AD66" s="758"/>
    </row>
    <row r="67" spans="1:30" ht="15.6">
      <c r="A67" s="759"/>
      <c r="B67" s="761" t="s">
        <v>191</v>
      </c>
      <c r="C67" s="761" t="s">
        <v>192</v>
      </c>
      <c r="D67" s="762" t="s">
        <v>193</v>
      </c>
      <c r="E67" s="761" t="s">
        <v>421</v>
      </c>
      <c r="F67" s="762" t="s">
        <v>422</v>
      </c>
      <c r="G67" s="761" t="s">
        <v>423</v>
      </c>
      <c r="H67" s="762" t="s">
        <v>424</v>
      </c>
      <c r="I67" s="761" t="s">
        <v>425</v>
      </c>
      <c r="J67" s="762" t="s">
        <v>624</v>
      </c>
      <c r="K67" s="761" t="s">
        <v>625</v>
      </c>
      <c r="L67" s="762" t="s">
        <v>626</v>
      </c>
      <c r="M67" s="761" t="s">
        <v>627</v>
      </c>
      <c r="N67" s="762" t="s">
        <v>628</v>
      </c>
      <c r="O67" s="761" t="s">
        <v>629</v>
      </c>
      <c r="P67" s="762" t="s">
        <v>630</v>
      </c>
      <c r="Q67" s="761" t="s">
        <v>631</v>
      </c>
      <c r="R67" s="761" t="s">
        <v>632</v>
      </c>
      <c r="S67" s="762" t="s">
        <v>1003</v>
      </c>
      <c r="T67" s="762" t="s">
        <v>1004</v>
      </c>
      <c r="U67" s="762" t="s">
        <v>1005</v>
      </c>
      <c r="V67" s="762" t="s">
        <v>1006</v>
      </c>
      <c r="W67" s="758"/>
      <c r="X67" s="758"/>
      <c r="Y67" s="758"/>
      <c r="Z67" s="758"/>
      <c r="AA67" s="758"/>
      <c r="AB67" s="758"/>
      <c r="AC67" s="758"/>
      <c r="AD67" s="758"/>
    </row>
    <row r="68" spans="1:30" ht="15.6">
      <c r="A68" s="799"/>
      <c r="B68" s="1406" t="s">
        <v>1025</v>
      </c>
      <c r="C68" s="1390" t="s">
        <v>1065</v>
      </c>
      <c r="D68" s="1390" t="s">
        <v>1066</v>
      </c>
      <c r="E68" s="1390" t="s">
        <v>1067</v>
      </c>
      <c r="F68" s="1390" t="s">
        <v>1068</v>
      </c>
      <c r="G68" s="791" t="s">
        <v>1013</v>
      </c>
      <c r="H68" s="792" t="s">
        <v>1014</v>
      </c>
      <c r="I68" s="792" t="s">
        <v>1015</v>
      </c>
      <c r="J68" s="792" t="s">
        <v>1016</v>
      </c>
      <c r="K68" s="792" t="s">
        <v>1017</v>
      </c>
      <c r="L68" s="792" t="s">
        <v>1018</v>
      </c>
      <c r="M68" s="792" t="s">
        <v>1019</v>
      </c>
      <c r="N68" s="792" t="s">
        <v>1020</v>
      </c>
      <c r="O68" s="792" t="s">
        <v>1021</v>
      </c>
      <c r="P68" s="792" t="s">
        <v>1022</v>
      </c>
      <c r="Q68" s="792" t="s">
        <v>1023</v>
      </c>
      <c r="R68" s="792" t="s">
        <v>1024</v>
      </c>
      <c r="S68" s="792" t="s">
        <v>1013</v>
      </c>
      <c r="T68" s="1402" t="s">
        <v>1069</v>
      </c>
      <c r="U68" s="1402" t="s">
        <v>1070</v>
      </c>
      <c r="V68" s="1404" t="s">
        <v>1071</v>
      </c>
      <c r="W68" s="758"/>
      <c r="X68" s="758"/>
      <c r="Y68" s="758"/>
      <c r="Z68" s="758"/>
      <c r="AA68" s="758"/>
      <c r="AB68" s="758"/>
      <c r="AC68" s="758"/>
      <c r="AD68" s="758"/>
    </row>
    <row r="69" spans="1:30" ht="25.5" customHeight="1">
      <c r="A69" s="800" t="s">
        <v>38</v>
      </c>
      <c r="B69" s="1407"/>
      <c r="C69" s="1391"/>
      <c r="D69" s="1391"/>
      <c r="E69" s="1391"/>
      <c r="F69" s="1391"/>
      <c r="G69" s="793" t="s">
        <v>1033</v>
      </c>
      <c r="H69" s="794" t="s">
        <v>1034</v>
      </c>
      <c r="I69" s="794" t="s">
        <v>1034</v>
      </c>
      <c r="J69" s="794" t="s">
        <v>1034</v>
      </c>
      <c r="K69" s="794" t="s">
        <v>1034</v>
      </c>
      <c r="L69" s="794" t="s">
        <v>1034</v>
      </c>
      <c r="M69" s="794" t="s">
        <v>1034</v>
      </c>
      <c r="N69" s="794" t="s">
        <v>1034</v>
      </c>
      <c r="O69" s="794" t="s">
        <v>1034</v>
      </c>
      <c r="P69" s="794" t="s">
        <v>1034</v>
      </c>
      <c r="Q69" s="794" t="s">
        <v>1034</v>
      </c>
      <c r="R69" s="794" t="s">
        <v>1034</v>
      </c>
      <c r="S69" s="794" t="s">
        <v>1034</v>
      </c>
      <c r="T69" s="1403"/>
      <c r="U69" s="1403"/>
      <c r="V69" s="1405"/>
      <c r="W69" s="758"/>
      <c r="X69" s="758"/>
      <c r="Y69" s="758"/>
      <c r="Z69" s="758"/>
      <c r="AA69" s="758"/>
      <c r="AB69" s="758"/>
      <c r="AC69" s="758"/>
      <c r="AD69" s="758"/>
    </row>
    <row r="70" spans="1:30" ht="55.2">
      <c r="A70" s="764" t="s">
        <v>1072</v>
      </c>
      <c r="B70" s="1133" t="s">
        <v>1208</v>
      </c>
      <c r="C70" s="1134" t="s">
        <v>1073</v>
      </c>
      <c r="D70" s="1229">
        <v>43563</v>
      </c>
      <c r="E70" s="766" t="s">
        <v>1074</v>
      </c>
      <c r="F70" s="766" t="s">
        <v>672</v>
      </c>
      <c r="G70" s="748">
        <v>234245266</v>
      </c>
      <c r="H70" s="748">
        <v>256844643</v>
      </c>
      <c r="I70" s="748">
        <v>279492464</v>
      </c>
      <c r="J70" s="748">
        <v>308864017</v>
      </c>
      <c r="K70" s="748">
        <v>331262245</v>
      </c>
      <c r="L70" s="748">
        <v>48056506</v>
      </c>
      <c r="M70" s="748">
        <v>57909432</v>
      </c>
      <c r="N70" s="748">
        <v>64737443</v>
      </c>
      <c r="O70" s="748">
        <v>69813029</v>
      </c>
      <c r="P70" s="748">
        <v>71214150</v>
      </c>
      <c r="Q70" s="748">
        <v>73867229</v>
      </c>
      <c r="R70" s="748">
        <v>75363350</v>
      </c>
      <c r="S70" s="748">
        <v>0</v>
      </c>
      <c r="T70" s="1062">
        <f>SUM(G70:S70)/13</f>
        <v>143974598</v>
      </c>
      <c r="U70" s="1065">
        <v>1</v>
      </c>
      <c r="V70" s="1135">
        <f>T70*U70</f>
        <v>143974598</v>
      </c>
      <c r="W70" s="758"/>
      <c r="X70" s="758"/>
      <c r="Y70" s="758"/>
      <c r="Z70" s="758"/>
      <c r="AA70" s="758"/>
      <c r="AB70" s="758"/>
      <c r="AC70" s="758"/>
      <c r="AD70" s="758"/>
    </row>
    <row r="71" spans="1:30" ht="27.6">
      <c r="A71" s="764" t="s">
        <v>1075</v>
      </c>
      <c r="B71" s="1231" t="s">
        <v>326</v>
      </c>
      <c r="C71" s="771" t="s">
        <v>1073</v>
      </c>
      <c r="D71" s="1230">
        <v>43563</v>
      </c>
      <c r="E71" s="771" t="s">
        <v>1074</v>
      </c>
      <c r="F71" s="771" t="s">
        <v>672</v>
      </c>
      <c r="G71" s="1233">
        <v>68994157</v>
      </c>
      <c r="H71" s="1233">
        <v>73221241</v>
      </c>
      <c r="I71" s="1233">
        <v>78784822</v>
      </c>
      <c r="J71" s="1233">
        <v>80784822</v>
      </c>
      <c r="K71" s="1233">
        <v>86717707</v>
      </c>
      <c r="L71" s="1233">
        <v>0</v>
      </c>
      <c r="M71" s="1233">
        <v>0</v>
      </c>
      <c r="N71" s="1233">
        <v>0</v>
      </c>
      <c r="O71" s="1233">
        <v>0</v>
      </c>
      <c r="P71" s="1233">
        <v>0</v>
      </c>
      <c r="Q71" s="1233">
        <v>0</v>
      </c>
      <c r="R71" s="1233">
        <v>0</v>
      </c>
      <c r="S71" s="1233">
        <v>0</v>
      </c>
      <c r="T71" s="1063">
        <f t="shared" ref="T71:T80" si="13">SUM(G71:S71)/13</f>
        <v>29884826.846153848</v>
      </c>
      <c r="U71" s="1066">
        <v>1</v>
      </c>
      <c r="V71" s="1068">
        <f t="shared" ref="V71:V80" si="14">T71*U71</f>
        <v>29884826.846153848</v>
      </c>
      <c r="W71" s="758"/>
      <c r="X71" s="758"/>
      <c r="Y71" s="758"/>
      <c r="Z71" s="758"/>
      <c r="AA71" s="758"/>
      <c r="AB71" s="758"/>
      <c r="AC71" s="758"/>
      <c r="AD71" s="758"/>
    </row>
    <row r="72" spans="1:30" ht="15.6">
      <c r="A72" s="764" t="s">
        <v>1076</v>
      </c>
      <c r="B72" s="771"/>
      <c r="C72" s="771"/>
      <c r="D72" s="771"/>
      <c r="E72" s="771"/>
      <c r="F72" s="771"/>
      <c r="G72" s="771"/>
      <c r="H72" s="1236"/>
      <c r="I72" s="1236"/>
      <c r="J72" s="1236"/>
      <c r="K72" s="1236"/>
      <c r="L72" s="1236"/>
      <c r="M72" s="771"/>
      <c r="N72" s="1236"/>
      <c r="O72" s="1236"/>
      <c r="P72" s="1236"/>
      <c r="Q72" s="771"/>
      <c r="R72" s="771"/>
      <c r="S72" s="771"/>
      <c r="T72" s="1063">
        <f t="shared" si="13"/>
        <v>0</v>
      </c>
      <c r="U72" s="1066">
        <v>0</v>
      </c>
      <c r="V72" s="1068">
        <f t="shared" si="14"/>
        <v>0</v>
      </c>
      <c r="W72" s="758"/>
      <c r="X72" s="758"/>
      <c r="Y72" s="758"/>
      <c r="Z72" s="758"/>
      <c r="AA72" s="758"/>
      <c r="AB72" s="758"/>
      <c r="AC72" s="758"/>
      <c r="AD72" s="758"/>
    </row>
    <row r="73" spans="1:30" ht="15.6">
      <c r="A73" s="764" t="s">
        <v>298</v>
      </c>
      <c r="B73" s="771"/>
      <c r="C73" s="771"/>
      <c r="D73" s="771"/>
      <c r="E73" s="771"/>
      <c r="F73" s="771"/>
      <c r="G73" s="1233"/>
      <c r="H73" s="1235"/>
      <c r="I73" s="1235"/>
      <c r="J73" s="1235"/>
      <c r="K73" s="1235"/>
      <c r="L73" s="1235"/>
      <c r="M73" s="1235"/>
      <c r="N73" s="1235"/>
      <c r="O73" s="1235"/>
      <c r="P73" s="1235"/>
      <c r="Q73" s="1235"/>
      <c r="R73" s="1235"/>
      <c r="S73" s="1232"/>
      <c r="T73" s="1063">
        <f t="shared" si="13"/>
        <v>0</v>
      </c>
      <c r="U73" s="1066">
        <v>0</v>
      </c>
      <c r="V73" s="1068">
        <f t="shared" si="14"/>
        <v>0</v>
      </c>
      <c r="W73" s="758"/>
      <c r="X73" s="758"/>
      <c r="Y73" s="758"/>
      <c r="Z73" s="758"/>
      <c r="AA73" s="758"/>
      <c r="AB73" s="758"/>
      <c r="AC73" s="758"/>
      <c r="AD73" s="758"/>
    </row>
    <row r="74" spans="1:30" ht="15.6">
      <c r="A74" s="764" t="s">
        <v>298</v>
      </c>
      <c r="B74" s="771"/>
      <c r="C74" s="771"/>
      <c r="D74" s="771"/>
      <c r="E74" s="771"/>
      <c r="F74" s="771"/>
      <c r="G74" s="771"/>
      <c r="H74" s="1248"/>
      <c r="I74" s="1248"/>
      <c r="J74" s="1248"/>
      <c r="K74" s="1248"/>
      <c r="L74" s="1248"/>
      <c r="M74" s="1248"/>
      <c r="N74" s="1248"/>
      <c r="O74" s="1248"/>
      <c r="P74" s="1248"/>
      <c r="Q74" s="1248"/>
      <c r="R74" s="1248"/>
      <c r="S74" s="771"/>
      <c r="T74" s="1063">
        <f t="shared" si="13"/>
        <v>0</v>
      </c>
      <c r="U74" s="1066">
        <v>0</v>
      </c>
      <c r="V74" s="1068">
        <f t="shared" si="14"/>
        <v>0</v>
      </c>
      <c r="W74" s="758"/>
      <c r="X74" s="758"/>
      <c r="Y74" s="758"/>
      <c r="Z74" s="758"/>
      <c r="AA74" s="758"/>
      <c r="AB74" s="758"/>
      <c r="AC74" s="758"/>
      <c r="AD74" s="758"/>
    </row>
    <row r="75" spans="1:30" ht="15.6">
      <c r="A75" s="764" t="s">
        <v>298</v>
      </c>
      <c r="B75" s="771"/>
      <c r="C75" s="771"/>
      <c r="D75" s="771"/>
      <c r="E75" s="771"/>
      <c r="F75" s="771"/>
      <c r="G75" s="771"/>
      <c r="H75" s="771"/>
      <c r="I75" s="771"/>
      <c r="J75" s="771"/>
      <c r="K75" s="771"/>
      <c r="L75" s="771"/>
      <c r="M75" s="771"/>
      <c r="N75" s="771"/>
      <c r="O75" s="771"/>
      <c r="P75" s="771"/>
      <c r="Q75" s="771"/>
      <c r="R75" s="771"/>
      <c r="S75" s="771"/>
      <c r="T75" s="1063">
        <f t="shared" si="13"/>
        <v>0</v>
      </c>
      <c r="U75" s="1066">
        <v>0</v>
      </c>
      <c r="V75" s="1068">
        <f t="shared" si="14"/>
        <v>0</v>
      </c>
      <c r="W75" s="758"/>
      <c r="X75" s="758"/>
      <c r="Y75" s="758"/>
      <c r="Z75" s="758"/>
      <c r="AA75" s="758"/>
      <c r="AB75" s="758"/>
      <c r="AC75" s="758"/>
      <c r="AD75" s="758"/>
    </row>
    <row r="76" spans="1:30" ht="15.6">
      <c r="A76" s="764" t="s">
        <v>298</v>
      </c>
      <c r="B76" s="771"/>
      <c r="C76" s="771"/>
      <c r="D76" s="771"/>
      <c r="E76" s="771"/>
      <c r="F76" s="771"/>
      <c r="G76" s="771"/>
      <c r="H76" s="771"/>
      <c r="I76" s="771"/>
      <c r="J76" s="771"/>
      <c r="K76" s="771"/>
      <c r="L76" s="771"/>
      <c r="M76" s="771"/>
      <c r="N76" s="771"/>
      <c r="O76" s="771"/>
      <c r="P76" s="771"/>
      <c r="Q76" s="771"/>
      <c r="R76" s="771"/>
      <c r="S76" s="771"/>
      <c r="T76" s="1063">
        <f t="shared" si="13"/>
        <v>0</v>
      </c>
      <c r="U76" s="1066">
        <v>0</v>
      </c>
      <c r="V76" s="1068">
        <f t="shared" si="14"/>
        <v>0</v>
      </c>
      <c r="W76" s="758"/>
      <c r="X76" s="758"/>
      <c r="Y76" s="758"/>
      <c r="Z76" s="758"/>
      <c r="AA76" s="758"/>
      <c r="AB76" s="758"/>
      <c r="AC76" s="758"/>
      <c r="AD76" s="758"/>
    </row>
    <row r="77" spans="1:30" ht="15.6">
      <c r="A77" s="764" t="s">
        <v>298</v>
      </c>
      <c r="B77" s="771"/>
      <c r="C77" s="771"/>
      <c r="D77" s="771"/>
      <c r="E77" s="771"/>
      <c r="F77" s="771"/>
      <c r="G77" s="771"/>
      <c r="H77" s="771"/>
      <c r="I77" s="771"/>
      <c r="J77" s="771"/>
      <c r="K77" s="771"/>
      <c r="L77" s="771"/>
      <c r="M77" s="771"/>
      <c r="N77" s="771"/>
      <c r="O77" s="771"/>
      <c r="P77" s="771"/>
      <c r="Q77" s="771"/>
      <c r="R77" s="771"/>
      <c r="S77" s="771"/>
      <c r="T77" s="1063">
        <f t="shared" si="13"/>
        <v>0</v>
      </c>
      <c r="U77" s="1066">
        <v>0</v>
      </c>
      <c r="V77" s="1068">
        <f t="shared" si="14"/>
        <v>0</v>
      </c>
      <c r="W77" s="758"/>
      <c r="X77" s="758"/>
      <c r="Y77" s="758"/>
      <c r="Z77" s="758"/>
      <c r="AA77" s="758"/>
      <c r="AB77" s="758"/>
      <c r="AC77" s="758"/>
      <c r="AD77" s="758"/>
    </row>
    <row r="78" spans="1:30" ht="15.6">
      <c r="A78" s="764" t="s">
        <v>298</v>
      </c>
      <c r="B78" s="771"/>
      <c r="C78" s="771"/>
      <c r="D78" s="771"/>
      <c r="E78" s="771"/>
      <c r="F78" s="771"/>
      <c r="G78" s="771"/>
      <c r="H78" s="771"/>
      <c r="I78" s="771"/>
      <c r="J78" s="771"/>
      <c r="K78" s="771"/>
      <c r="L78" s="771"/>
      <c r="M78" s="771"/>
      <c r="N78" s="771"/>
      <c r="O78" s="771"/>
      <c r="P78" s="771"/>
      <c r="Q78" s="771"/>
      <c r="R78" s="771"/>
      <c r="S78" s="771"/>
      <c r="T78" s="1063">
        <f t="shared" si="13"/>
        <v>0</v>
      </c>
      <c r="U78" s="1066">
        <v>0</v>
      </c>
      <c r="V78" s="1068">
        <f t="shared" si="14"/>
        <v>0</v>
      </c>
      <c r="W78" s="758"/>
      <c r="X78" s="758"/>
      <c r="Y78" s="758"/>
      <c r="Z78" s="758"/>
      <c r="AA78" s="758"/>
      <c r="AB78" s="758"/>
      <c r="AC78" s="758"/>
      <c r="AD78" s="758"/>
    </row>
    <row r="79" spans="1:30" ht="15.6">
      <c r="A79" s="764" t="s">
        <v>298</v>
      </c>
      <c r="B79" s="771"/>
      <c r="C79" s="771"/>
      <c r="D79" s="771"/>
      <c r="E79" s="771"/>
      <c r="F79" s="771"/>
      <c r="G79" s="771"/>
      <c r="H79" s="771"/>
      <c r="I79" s="771"/>
      <c r="J79" s="771"/>
      <c r="K79" s="771"/>
      <c r="L79" s="771"/>
      <c r="M79" s="771"/>
      <c r="N79" s="771"/>
      <c r="O79" s="771"/>
      <c r="P79" s="771"/>
      <c r="Q79" s="771"/>
      <c r="R79" s="771"/>
      <c r="S79" s="771"/>
      <c r="T79" s="1063">
        <f t="shared" si="13"/>
        <v>0</v>
      </c>
      <c r="U79" s="1066">
        <v>0</v>
      </c>
      <c r="V79" s="1068">
        <f t="shared" si="14"/>
        <v>0</v>
      </c>
      <c r="W79" s="758"/>
      <c r="X79" s="758"/>
      <c r="Y79" s="758"/>
      <c r="Z79" s="758"/>
      <c r="AA79" s="758"/>
      <c r="AB79" s="758"/>
      <c r="AC79" s="758"/>
      <c r="AD79" s="758"/>
    </row>
    <row r="80" spans="1:30" ht="15.6">
      <c r="A80" s="774" t="s">
        <v>1077</v>
      </c>
      <c r="B80" s="776"/>
      <c r="C80" s="776"/>
      <c r="D80" s="776"/>
      <c r="E80" s="776"/>
      <c r="F80" s="776"/>
      <c r="G80" s="776"/>
      <c r="H80" s="776"/>
      <c r="I80" s="776"/>
      <c r="J80" s="776"/>
      <c r="K80" s="776"/>
      <c r="L80" s="776"/>
      <c r="M80" s="776"/>
      <c r="N80" s="776"/>
      <c r="O80" s="776"/>
      <c r="P80" s="776"/>
      <c r="Q80" s="776"/>
      <c r="R80" s="776"/>
      <c r="S80" s="776"/>
      <c r="T80" s="1064">
        <f t="shared" si="13"/>
        <v>0</v>
      </c>
      <c r="U80" s="1067">
        <v>0</v>
      </c>
      <c r="V80" s="1069">
        <f t="shared" si="14"/>
        <v>0</v>
      </c>
      <c r="W80" s="758"/>
      <c r="X80" s="758"/>
      <c r="Y80" s="758"/>
      <c r="Z80" s="758"/>
      <c r="AA80" s="758"/>
      <c r="AB80" s="758"/>
      <c r="AC80" s="758"/>
      <c r="AD80" s="758"/>
    </row>
    <row r="81" spans="1:30" ht="15.6">
      <c r="A81" s="779">
        <v>8</v>
      </c>
      <c r="B81" s="739" t="s">
        <v>1078</v>
      </c>
      <c r="C81" s="767"/>
      <c r="D81" s="767"/>
      <c r="E81" s="767"/>
      <c r="F81" s="767"/>
      <c r="G81" s="767"/>
      <c r="H81" s="767"/>
      <c r="I81" s="767"/>
      <c r="J81" s="767"/>
      <c r="K81" s="767"/>
      <c r="L81" s="767"/>
      <c r="M81" s="767"/>
      <c r="N81" s="767"/>
      <c r="O81" s="767"/>
      <c r="P81" s="767"/>
      <c r="Q81" s="767"/>
      <c r="R81" s="767"/>
      <c r="S81" s="767"/>
      <c r="T81" s="767" t="s">
        <v>1079</v>
      </c>
      <c r="U81" s="767"/>
      <c r="V81" s="991">
        <f>SUM(V70:V80)</f>
        <v>173859424.84615386</v>
      </c>
      <c r="W81" s="758"/>
      <c r="X81" s="758"/>
      <c r="Y81" s="758"/>
      <c r="Z81" s="758"/>
      <c r="AA81" s="758"/>
      <c r="AB81" s="758"/>
      <c r="AC81" s="758"/>
      <c r="AD81" s="758"/>
    </row>
    <row r="82" spans="1:30" ht="15.6">
      <c r="A82" s="759"/>
      <c r="B82" s="759"/>
      <c r="C82" s="759"/>
      <c r="D82" s="759"/>
      <c r="E82" s="759"/>
      <c r="F82" s="759"/>
      <c r="G82" s="994"/>
      <c r="H82" s="994"/>
      <c r="I82" s="994"/>
      <c r="J82" s="994"/>
      <c r="K82" s="994"/>
      <c r="L82" s="994"/>
      <c r="M82" s="994"/>
      <c r="N82" s="994"/>
      <c r="O82" s="994"/>
      <c r="P82" s="994"/>
      <c r="Q82" s="1257"/>
      <c r="R82" s="1257"/>
      <c r="S82" s="994"/>
      <c r="T82" s="759"/>
      <c r="U82" s="759"/>
      <c r="V82" s="759"/>
      <c r="W82" s="758"/>
      <c r="X82" s="758"/>
      <c r="Y82" s="758"/>
      <c r="Z82" s="758"/>
      <c r="AA82" s="758"/>
      <c r="AB82" s="758"/>
      <c r="AC82" s="758"/>
      <c r="AD82" s="758"/>
    </row>
    <row r="83" spans="1:30" ht="15.6">
      <c r="A83" s="759" t="s">
        <v>1080</v>
      </c>
      <c r="B83" s="759"/>
      <c r="C83" s="759"/>
      <c r="D83" s="759"/>
      <c r="E83" s="759"/>
      <c r="F83" s="759"/>
      <c r="G83" s="757"/>
      <c r="H83" s="757"/>
      <c r="I83" s="757"/>
      <c r="J83" s="757"/>
      <c r="K83" s="757"/>
      <c r="L83" s="757"/>
      <c r="M83" s="757"/>
      <c r="N83" s="757"/>
      <c r="O83" s="757"/>
      <c r="P83" s="757"/>
      <c r="Q83" s="1258"/>
      <c r="R83" s="1258"/>
      <c r="S83" s="757"/>
      <c r="T83" s="759"/>
      <c r="U83" s="759"/>
      <c r="V83" s="759"/>
      <c r="W83" s="758"/>
      <c r="X83" s="758"/>
      <c r="Y83" s="758"/>
      <c r="Z83" s="758"/>
      <c r="AA83" s="758"/>
      <c r="AB83" s="758"/>
      <c r="AC83" s="758"/>
      <c r="AD83" s="758"/>
    </row>
    <row r="84" spans="1:30" ht="15.6">
      <c r="A84" s="759"/>
      <c r="B84" s="759"/>
      <c r="C84" s="759"/>
      <c r="D84" s="759"/>
      <c r="E84" s="759"/>
      <c r="F84" s="759"/>
      <c r="G84" s="759"/>
      <c r="H84" s="759"/>
      <c r="I84" s="759"/>
      <c r="J84" s="757"/>
      <c r="K84" s="757"/>
      <c r="L84" s="757"/>
      <c r="M84" s="757"/>
      <c r="N84" s="757"/>
      <c r="O84" s="757"/>
      <c r="P84" s="757"/>
      <c r="Q84" s="757"/>
      <c r="R84" s="757"/>
      <c r="S84" s="757"/>
      <c r="T84" s="759"/>
      <c r="U84" s="759"/>
      <c r="V84" s="759"/>
      <c r="W84" s="758"/>
      <c r="X84" s="758"/>
      <c r="Y84" s="758"/>
      <c r="Z84" s="758"/>
      <c r="AA84" s="758"/>
      <c r="AB84" s="758"/>
      <c r="AC84" s="758"/>
      <c r="AD84" s="758"/>
    </row>
    <row r="85" spans="1:30" ht="15.6">
      <c r="A85" s="756"/>
      <c r="B85" s="780"/>
      <c r="C85" s="780"/>
      <c r="D85" s="781"/>
      <c r="E85" s="781"/>
      <c r="F85" s="781"/>
      <c r="G85" s="780"/>
      <c r="H85" s="780"/>
      <c r="I85" s="781"/>
      <c r="J85" s="781"/>
      <c r="K85" s="1234"/>
      <c r="L85" s="1234"/>
      <c r="M85" s="1234"/>
      <c r="N85" s="1234"/>
      <c r="O85" s="1234"/>
      <c r="P85" s="1234"/>
      <c r="Q85" s="1234"/>
      <c r="R85" s="1234"/>
      <c r="S85" s="1234"/>
      <c r="T85" s="758"/>
      <c r="U85" s="758"/>
      <c r="V85" s="758"/>
      <c r="W85" s="758"/>
      <c r="X85" s="758"/>
      <c r="Y85" s="758"/>
      <c r="Z85" s="758"/>
      <c r="AA85" s="758"/>
      <c r="AB85" s="758"/>
      <c r="AC85" s="758"/>
      <c r="AD85" s="758"/>
    </row>
    <row r="86" spans="1:30" ht="15.6">
      <c r="A86" s="756"/>
      <c r="B86" s="780"/>
      <c r="C86" s="780"/>
      <c r="D86" s="780"/>
      <c r="E86" s="780"/>
      <c r="F86" s="780"/>
      <c r="G86" s="780"/>
      <c r="H86" s="780"/>
      <c r="I86" s="780"/>
      <c r="J86" s="780"/>
      <c r="K86" s="780"/>
      <c r="L86" s="780"/>
      <c r="M86" s="780"/>
      <c r="N86" s="758"/>
      <c r="O86" s="758"/>
      <c r="P86" s="758"/>
      <c r="Q86" s="758"/>
      <c r="R86" s="758"/>
      <c r="S86" s="758"/>
      <c r="T86" s="758"/>
      <c r="U86" s="758"/>
      <c r="V86" s="758"/>
      <c r="W86" s="758"/>
      <c r="X86" s="758"/>
      <c r="Y86" s="758"/>
      <c r="Z86" s="758"/>
      <c r="AA86" s="758"/>
      <c r="AB86" s="758"/>
      <c r="AC86" s="758"/>
      <c r="AD86" s="758"/>
    </row>
    <row r="87" spans="1:30" ht="15.6">
      <c r="A87" s="1012" t="s">
        <v>1081</v>
      </c>
      <c r="B87" s="1012"/>
      <c r="C87" s="1012"/>
      <c r="D87" s="780"/>
      <c r="E87" s="780"/>
      <c r="F87" s="780"/>
      <c r="G87" s="780"/>
      <c r="H87" s="780"/>
      <c r="I87" s="780"/>
      <c r="J87" s="780"/>
      <c r="K87" s="780"/>
      <c r="L87" s="780"/>
      <c r="M87" s="780"/>
      <c r="N87" s="758"/>
      <c r="O87" s="758"/>
      <c r="P87" s="758"/>
      <c r="Q87" s="1259"/>
      <c r="R87" s="1259"/>
      <c r="S87" s="1259"/>
      <c r="T87" s="758"/>
      <c r="U87" s="758"/>
      <c r="V87" s="758"/>
      <c r="W87" s="758"/>
      <c r="X87" s="758"/>
      <c r="Y87" s="758"/>
      <c r="Z87" s="758"/>
      <c r="AA87" s="758"/>
      <c r="AB87" s="758"/>
      <c r="AC87" s="758"/>
      <c r="AD87" s="758"/>
    </row>
    <row r="88" spans="1:30" ht="15.6">
      <c r="A88" s="756"/>
      <c r="B88" s="780" t="s">
        <v>1082</v>
      </c>
      <c r="C88" s="780"/>
      <c r="D88" s="780"/>
      <c r="E88" s="780"/>
      <c r="F88" s="780"/>
      <c r="G88" s="780"/>
      <c r="H88" s="780"/>
      <c r="I88" s="780"/>
      <c r="J88" s="780"/>
      <c r="K88" s="780"/>
      <c r="L88" s="780"/>
      <c r="M88" s="780"/>
      <c r="N88" s="758"/>
      <c r="O88" s="758"/>
      <c r="P88" s="758"/>
      <c r="Q88" s="1259"/>
      <c r="R88" s="758"/>
      <c r="S88" s="758"/>
      <c r="T88" s="758"/>
      <c r="U88" s="758"/>
      <c r="V88" s="758"/>
      <c r="W88" s="758"/>
      <c r="X88" s="758"/>
      <c r="Y88" s="758"/>
      <c r="Z88" s="758"/>
      <c r="AA88" s="758"/>
      <c r="AB88" s="758"/>
      <c r="AC88" s="758"/>
      <c r="AD88" s="758"/>
    </row>
    <row r="89" spans="1:30" ht="15.6">
      <c r="A89" s="756"/>
      <c r="B89" s="780"/>
      <c r="C89" s="780"/>
      <c r="D89" s="780"/>
      <c r="E89" s="780"/>
      <c r="F89" s="780"/>
      <c r="G89" s="780"/>
      <c r="H89" s="780"/>
      <c r="I89" s="780"/>
      <c r="J89" s="780"/>
      <c r="K89" s="780"/>
      <c r="L89" s="780"/>
      <c r="M89" s="780"/>
      <c r="N89" s="758"/>
      <c r="O89" s="758"/>
      <c r="P89" s="758"/>
      <c r="Q89" s="758"/>
      <c r="R89" s="758"/>
      <c r="S89" s="758"/>
      <c r="T89" s="758"/>
      <c r="U89" s="758"/>
      <c r="V89" s="758"/>
      <c r="W89" s="758"/>
      <c r="X89" s="758"/>
      <c r="Y89" s="758"/>
      <c r="Z89" s="758"/>
      <c r="AA89" s="758"/>
      <c r="AB89" s="758"/>
      <c r="AC89" s="758"/>
      <c r="AD89" s="758"/>
    </row>
    <row r="90" spans="1:30" ht="15.6">
      <c r="A90" s="740"/>
      <c r="B90" s="741" t="s">
        <v>669</v>
      </c>
      <c r="C90" s="742">
        <v>350</v>
      </c>
      <c r="D90" s="742">
        <v>352</v>
      </c>
      <c r="E90" s="742">
        <v>352</v>
      </c>
      <c r="F90" s="742">
        <v>353</v>
      </c>
      <c r="G90" s="742">
        <v>354</v>
      </c>
      <c r="H90" s="742">
        <v>355</v>
      </c>
      <c r="I90" s="742">
        <v>356</v>
      </c>
      <c r="J90" s="742">
        <v>357</v>
      </c>
      <c r="K90" s="742">
        <v>358</v>
      </c>
      <c r="L90" s="742">
        <v>359</v>
      </c>
      <c r="M90" s="743"/>
      <c r="N90" s="758"/>
      <c r="O90" s="758"/>
      <c r="P90" s="758"/>
      <c r="Q90" s="758"/>
      <c r="R90" s="758"/>
      <c r="S90" s="758"/>
      <c r="T90" s="758"/>
      <c r="U90" s="758"/>
      <c r="V90" s="758"/>
      <c r="W90" s="758"/>
      <c r="X90" s="758"/>
      <c r="Y90" s="758"/>
      <c r="Z90" s="758"/>
      <c r="AA90" s="758"/>
      <c r="AB90" s="758"/>
      <c r="AC90" s="758"/>
      <c r="AD90" s="758"/>
    </row>
    <row r="91" spans="1:30" ht="58.5" customHeight="1">
      <c r="A91" s="744"/>
      <c r="B91" s="745"/>
      <c r="C91" s="746" t="s">
        <v>1083</v>
      </c>
      <c r="D91" s="746" t="s">
        <v>1084</v>
      </c>
      <c r="E91" s="746" t="s">
        <v>1085</v>
      </c>
      <c r="F91" s="746" t="s">
        <v>1086</v>
      </c>
      <c r="G91" s="746" t="s">
        <v>1087</v>
      </c>
      <c r="H91" s="746" t="s">
        <v>1088</v>
      </c>
      <c r="I91" s="746" t="s">
        <v>1089</v>
      </c>
      <c r="J91" s="746" t="s">
        <v>1090</v>
      </c>
      <c r="K91" s="746" t="s">
        <v>1091</v>
      </c>
      <c r="L91" s="746" t="s">
        <v>1092</v>
      </c>
      <c r="M91" s="747" t="s">
        <v>43</v>
      </c>
      <c r="N91" s="758"/>
      <c r="O91" s="758"/>
      <c r="P91" s="758"/>
      <c r="Q91" s="758"/>
      <c r="R91" s="758"/>
      <c r="S91" s="758"/>
      <c r="T91" s="758"/>
      <c r="U91" s="758"/>
      <c r="V91" s="758"/>
      <c r="W91" s="758"/>
      <c r="X91" s="758"/>
      <c r="Y91" s="758"/>
      <c r="Z91" s="758"/>
      <c r="AA91" s="758"/>
      <c r="AB91" s="758"/>
      <c r="AC91" s="758"/>
      <c r="AD91" s="758"/>
    </row>
    <row r="92" spans="1:30" ht="30" customHeight="1">
      <c r="A92" s="807" t="s">
        <v>307</v>
      </c>
      <c r="B92" s="1133"/>
      <c r="C92" s="748"/>
      <c r="D92" s="748"/>
      <c r="E92" s="748"/>
      <c r="F92" s="748"/>
      <c r="G92" s="748"/>
      <c r="H92" s="748"/>
      <c r="I92" s="748"/>
      <c r="J92" s="748"/>
      <c r="K92" s="748"/>
      <c r="L92" s="748"/>
      <c r="M92" s="749">
        <f t="shared" ref="M92:M108" si="15">SUM(C92:L92)</f>
        <v>0</v>
      </c>
      <c r="N92" s="758"/>
      <c r="O92" s="758"/>
      <c r="P92" s="758"/>
      <c r="Q92" s="758"/>
      <c r="R92" s="758"/>
      <c r="S92" s="758"/>
      <c r="T92" s="758"/>
      <c r="U92" s="758"/>
      <c r="V92" s="758"/>
      <c r="W92" s="758"/>
      <c r="X92" s="758"/>
      <c r="Y92" s="758"/>
      <c r="Z92" s="758"/>
      <c r="AA92" s="758"/>
      <c r="AB92" s="758"/>
      <c r="AC92" s="758"/>
      <c r="AD92" s="758"/>
    </row>
    <row r="93" spans="1:30" ht="15.6">
      <c r="A93" s="808" t="s">
        <v>309</v>
      </c>
      <c r="B93" s="750"/>
      <c r="C93" s="751"/>
      <c r="D93" s="751"/>
      <c r="E93" s="751"/>
      <c r="F93" s="751"/>
      <c r="G93" s="751"/>
      <c r="H93" s="751"/>
      <c r="I93" s="751"/>
      <c r="J93" s="751"/>
      <c r="K93" s="751"/>
      <c r="L93" s="751"/>
      <c r="M93" s="752">
        <f t="shared" si="15"/>
        <v>0</v>
      </c>
      <c r="N93" s="758"/>
      <c r="O93" s="758"/>
      <c r="P93" s="758"/>
      <c r="Q93" s="758"/>
      <c r="R93" s="758"/>
      <c r="S93" s="758"/>
      <c r="T93" s="758"/>
      <c r="U93" s="758"/>
      <c r="V93" s="758"/>
      <c r="W93" s="758"/>
      <c r="X93" s="758"/>
      <c r="Y93" s="758"/>
      <c r="Z93" s="758"/>
      <c r="AA93" s="758"/>
      <c r="AB93" s="758"/>
      <c r="AC93" s="758"/>
      <c r="AD93" s="758"/>
    </row>
    <row r="94" spans="1:30" ht="15.6">
      <c r="A94" s="808" t="s">
        <v>311</v>
      </c>
      <c r="B94" s="750"/>
      <c r="C94" s="751"/>
      <c r="D94" s="751"/>
      <c r="E94" s="751"/>
      <c r="F94" s="751"/>
      <c r="G94" s="751"/>
      <c r="H94" s="751"/>
      <c r="I94" s="751"/>
      <c r="J94" s="751"/>
      <c r="K94" s="751"/>
      <c r="L94" s="751"/>
      <c r="M94" s="752">
        <f t="shared" si="15"/>
        <v>0</v>
      </c>
      <c r="N94" s="758"/>
      <c r="O94" s="758"/>
      <c r="P94" s="758"/>
      <c r="Q94" s="758"/>
      <c r="R94" s="758"/>
      <c r="S94" s="758"/>
      <c r="T94" s="758"/>
      <c r="U94" s="758"/>
      <c r="V94" s="758"/>
      <c r="W94" s="758"/>
      <c r="X94" s="758"/>
      <c r="Y94" s="758"/>
      <c r="Z94" s="758"/>
      <c r="AA94" s="758"/>
      <c r="AB94" s="758"/>
      <c r="AC94" s="758"/>
      <c r="AD94" s="758"/>
    </row>
    <row r="95" spans="1:30" ht="15.6">
      <c r="A95" s="808" t="s">
        <v>298</v>
      </c>
      <c r="B95" s="750"/>
      <c r="C95" s="751"/>
      <c r="D95" s="751"/>
      <c r="E95" s="751"/>
      <c r="F95" s="751"/>
      <c r="G95" s="751"/>
      <c r="H95" s="751"/>
      <c r="I95" s="751"/>
      <c r="J95" s="751"/>
      <c r="K95" s="751"/>
      <c r="L95" s="751"/>
      <c r="M95" s="752">
        <f t="shared" si="15"/>
        <v>0</v>
      </c>
      <c r="N95" s="758"/>
      <c r="O95" s="758"/>
      <c r="P95" s="758"/>
      <c r="Q95" s="758"/>
      <c r="R95" s="758"/>
      <c r="S95" s="758"/>
      <c r="T95" s="758"/>
      <c r="U95" s="758"/>
      <c r="V95" s="758"/>
      <c r="W95" s="758"/>
      <c r="X95" s="758"/>
      <c r="Y95" s="758"/>
      <c r="Z95" s="758"/>
      <c r="AA95" s="758"/>
      <c r="AB95" s="758"/>
      <c r="AC95" s="758"/>
      <c r="AD95" s="758"/>
    </row>
    <row r="96" spans="1:30" ht="15.6">
      <c r="A96" s="808" t="s">
        <v>298</v>
      </c>
      <c r="B96" s="750"/>
      <c r="C96" s="751"/>
      <c r="D96" s="751"/>
      <c r="E96" s="751"/>
      <c r="F96" s="751"/>
      <c r="G96" s="751"/>
      <c r="H96" s="751"/>
      <c r="I96" s="751"/>
      <c r="J96" s="751"/>
      <c r="K96" s="751"/>
      <c r="L96" s="751"/>
      <c r="M96" s="752">
        <f t="shared" si="15"/>
        <v>0</v>
      </c>
      <c r="N96" s="758"/>
      <c r="O96" s="758"/>
      <c r="P96" s="758"/>
      <c r="Q96" s="758"/>
      <c r="R96" s="758"/>
      <c r="S96" s="758"/>
      <c r="T96" s="758"/>
      <c r="U96" s="758"/>
      <c r="V96" s="758"/>
      <c r="W96" s="758"/>
      <c r="X96" s="758"/>
      <c r="Y96" s="758"/>
      <c r="Z96" s="758"/>
      <c r="AA96" s="758"/>
      <c r="AB96" s="758"/>
      <c r="AC96" s="758"/>
      <c r="AD96" s="758"/>
    </row>
    <row r="97" spans="1:30" ht="15.6">
      <c r="A97" s="808" t="s">
        <v>298</v>
      </c>
      <c r="B97" s="750"/>
      <c r="C97" s="751"/>
      <c r="D97" s="751"/>
      <c r="E97" s="751"/>
      <c r="F97" s="751"/>
      <c r="G97" s="751"/>
      <c r="H97" s="751"/>
      <c r="I97" s="751"/>
      <c r="J97" s="751"/>
      <c r="K97" s="751"/>
      <c r="L97" s="751"/>
      <c r="M97" s="752">
        <f t="shared" si="15"/>
        <v>0</v>
      </c>
      <c r="N97" s="758"/>
      <c r="O97" s="758"/>
      <c r="P97" s="758"/>
      <c r="Q97" s="758"/>
      <c r="R97" s="758"/>
      <c r="S97" s="758"/>
      <c r="T97" s="758"/>
      <c r="U97" s="758"/>
      <c r="V97" s="758"/>
      <c r="W97" s="758"/>
      <c r="X97" s="758"/>
      <c r="Y97" s="758"/>
      <c r="Z97" s="758"/>
      <c r="AA97" s="758"/>
      <c r="AB97" s="758"/>
      <c r="AC97" s="758"/>
      <c r="AD97" s="758"/>
    </row>
    <row r="98" spans="1:30" ht="15.6">
      <c r="A98" s="808" t="s">
        <v>298</v>
      </c>
      <c r="B98" s="750"/>
      <c r="C98" s="751"/>
      <c r="D98" s="751"/>
      <c r="E98" s="751"/>
      <c r="F98" s="751"/>
      <c r="G98" s="751"/>
      <c r="H98" s="751"/>
      <c r="I98" s="751"/>
      <c r="J98" s="751"/>
      <c r="K98" s="751"/>
      <c r="L98" s="751"/>
      <c r="M98" s="752">
        <f t="shared" si="15"/>
        <v>0</v>
      </c>
      <c r="N98" s="758"/>
      <c r="O98" s="758"/>
      <c r="P98" s="758"/>
      <c r="Q98" s="758"/>
      <c r="R98" s="758"/>
      <c r="S98" s="758"/>
      <c r="T98" s="758"/>
      <c r="U98" s="758"/>
      <c r="V98" s="758"/>
      <c r="W98" s="758"/>
      <c r="X98" s="758"/>
      <c r="Y98" s="758"/>
      <c r="Z98" s="758"/>
      <c r="AA98" s="758"/>
      <c r="AB98" s="758"/>
      <c r="AC98" s="758"/>
      <c r="AD98" s="758"/>
    </row>
    <row r="99" spans="1:30" ht="15.6">
      <c r="A99" s="808" t="s">
        <v>298</v>
      </c>
      <c r="B99" s="750"/>
      <c r="C99" s="751"/>
      <c r="D99" s="751"/>
      <c r="E99" s="751"/>
      <c r="F99" s="751"/>
      <c r="G99" s="751"/>
      <c r="H99" s="751"/>
      <c r="I99" s="751"/>
      <c r="J99" s="751"/>
      <c r="K99" s="751"/>
      <c r="L99" s="751"/>
      <c r="M99" s="752">
        <f t="shared" si="15"/>
        <v>0</v>
      </c>
      <c r="N99" s="758"/>
      <c r="O99" s="758"/>
      <c r="P99" s="758"/>
      <c r="Q99" s="758"/>
      <c r="R99" s="758"/>
      <c r="S99" s="758"/>
      <c r="T99" s="758"/>
      <c r="U99" s="758"/>
      <c r="V99" s="758"/>
      <c r="W99" s="758"/>
      <c r="X99" s="758"/>
      <c r="Y99" s="758"/>
      <c r="Z99" s="758"/>
      <c r="AA99" s="758"/>
      <c r="AB99" s="758"/>
      <c r="AC99" s="758"/>
      <c r="AD99" s="758"/>
    </row>
    <row r="100" spans="1:30" ht="15.6">
      <c r="A100" s="808" t="s">
        <v>298</v>
      </c>
      <c r="B100" s="750"/>
      <c r="C100" s="751"/>
      <c r="D100" s="751"/>
      <c r="E100" s="751"/>
      <c r="F100" s="751"/>
      <c r="G100" s="751"/>
      <c r="H100" s="751"/>
      <c r="I100" s="751"/>
      <c r="J100" s="751"/>
      <c r="K100" s="751"/>
      <c r="L100" s="751"/>
      <c r="M100" s="752">
        <f t="shared" si="15"/>
        <v>0</v>
      </c>
      <c r="N100" s="758"/>
      <c r="O100" s="758"/>
      <c r="P100" s="758"/>
      <c r="Q100" s="758"/>
      <c r="R100" s="758"/>
      <c r="S100" s="758"/>
      <c r="T100" s="758"/>
      <c r="U100" s="758"/>
      <c r="V100" s="758"/>
      <c r="W100" s="758"/>
      <c r="X100" s="758"/>
      <c r="Y100" s="758"/>
      <c r="Z100" s="758"/>
      <c r="AA100" s="758"/>
      <c r="AB100" s="758"/>
      <c r="AC100" s="758"/>
      <c r="AD100" s="758"/>
    </row>
    <row r="101" spans="1:30" ht="15.6">
      <c r="A101" s="808" t="s">
        <v>298</v>
      </c>
      <c r="B101" s="750"/>
      <c r="C101" s="751"/>
      <c r="D101" s="751"/>
      <c r="E101" s="751"/>
      <c r="F101" s="751"/>
      <c r="G101" s="751"/>
      <c r="H101" s="751"/>
      <c r="I101" s="751"/>
      <c r="J101" s="751"/>
      <c r="K101" s="751"/>
      <c r="L101" s="751"/>
      <c r="M101" s="752">
        <f>SUM(C101:L101)</f>
        <v>0</v>
      </c>
      <c r="N101" s="758"/>
      <c r="O101" s="758"/>
      <c r="P101" s="758"/>
      <c r="Q101" s="758"/>
      <c r="R101" s="758"/>
      <c r="S101" s="758"/>
      <c r="T101" s="758"/>
      <c r="U101" s="758"/>
      <c r="V101" s="758"/>
      <c r="W101" s="758"/>
      <c r="X101" s="758"/>
      <c r="Y101" s="758"/>
      <c r="Z101" s="758"/>
      <c r="AA101" s="758"/>
      <c r="AB101" s="758"/>
      <c r="AC101" s="758"/>
      <c r="AD101" s="758"/>
    </row>
    <row r="102" spans="1:30" ht="15.6">
      <c r="A102" s="808" t="s">
        <v>298</v>
      </c>
      <c r="B102" s="750"/>
      <c r="C102" s="751"/>
      <c r="D102" s="751"/>
      <c r="E102" s="751"/>
      <c r="F102" s="751"/>
      <c r="G102" s="751"/>
      <c r="H102" s="751"/>
      <c r="I102" s="751"/>
      <c r="J102" s="751"/>
      <c r="K102" s="751"/>
      <c r="L102" s="751"/>
      <c r="M102" s="752">
        <f t="shared" si="15"/>
        <v>0</v>
      </c>
      <c r="N102" s="758"/>
      <c r="O102" s="758"/>
      <c r="P102" s="758"/>
      <c r="Q102" s="758"/>
      <c r="R102" s="758"/>
      <c r="S102" s="758"/>
      <c r="T102" s="758"/>
      <c r="U102" s="758"/>
      <c r="V102" s="758"/>
      <c r="W102" s="758"/>
      <c r="X102" s="758"/>
      <c r="Y102" s="758"/>
      <c r="Z102" s="758"/>
      <c r="AA102" s="758"/>
      <c r="AB102" s="758"/>
      <c r="AC102" s="758"/>
      <c r="AD102" s="758"/>
    </row>
    <row r="103" spans="1:30" ht="15.6">
      <c r="A103" s="808" t="s">
        <v>298</v>
      </c>
      <c r="B103" s="750"/>
      <c r="C103" s="751"/>
      <c r="D103" s="751"/>
      <c r="E103" s="751"/>
      <c r="F103" s="751"/>
      <c r="G103" s="751"/>
      <c r="H103" s="751"/>
      <c r="I103" s="751"/>
      <c r="J103" s="751"/>
      <c r="K103" s="751"/>
      <c r="L103" s="751"/>
      <c r="M103" s="752">
        <f t="shared" si="15"/>
        <v>0</v>
      </c>
      <c r="N103" s="758"/>
      <c r="O103" s="758"/>
      <c r="P103" s="758"/>
      <c r="Q103" s="758"/>
      <c r="R103" s="758"/>
      <c r="S103" s="758"/>
      <c r="T103" s="758"/>
      <c r="U103" s="758"/>
      <c r="V103" s="758"/>
      <c r="W103" s="758"/>
      <c r="X103" s="758"/>
      <c r="Y103" s="758"/>
      <c r="Z103" s="758"/>
      <c r="AA103" s="758"/>
      <c r="AB103" s="758"/>
      <c r="AC103" s="758"/>
      <c r="AD103" s="758"/>
    </row>
    <row r="104" spans="1:30" ht="15.6">
      <c r="A104" s="808" t="s">
        <v>298</v>
      </c>
      <c r="B104" s="750"/>
      <c r="C104" s="751"/>
      <c r="D104" s="751"/>
      <c r="E104" s="751"/>
      <c r="F104" s="751"/>
      <c r="G104" s="751"/>
      <c r="H104" s="751"/>
      <c r="I104" s="751"/>
      <c r="J104" s="751"/>
      <c r="K104" s="751"/>
      <c r="L104" s="751"/>
      <c r="M104" s="752">
        <f t="shared" si="15"/>
        <v>0</v>
      </c>
      <c r="N104" s="758"/>
      <c r="O104" s="758"/>
      <c r="P104" s="758"/>
      <c r="Q104" s="758"/>
      <c r="R104" s="758"/>
      <c r="S104" s="758"/>
      <c r="T104" s="758"/>
      <c r="U104" s="758"/>
      <c r="V104" s="758"/>
      <c r="W104" s="758"/>
      <c r="X104" s="758"/>
      <c r="Y104" s="758"/>
      <c r="Z104" s="758"/>
      <c r="AA104" s="758"/>
      <c r="AB104" s="758"/>
      <c r="AC104" s="758"/>
      <c r="AD104" s="758"/>
    </row>
    <row r="105" spans="1:30" ht="15.6">
      <c r="A105" s="808" t="s">
        <v>298</v>
      </c>
      <c r="B105" s="750"/>
      <c r="C105" s="751"/>
      <c r="D105" s="751"/>
      <c r="E105" s="751"/>
      <c r="F105" s="751"/>
      <c r="G105" s="751"/>
      <c r="H105" s="751"/>
      <c r="I105" s="751"/>
      <c r="J105" s="751"/>
      <c r="K105" s="751"/>
      <c r="L105" s="751"/>
      <c r="M105" s="752">
        <f t="shared" si="15"/>
        <v>0</v>
      </c>
      <c r="N105" s="758"/>
      <c r="O105" s="758"/>
      <c r="P105" s="758"/>
      <c r="Q105" s="758"/>
      <c r="R105" s="758"/>
      <c r="S105" s="758"/>
      <c r="T105" s="758"/>
      <c r="U105" s="758"/>
      <c r="V105" s="758"/>
      <c r="W105" s="758"/>
      <c r="X105" s="758"/>
      <c r="Y105" s="758"/>
      <c r="Z105" s="758"/>
      <c r="AA105" s="758"/>
      <c r="AB105" s="758"/>
      <c r="AC105" s="758"/>
      <c r="AD105" s="758"/>
    </row>
    <row r="106" spans="1:30" ht="15.6">
      <c r="A106" s="808" t="s">
        <v>298</v>
      </c>
      <c r="B106" s="750"/>
      <c r="C106" s="751"/>
      <c r="D106" s="751"/>
      <c r="E106" s="751"/>
      <c r="F106" s="751"/>
      <c r="G106" s="751"/>
      <c r="H106" s="751"/>
      <c r="I106" s="751"/>
      <c r="J106" s="751"/>
      <c r="K106" s="751"/>
      <c r="L106" s="751"/>
      <c r="M106" s="752">
        <f t="shared" si="15"/>
        <v>0</v>
      </c>
      <c r="N106" s="758"/>
      <c r="O106" s="758"/>
      <c r="P106" s="758"/>
      <c r="Q106" s="758"/>
      <c r="R106" s="758"/>
      <c r="S106" s="758"/>
      <c r="T106" s="758"/>
      <c r="U106" s="758"/>
      <c r="V106" s="758"/>
      <c r="W106" s="758"/>
      <c r="X106" s="758"/>
      <c r="Y106" s="758"/>
      <c r="Z106" s="758"/>
      <c r="AA106" s="758"/>
      <c r="AB106" s="758"/>
      <c r="AC106" s="758"/>
      <c r="AD106" s="758"/>
    </row>
    <row r="107" spans="1:30" ht="15.6">
      <c r="A107" s="808" t="s">
        <v>298</v>
      </c>
      <c r="B107" s="750"/>
      <c r="C107" s="751"/>
      <c r="D107" s="751"/>
      <c r="E107" s="751"/>
      <c r="F107" s="751"/>
      <c r="G107" s="751"/>
      <c r="H107" s="751"/>
      <c r="I107" s="751"/>
      <c r="J107" s="751"/>
      <c r="K107" s="751"/>
      <c r="L107" s="751"/>
      <c r="M107" s="752">
        <f t="shared" si="15"/>
        <v>0</v>
      </c>
      <c r="N107" s="758"/>
      <c r="O107" s="758"/>
      <c r="P107" s="758"/>
      <c r="Q107" s="758"/>
      <c r="R107" s="758"/>
      <c r="S107" s="758"/>
      <c r="T107" s="758"/>
      <c r="U107" s="758"/>
      <c r="V107" s="758"/>
      <c r="W107" s="758"/>
      <c r="X107" s="758"/>
      <c r="Y107" s="758"/>
      <c r="Z107" s="758"/>
      <c r="AA107" s="758"/>
      <c r="AB107" s="758"/>
      <c r="AC107" s="758"/>
      <c r="AD107" s="758"/>
    </row>
    <row r="108" spans="1:30" ht="15.6">
      <c r="A108" s="809" t="s">
        <v>319</v>
      </c>
      <c r="B108" s="753"/>
      <c r="C108" s="754"/>
      <c r="D108" s="754"/>
      <c r="E108" s="754"/>
      <c r="F108" s="754"/>
      <c r="G108" s="754"/>
      <c r="H108" s="754"/>
      <c r="I108" s="754"/>
      <c r="J108" s="754"/>
      <c r="K108" s="754"/>
      <c r="L108" s="754"/>
      <c r="M108" s="755">
        <f t="shared" si="15"/>
        <v>0</v>
      </c>
      <c r="N108" s="758"/>
      <c r="O108" s="758"/>
      <c r="P108" s="758"/>
      <c r="Q108" s="758"/>
      <c r="R108" s="758"/>
      <c r="S108" s="758"/>
      <c r="T108" s="758"/>
      <c r="U108" s="758"/>
      <c r="V108" s="758"/>
      <c r="W108" s="758"/>
      <c r="X108" s="758"/>
      <c r="Y108" s="758"/>
      <c r="Z108" s="758"/>
      <c r="AA108" s="758"/>
      <c r="AB108" s="758"/>
      <c r="AC108" s="758"/>
      <c r="AD108" s="758"/>
    </row>
    <row r="109" spans="1:30" ht="15.6">
      <c r="A109" s="810">
        <v>10</v>
      </c>
      <c r="B109" s="739" t="s">
        <v>1093</v>
      </c>
      <c r="C109" s="757"/>
      <c r="D109" s="757"/>
      <c r="E109" s="757"/>
      <c r="F109" s="757"/>
      <c r="G109" s="757"/>
      <c r="H109" s="757"/>
      <c r="I109" s="757"/>
      <c r="J109" s="757"/>
      <c r="K109" s="757"/>
      <c r="L109" s="757"/>
      <c r="M109" s="757">
        <f>SUM(M92:M108)</f>
        <v>0</v>
      </c>
      <c r="N109" s="758"/>
      <c r="O109" s="758"/>
      <c r="P109" s="758"/>
      <c r="Q109" s="758"/>
      <c r="R109" s="758"/>
      <c r="S109" s="758"/>
      <c r="T109" s="758"/>
      <c r="U109" s="758"/>
      <c r="V109" s="758"/>
      <c r="W109" s="758"/>
      <c r="X109" s="758"/>
      <c r="Y109" s="758"/>
      <c r="Z109" s="758"/>
      <c r="AA109" s="758"/>
      <c r="AB109" s="758"/>
      <c r="AC109" s="758"/>
      <c r="AD109" s="758"/>
    </row>
    <row r="110" spans="1:30" ht="15.6">
      <c r="A110" s="758"/>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8"/>
      <c r="AA110" s="758"/>
      <c r="AB110" s="758"/>
      <c r="AC110" s="758"/>
      <c r="AD110" s="758"/>
    </row>
    <row r="111" spans="1:30" ht="15.6">
      <c r="A111" s="758"/>
      <c r="B111" s="758"/>
      <c r="C111" s="758"/>
      <c r="D111" s="758"/>
      <c r="E111" s="758"/>
      <c r="F111" s="758"/>
      <c r="G111" s="758"/>
      <c r="H111" s="758"/>
      <c r="I111" s="758"/>
      <c r="J111" s="758"/>
      <c r="K111" s="758"/>
      <c r="L111" s="758"/>
      <c r="M111" s="758"/>
    </row>
    <row r="112" spans="1:30" ht="15.6">
      <c r="A112" s="1392" t="s">
        <v>1094</v>
      </c>
      <c r="B112" s="1392"/>
      <c r="C112" s="1392"/>
      <c r="D112" s="780"/>
      <c r="E112" s="780"/>
      <c r="F112" s="780"/>
      <c r="G112" s="780"/>
      <c r="H112" s="780"/>
      <c r="I112" s="780"/>
      <c r="J112" s="780"/>
      <c r="K112" s="780"/>
      <c r="L112" s="780"/>
      <c r="M112" s="780"/>
      <c r="N112" s="758"/>
    </row>
    <row r="113" spans="1:14" ht="15.6">
      <c r="A113" s="756"/>
      <c r="B113" s="780" t="s">
        <v>1095</v>
      </c>
      <c r="C113" s="780"/>
      <c r="D113" s="780"/>
      <c r="E113" s="780"/>
      <c r="F113" s="780"/>
      <c r="G113" s="780"/>
      <c r="H113" s="780"/>
      <c r="I113" s="780"/>
      <c r="J113" s="780"/>
      <c r="K113" s="780"/>
      <c r="L113" s="780"/>
      <c r="M113" s="780"/>
      <c r="N113" s="758"/>
    </row>
    <row r="114" spans="1:14" ht="15.6">
      <c r="A114" s="812"/>
      <c r="B114" s="780"/>
      <c r="C114" s="780"/>
      <c r="D114" s="780"/>
      <c r="E114" s="780"/>
      <c r="F114" s="780"/>
      <c r="G114" s="780"/>
      <c r="H114" s="780"/>
      <c r="I114" s="780"/>
      <c r="J114" s="780"/>
      <c r="K114" s="780"/>
      <c r="L114" s="780"/>
      <c r="M114" s="780"/>
      <c r="N114" s="758"/>
    </row>
    <row r="115" spans="1:14" ht="15.6">
      <c r="A115" s="812"/>
      <c r="B115" s="780"/>
      <c r="C115" s="781"/>
      <c r="D115" s="781"/>
      <c r="E115" s="781"/>
      <c r="F115" s="781"/>
      <c r="G115" s="781"/>
      <c r="H115" s="781"/>
      <c r="I115" s="781"/>
      <c r="J115" s="781"/>
      <c r="K115" s="781"/>
      <c r="L115" s="781"/>
      <c r="M115" s="802"/>
      <c r="N115" s="758"/>
    </row>
    <row r="116" spans="1:14" ht="15.6">
      <c r="A116" s="816"/>
      <c r="B116" s="741" t="s">
        <v>757</v>
      </c>
      <c r="C116" s="1014" t="s">
        <v>505</v>
      </c>
      <c r="D116" s="1014"/>
      <c r="E116" s="1013" t="s">
        <v>1096</v>
      </c>
      <c r="F116" s="1013"/>
      <c r="G116" s="1013" t="s">
        <v>1097</v>
      </c>
      <c r="H116" s="1015" t="s">
        <v>39</v>
      </c>
      <c r="I116" s="803"/>
      <c r="J116" s="803"/>
      <c r="K116" s="803"/>
      <c r="L116" s="803"/>
      <c r="M116" s="803"/>
      <c r="N116" s="758"/>
    </row>
    <row r="117" spans="1:14" ht="25.5" customHeight="1">
      <c r="A117" s="808" t="s">
        <v>774</v>
      </c>
      <c r="B117" s="817"/>
      <c r="C117" s="1387"/>
      <c r="D117" s="1388"/>
      <c r="E117" s="1389" t="s">
        <v>486</v>
      </c>
      <c r="F117" s="1389"/>
      <c r="G117" s="748"/>
      <c r="H117" s="818"/>
      <c r="I117" s="804"/>
      <c r="J117" s="804"/>
      <c r="K117" s="804"/>
      <c r="L117" s="804"/>
      <c r="M117" s="804"/>
      <c r="N117" s="758"/>
    </row>
    <row r="118" spans="1:14" ht="15.6">
      <c r="A118" s="808" t="s">
        <v>775</v>
      </c>
      <c r="B118" s="819"/>
      <c r="C118" s="751"/>
      <c r="D118" s="751"/>
      <c r="E118" s="1385" t="s">
        <v>486</v>
      </c>
      <c r="F118" s="1385"/>
      <c r="G118" s="751"/>
      <c r="H118" s="820"/>
      <c r="I118" s="805"/>
      <c r="J118" s="805"/>
      <c r="K118" s="805"/>
      <c r="L118" s="805"/>
      <c r="M118" s="804"/>
      <c r="N118" s="758"/>
    </row>
    <row r="119" spans="1:14" ht="15.6">
      <c r="A119" s="808" t="s">
        <v>776</v>
      </c>
      <c r="B119" s="819"/>
      <c r="C119" s="751"/>
      <c r="D119" s="751"/>
      <c r="E119" s="1385" t="s">
        <v>486</v>
      </c>
      <c r="F119" s="1385"/>
      <c r="G119" s="751"/>
      <c r="H119" s="820"/>
      <c r="I119" s="805"/>
      <c r="J119" s="805"/>
      <c r="K119" s="805"/>
      <c r="L119" s="805"/>
      <c r="M119" s="804"/>
      <c r="N119" s="758"/>
    </row>
    <row r="120" spans="1:14" ht="15.6">
      <c r="A120" s="808" t="s">
        <v>298</v>
      </c>
      <c r="B120" s="819"/>
      <c r="C120" s="751"/>
      <c r="D120" s="751"/>
      <c r="E120" s="1385" t="s">
        <v>486</v>
      </c>
      <c r="F120" s="1385"/>
      <c r="G120" s="751"/>
      <c r="H120" s="820"/>
      <c r="I120" s="805"/>
      <c r="J120" s="805"/>
      <c r="K120" s="805"/>
      <c r="L120" s="805"/>
      <c r="M120" s="804"/>
      <c r="N120" s="758"/>
    </row>
    <row r="121" spans="1:14" ht="15.6">
      <c r="A121" s="808" t="s">
        <v>298</v>
      </c>
      <c r="B121" s="819"/>
      <c r="C121" s="751"/>
      <c r="D121" s="751"/>
      <c r="E121" s="1385" t="s">
        <v>486</v>
      </c>
      <c r="F121" s="1385"/>
      <c r="G121" s="751"/>
      <c r="H121" s="820"/>
      <c r="I121" s="805"/>
      <c r="J121" s="805"/>
      <c r="K121" s="805"/>
      <c r="L121" s="805"/>
      <c r="M121" s="804"/>
      <c r="N121" s="758"/>
    </row>
    <row r="122" spans="1:14" ht="15.6">
      <c r="A122" s="808" t="s">
        <v>298</v>
      </c>
      <c r="B122" s="819"/>
      <c r="C122" s="751"/>
      <c r="D122" s="751"/>
      <c r="E122" s="1385" t="s">
        <v>486</v>
      </c>
      <c r="F122" s="1385"/>
      <c r="G122" s="751"/>
      <c r="H122" s="820"/>
      <c r="I122" s="805"/>
      <c r="J122" s="805"/>
      <c r="K122" s="805"/>
      <c r="L122" s="805"/>
      <c r="M122" s="804"/>
      <c r="N122" s="758"/>
    </row>
    <row r="123" spans="1:14" ht="15.6">
      <c r="A123" s="808" t="s">
        <v>298</v>
      </c>
      <c r="B123" s="819"/>
      <c r="C123" s="751"/>
      <c r="D123" s="751"/>
      <c r="E123" s="1385" t="s">
        <v>486</v>
      </c>
      <c r="F123" s="1385"/>
      <c r="G123" s="751"/>
      <c r="H123" s="820"/>
      <c r="I123" s="805"/>
      <c r="J123" s="805"/>
      <c r="K123" s="805"/>
      <c r="L123" s="805"/>
      <c r="M123" s="804"/>
      <c r="N123" s="758"/>
    </row>
    <row r="124" spans="1:14" ht="15.6">
      <c r="A124" s="808" t="s">
        <v>298</v>
      </c>
      <c r="B124" s="819"/>
      <c r="C124" s="751"/>
      <c r="D124" s="751"/>
      <c r="E124" s="1385" t="s">
        <v>486</v>
      </c>
      <c r="F124" s="1385"/>
      <c r="G124" s="751"/>
      <c r="H124" s="820"/>
      <c r="I124" s="805"/>
      <c r="J124" s="805"/>
      <c r="K124" s="805"/>
      <c r="L124" s="805"/>
      <c r="M124" s="804"/>
      <c r="N124" s="758"/>
    </row>
    <row r="125" spans="1:14" ht="15.6">
      <c r="A125" s="808" t="s">
        <v>298</v>
      </c>
      <c r="B125" s="819"/>
      <c r="C125" s="751"/>
      <c r="D125" s="751"/>
      <c r="E125" s="1385" t="s">
        <v>486</v>
      </c>
      <c r="F125" s="1385"/>
      <c r="G125" s="751"/>
      <c r="H125" s="820"/>
      <c r="I125" s="805"/>
      <c r="J125" s="805"/>
      <c r="K125" s="805"/>
      <c r="L125" s="805"/>
      <c r="M125" s="804"/>
      <c r="N125" s="758"/>
    </row>
    <row r="126" spans="1:14" ht="15.6">
      <c r="A126" s="808" t="s">
        <v>298</v>
      </c>
      <c r="B126" s="819"/>
      <c r="C126" s="751"/>
      <c r="D126" s="751"/>
      <c r="E126" s="1385" t="s">
        <v>486</v>
      </c>
      <c r="F126" s="1385"/>
      <c r="G126" s="751"/>
      <c r="H126" s="820"/>
      <c r="I126" s="805"/>
      <c r="J126" s="805"/>
      <c r="K126" s="805"/>
      <c r="L126" s="805"/>
      <c r="M126" s="804"/>
      <c r="N126" s="758"/>
    </row>
    <row r="127" spans="1:14" ht="15.6">
      <c r="A127" s="808" t="s">
        <v>298</v>
      </c>
      <c r="B127" s="819"/>
      <c r="C127" s="751"/>
      <c r="D127" s="751"/>
      <c r="E127" s="1385" t="s">
        <v>486</v>
      </c>
      <c r="F127" s="1385"/>
      <c r="G127" s="751"/>
      <c r="H127" s="820"/>
      <c r="I127" s="805"/>
      <c r="J127" s="805"/>
      <c r="K127" s="805"/>
      <c r="L127" s="805"/>
      <c r="M127" s="804"/>
      <c r="N127" s="758"/>
    </row>
    <row r="128" spans="1:14" ht="15.6">
      <c r="A128" s="808" t="s">
        <v>298</v>
      </c>
      <c r="B128" s="819"/>
      <c r="C128" s="751"/>
      <c r="D128" s="751"/>
      <c r="E128" s="1385" t="s">
        <v>486</v>
      </c>
      <c r="F128" s="1385"/>
      <c r="G128" s="751"/>
      <c r="H128" s="820"/>
      <c r="I128" s="805"/>
      <c r="J128" s="805"/>
      <c r="K128" s="805"/>
      <c r="L128" s="805"/>
      <c r="M128" s="804"/>
      <c r="N128" s="758"/>
    </row>
    <row r="129" spans="1:14" ht="15.6">
      <c r="A129" s="808" t="s">
        <v>298</v>
      </c>
      <c r="B129" s="819"/>
      <c r="C129" s="751"/>
      <c r="D129" s="751"/>
      <c r="E129" s="1385" t="s">
        <v>486</v>
      </c>
      <c r="F129" s="1385"/>
      <c r="G129" s="751"/>
      <c r="H129" s="820"/>
      <c r="I129" s="805"/>
      <c r="J129" s="805"/>
      <c r="K129" s="805"/>
      <c r="L129" s="805"/>
      <c r="M129" s="804"/>
      <c r="N129" s="758"/>
    </row>
    <row r="130" spans="1:14" ht="15.6">
      <c r="A130" s="808" t="s">
        <v>298</v>
      </c>
      <c r="B130" s="819"/>
      <c r="C130" s="751"/>
      <c r="D130" s="751"/>
      <c r="E130" s="1385" t="s">
        <v>486</v>
      </c>
      <c r="F130" s="1385"/>
      <c r="G130" s="751"/>
      <c r="H130" s="820"/>
      <c r="I130" s="805"/>
      <c r="J130" s="805"/>
      <c r="K130" s="805"/>
      <c r="L130" s="805"/>
      <c r="M130" s="804"/>
      <c r="N130" s="758"/>
    </row>
    <row r="131" spans="1:14" ht="15.6">
      <c r="A131" s="808" t="s">
        <v>298</v>
      </c>
      <c r="B131" s="819"/>
      <c r="C131" s="751"/>
      <c r="D131" s="751"/>
      <c r="E131" s="1385" t="s">
        <v>486</v>
      </c>
      <c r="F131" s="1385"/>
      <c r="G131" s="751"/>
      <c r="H131" s="820"/>
      <c r="I131" s="805"/>
      <c r="J131" s="805"/>
      <c r="K131" s="805"/>
      <c r="L131" s="805"/>
      <c r="M131" s="804"/>
      <c r="N131" s="758"/>
    </row>
    <row r="132" spans="1:14" ht="15.6">
      <c r="A132" s="808" t="s">
        <v>298</v>
      </c>
      <c r="B132" s="819"/>
      <c r="C132" s="751"/>
      <c r="D132" s="751"/>
      <c r="E132" s="1385" t="s">
        <v>486</v>
      </c>
      <c r="F132" s="1385"/>
      <c r="G132" s="751"/>
      <c r="H132" s="820"/>
      <c r="I132" s="805"/>
      <c r="J132" s="805"/>
      <c r="K132" s="805"/>
      <c r="L132" s="805"/>
      <c r="M132" s="804"/>
      <c r="N132" s="758"/>
    </row>
    <row r="133" spans="1:14" ht="15.6">
      <c r="A133" s="809" t="s">
        <v>1098</v>
      </c>
      <c r="B133" s="821"/>
      <c r="C133" s="754"/>
      <c r="D133" s="754"/>
      <c r="E133" s="1386" t="s">
        <v>486</v>
      </c>
      <c r="F133" s="1386"/>
      <c r="G133" s="754"/>
      <c r="H133" s="822"/>
      <c r="I133" s="805"/>
      <c r="J133" s="805"/>
      <c r="K133" s="805"/>
      <c r="L133" s="805"/>
      <c r="M133" s="804"/>
      <c r="N133" s="758"/>
    </row>
    <row r="134" spans="1:14" ht="15.6">
      <c r="A134" s="810">
        <v>12</v>
      </c>
      <c r="B134" s="739" t="s">
        <v>1099</v>
      </c>
      <c r="C134" s="805"/>
      <c r="D134" s="805"/>
      <c r="E134" s="805"/>
      <c r="F134" s="805"/>
      <c r="G134" s="805"/>
      <c r="H134" s="805">
        <f>SUM(H117:H133)</f>
        <v>0</v>
      </c>
      <c r="I134" s="805"/>
      <c r="J134" s="805"/>
      <c r="K134" s="805"/>
      <c r="L134" s="805"/>
      <c r="M134" s="805"/>
      <c r="N134" s="758"/>
    </row>
    <row r="135" spans="1:14">
      <c r="A135" s="813"/>
    </row>
    <row r="137" spans="1:14" ht="15.6">
      <c r="A137" s="1054" t="s">
        <v>1100</v>
      </c>
      <c r="B137" s="1054"/>
      <c r="C137" s="1054"/>
      <c r="D137" s="780"/>
      <c r="E137" s="780"/>
      <c r="F137" s="780"/>
      <c r="G137" s="780"/>
      <c r="H137" s="780"/>
    </row>
    <row r="138" spans="1:14" ht="15.6">
      <c r="A138" s="756"/>
      <c r="B138" s="780"/>
      <c r="C138" s="780"/>
      <c r="D138" s="780"/>
      <c r="E138" s="780"/>
      <c r="F138" s="780"/>
      <c r="G138" s="780"/>
      <c r="H138" s="780"/>
    </row>
    <row r="139" spans="1:14" ht="15.6">
      <c r="A139" s="943" t="s">
        <v>1101</v>
      </c>
      <c r="B139" s="780"/>
      <c r="C139" s="780"/>
      <c r="D139" s="780"/>
      <c r="E139" s="780"/>
      <c r="F139" s="780"/>
      <c r="G139" s="780"/>
      <c r="H139" s="780"/>
    </row>
    <row r="140" spans="1:14" ht="15.6">
      <c r="A140" s="943"/>
      <c r="B140" s="780"/>
      <c r="C140" s="780"/>
      <c r="D140" s="780"/>
      <c r="E140" s="780"/>
      <c r="F140" s="780"/>
      <c r="G140" s="780"/>
      <c r="H140" s="780"/>
    </row>
    <row r="141" spans="1:14" ht="27.6">
      <c r="A141" s="812"/>
      <c r="B141" s="940" t="s">
        <v>964</v>
      </c>
      <c r="C141" s="814" t="s">
        <v>1102</v>
      </c>
      <c r="D141" s="814" t="s">
        <v>1103</v>
      </c>
      <c r="E141" s="814" t="s">
        <v>1104</v>
      </c>
      <c r="F141" s="814" t="s">
        <v>1105</v>
      </c>
      <c r="G141" s="814" t="s">
        <v>1106</v>
      </c>
      <c r="H141" s="814" t="s">
        <v>1107</v>
      </c>
      <c r="I141" s="814" t="s">
        <v>1108</v>
      </c>
      <c r="J141" s="814" t="s">
        <v>1109</v>
      </c>
      <c r="K141" s="815" t="s">
        <v>1110</v>
      </c>
      <c r="L141" s="941" t="s">
        <v>43</v>
      </c>
    </row>
    <row r="142" spans="1:14" ht="15.6">
      <c r="A142" s="808" t="s">
        <v>1111</v>
      </c>
      <c r="B142" s="1253"/>
      <c r="C142" s="751"/>
      <c r="D142" s="751"/>
      <c r="E142" s="751"/>
      <c r="F142" s="751"/>
      <c r="G142" s="751"/>
      <c r="H142" s="751"/>
      <c r="I142" s="751"/>
      <c r="J142" s="751"/>
      <c r="K142" s="820"/>
      <c r="L142" s="942">
        <f t="shared" ref="L142:L165" si="16">SUM(C142:K142)</f>
        <v>0</v>
      </c>
    </row>
    <row r="143" spans="1:14" ht="15.6">
      <c r="A143" s="808" t="s">
        <v>1112</v>
      </c>
      <c r="B143" s="1254"/>
      <c r="C143" s="751"/>
      <c r="D143" s="751"/>
      <c r="E143" s="751"/>
      <c r="F143" s="751"/>
      <c r="G143" s="751"/>
      <c r="H143" s="751"/>
      <c r="I143" s="751"/>
      <c r="J143" s="751"/>
      <c r="K143" s="820"/>
      <c r="L143" s="942">
        <f t="shared" si="16"/>
        <v>0</v>
      </c>
    </row>
    <row r="144" spans="1:14" ht="15.6">
      <c r="A144" s="808" t="s">
        <v>1113</v>
      </c>
      <c r="B144" s="1254"/>
      <c r="C144" s="751"/>
      <c r="D144" s="751"/>
      <c r="E144" s="751"/>
      <c r="F144" s="751"/>
      <c r="G144" s="751"/>
      <c r="H144" s="751"/>
      <c r="I144" s="751"/>
      <c r="J144" s="751"/>
      <c r="K144" s="820"/>
      <c r="L144" s="942">
        <f t="shared" si="16"/>
        <v>0</v>
      </c>
    </row>
    <row r="145" spans="1:13" ht="15.6">
      <c r="A145" s="808" t="s">
        <v>1114</v>
      </c>
      <c r="B145" s="1254"/>
      <c r="C145" s="751"/>
      <c r="D145" s="751"/>
      <c r="E145" s="751"/>
      <c r="F145" s="751"/>
      <c r="G145" s="751"/>
      <c r="H145" s="751"/>
      <c r="I145" s="751"/>
      <c r="J145" s="751"/>
      <c r="K145" s="820"/>
      <c r="L145" s="942">
        <f t="shared" si="16"/>
        <v>0</v>
      </c>
    </row>
    <row r="146" spans="1:13" ht="15.6">
      <c r="A146" s="808" t="s">
        <v>1115</v>
      </c>
      <c r="B146" s="1254"/>
      <c r="C146" s="751"/>
      <c r="D146" s="751"/>
      <c r="E146" s="751"/>
      <c r="F146" s="751"/>
      <c r="G146" s="751"/>
      <c r="H146" s="751"/>
      <c r="I146" s="751"/>
      <c r="J146" s="751"/>
      <c r="K146" s="820"/>
      <c r="L146" s="942">
        <f t="shared" si="16"/>
        <v>0</v>
      </c>
    </row>
    <row r="147" spans="1:13" ht="15.6">
      <c r="A147" s="808" t="s">
        <v>1116</v>
      </c>
      <c r="B147" s="1254"/>
      <c r="C147" s="751"/>
      <c r="D147" s="751"/>
      <c r="E147" s="751"/>
      <c r="F147" s="751"/>
      <c r="G147" s="751"/>
      <c r="H147" s="751"/>
      <c r="I147" s="751"/>
      <c r="J147" s="751"/>
      <c r="K147" s="820"/>
      <c r="L147" s="942">
        <f t="shared" si="16"/>
        <v>0</v>
      </c>
    </row>
    <row r="148" spans="1:13" ht="15.6">
      <c r="A148" s="808" t="s">
        <v>1117</v>
      </c>
      <c r="B148" s="1254"/>
      <c r="C148" s="751"/>
      <c r="D148" s="751"/>
      <c r="E148" s="751"/>
      <c r="F148" s="751"/>
      <c r="G148" s="751"/>
      <c r="H148" s="751"/>
      <c r="I148" s="751"/>
      <c r="J148" s="751"/>
      <c r="K148" s="820"/>
      <c r="L148" s="942">
        <f t="shared" si="16"/>
        <v>0</v>
      </c>
    </row>
    <row r="149" spans="1:13" ht="15.6">
      <c r="A149" s="808" t="s">
        <v>1118</v>
      </c>
      <c r="B149" s="1254"/>
      <c r="C149" s="751"/>
      <c r="D149" s="751"/>
      <c r="E149" s="751"/>
      <c r="F149" s="751"/>
      <c r="G149" s="751"/>
      <c r="H149" s="751"/>
      <c r="I149" s="751"/>
      <c r="J149" s="751"/>
      <c r="K149" s="820"/>
      <c r="L149" s="942">
        <f t="shared" si="16"/>
        <v>0</v>
      </c>
    </row>
    <row r="150" spans="1:13" ht="15.6">
      <c r="A150" s="808" t="s">
        <v>1119</v>
      </c>
      <c r="B150" s="1254"/>
      <c r="C150" s="751"/>
      <c r="D150" s="751"/>
      <c r="E150" s="751"/>
      <c r="F150" s="751"/>
      <c r="G150" s="751"/>
      <c r="H150" s="751"/>
      <c r="I150" s="751"/>
      <c r="J150" s="751"/>
      <c r="K150" s="820"/>
      <c r="L150" s="942">
        <f t="shared" si="16"/>
        <v>0</v>
      </c>
    </row>
    <row r="151" spans="1:13" ht="15.6">
      <c r="A151" s="808" t="s">
        <v>1120</v>
      </c>
      <c r="B151" s="1254"/>
      <c r="C151" s="751"/>
      <c r="D151" s="751"/>
      <c r="E151" s="751"/>
      <c r="F151" s="751"/>
      <c r="G151" s="751"/>
      <c r="H151" s="751"/>
      <c r="I151" s="751"/>
      <c r="J151" s="751"/>
      <c r="K151" s="820"/>
      <c r="L151" s="942">
        <f t="shared" si="16"/>
        <v>0</v>
      </c>
    </row>
    <row r="152" spans="1:13" ht="15.6">
      <c r="A152" s="808" t="s">
        <v>1121</v>
      </c>
      <c r="B152" s="1254"/>
      <c r="C152" s="751"/>
      <c r="D152" s="751"/>
      <c r="E152" s="751"/>
      <c r="F152" s="751"/>
      <c r="G152" s="751"/>
      <c r="H152" s="751"/>
      <c r="I152" s="751"/>
      <c r="J152" s="751"/>
      <c r="K152" s="820"/>
      <c r="L152" s="942">
        <f t="shared" si="16"/>
        <v>0</v>
      </c>
    </row>
    <row r="153" spans="1:13" ht="15.6">
      <c r="A153" s="808" t="s">
        <v>1122</v>
      </c>
      <c r="B153" s="1254"/>
      <c r="C153" s="751"/>
      <c r="D153" s="751"/>
      <c r="E153" s="751"/>
      <c r="F153" s="751"/>
      <c r="G153" s="751"/>
      <c r="H153" s="751"/>
      <c r="I153" s="751"/>
      <c r="J153" s="751"/>
      <c r="K153" s="820"/>
      <c r="L153" s="942">
        <f t="shared" si="16"/>
        <v>0</v>
      </c>
    </row>
    <row r="154" spans="1:13" ht="15.6">
      <c r="A154" s="808" t="s">
        <v>1123</v>
      </c>
      <c r="B154" s="1254"/>
      <c r="C154" s="751"/>
      <c r="D154" s="751"/>
      <c r="E154" s="751"/>
      <c r="F154" s="751"/>
      <c r="G154" s="751"/>
      <c r="H154" s="751"/>
      <c r="I154" s="751"/>
      <c r="J154" s="751"/>
      <c r="K154" s="820"/>
      <c r="L154" s="942">
        <f t="shared" si="16"/>
        <v>0</v>
      </c>
      <c r="M154" s="1102"/>
    </row>
    <row r="155" spans="1:13" ht="15.6">
      <c r="A155" s="808" t="s">
        <v>1124</v>
      </c>
      <c r="B155" s="1254"/>
      <c r="C155" s="751"/>
      <c r="D155" s="751"/>
      <c r="E155" s="751"/>
      <c r="F155" s="751"/>
      <c r="G155" s="751"/>
      <c r="H155" s="751"/>
      <c r="I155" s="751"/>
      <c r="J155" s="751"/>
      <c r="K155" s="820"/>
      <c r="L155" s="942">
        <f t="shared" si="16"/>
        <v>0</v>
      </c>
      <c r="M155" s="1102"/>
    </row>
    <row r="156" spans="1:13" ht="15.6">
      <c r="A156" s="808" t="s">
        <v>1125</v>
      </c>
      <c r="B156" s="1254"/>
      <c r="C156" s="751"/>
      <c r="D156" s="751"/>
      <c r="E156" s="751"/>
      <c r="F156" s="751"/>
      <c r="G156" s="751"/>
      <c r="H156" s="751"/>
      <c r="I156" s="751"/>
      <c r="J156" s="751"/>
      <c r="K156" s="820"/>
      <c r="L156" s="942">
        <f t="shared" si="16"/>
        <v>0</v>
      </c>
    </row>
    <row r="157" spans="1:13" ht="15.6">
      <c r="A157" s="808" t="s">
        <v>1126</v>
      </c>
      <c r="B157" s="1254"/>
      <c r="C157" s="751"/>
      <c r="D157" s="751"/>
      <c r="E157" s="751"/>
      <c r="F157" s="751"/>
      <c r="G157" s="751"/>
      <c r="H157" s="751"/>
      <c r="I157" s="751"/>
      <c r="J157" s="751"/>
      <c r="K157" s="820"/>
      <c r="L157" s="942">
        <f t="shared" si="16"/>
        <v>0</v>
      </c>
    </row>
    <row r="158" spans="1:13" ht="15.6">
      <c r="A158" s="808" t="s">
        <v>1127</v>
      </c>
      <c r="B158" s="1254"/>
      <c r="C158" s="751"/>
      <c r="D158" s="751"/>
      <c r="E158" s="751"/>
      <c r="F158" s="751"/>
      <c r="G158" s="751"/>
      <c r="H158" s="751"/>
      <c r="I158" s="751"/>
      <c r="J158" s="751"/>
      <c r="K158" s="820"/>
      <c r="L158" s="942">
        <f t="shared" si="16"/>
        <v>0</v>
      </c>
    </row>
    <row r="159" spans="1:13" ht="15.6">
      <c r="A159" s="808" t="s">
        <v>1128</v>
      </c>
      <c r="B159" s="1254"/>
      <c r="C159" s="751"/>
      <c r="D159" s="751"/>
      <c r="E159" s="751"/>
      <c r="F159" s="751"/>
      <c r="G159" s="751"/>
      <c r="H159" s="751"/>
      <c r="I159" s="751"/>
      <c r="J159" s="751"/>
      <c r="K159" s="820"/>
      <c r="L159" s="942">
        <f t="shared" si="16"/>
        <v>0</v>
      </c>
    </row>
    <row r="160" spans="1:13" ht="15.6">
      <c r="A160" s="808" t="s">
        <v>1129</v>
      </c>
      <c r="B160" s="1254"/>
      <c r="C160" s="751"/>
      <c r="D160" s="751"/>
      <c r="E160" s="751"/>
      <c r="F160" s="751"/>
      <c r="G160" s="751"/>
      <c r="H160" s="751"/>
      <c r="I160" s="751"/>
      <c r="J160" s="751"/>
      <c r="K160" s="820"/>
      <c r="L160" s="942">
        <f t="shared" si="16"/>
        <v>0</v>
      </c>
    </row>
    <row r="161" spans="1:12" ht="15.6">
      <c r="A161" s="808" t="s">
        <v>1130</v>
      </c>
      <c r="B161" s="1254"/>
      <c r="C161" s="751"/>
      <c r="D161" s="751"/>
      <c r="E161" s="751"/>
      <c r="F161" s="751"/>
      <c r="G161" s="751"/>
      <c r="H161" s="751"/>
      <c r="I161" s="751"/>
      <c r="J161" s="751"/>
      <c r="K161" s="820"/>
      <c r="L161" s="942">
        <f t="shared" si="16"/>
        <v>0</v>
      </c>
    </row>
    <row r="162" spans="1:12" ht="15.6">
      <c r="A162" s="808" t="s">
        <v>1131</v>
      </c>
      <c r="B162" s="1254"/>
      <c r="C162" s="751"/>
      <c r="D162" s="751"/>
      <c r="E162" s="751"/>
      <c r="F162" s="751"/>
      <c r="G162" s="751"/>
      <c r="H162" s="751"/>
      <c r="I162" s="751"/>
      <c r="J162" s="751"/>
      <c r="K162" s="820"/>
      <c r="L162" s="942">
        <f t="shared" si="16"/>
        <v>0</v>
      </c>
    </row>
    <row r="163" spans="1:12" ht="15.6">
      <c r="A163" s="808" t="s">
        <v>1132</v>
      </c>
      <c r="B163" s="1256"/>
      <c r="C163" s="751"/>
      <c r="D163" s="751"/>
      <c r="E163" s="751"/>
      <c r="F163" s="751"/>
      <c r="G163" s="751"/>
      <c r="H163" s="751"/>
      <c r="I163" s="751"/>
      <c r="J163" s="751"/>
      <c r="K163" s="820"/>
      <c r="L163" s="942">
        <f t="shared" si="16"/>
        <v>0</v>
      </c>
    </row>
    <row r="164" spans="1:12" ht="15.6">
      <c r="A164" s="808" t="s">
        <v>298</v>
      </c>
      <c r="B164" s="1256"/>
      <c r="C164" s="751"/>
      <c r="D164" s="751"/>
      <c r="E164" s="751"/>
      <c r="F164" s="751"/>
      <c r="G164" s="751"/>
      <c r="H164" s="751"/>
      <c r="I164" s="751"/>
      <c r="J164" s="751"/>
      <c r="K164" s="820"/>
      <c r="L164" s="942"/>
    </row>
    <row r="165" spans="1:12" ht="15.6">
      <c r="A165" s="809" t="s">
        <v>1133</v>
      </c>
      <c r="B165" s="1255"/>
      <c r="C165" s="754"/>
      <c r="D165" s="754"/>
      <c r="E165" s="754"/>
      <c r="F165" s="754"/>
      <c r="G165" s="754"/>
      <c r="H165" s="754"/>
      <c r="I165" s="754"/>
      <c r="J165" s="754"/>
      <c r="K165" s="822"/>
      <c r="L165" s="1103">
        <f t="shared" si="16"/>
        <v>0</v>
      </c>
    </row>
    <row r="166" spans="1:12" ht="15.6">
      <c r="A166" s="810">
        <v>14</v>
      </c>
      <c r="B166" s="739" t="s">
        <v>1134</v>
      </c>
      <c r="C166" s="805">
        <f t="shared" ref="C166:L166" si="17">SUM(C142:C165)</f>
        <v>0</v>
      </c>
      <c r="D166" s="805">
        <f t="shared" si="17"/>
        <v>0</v>
      </c>
      <c r="E166" s="805">
        <f t="shared" si="17"/>
        <v>0</v>
      </c>
      <c r="F166" s="805">
        <f t="shared" si="17"/>
        <v>0</v>
      </c>
      <c r="G166" s="805">
        <f t="shared" si="17"/>
        <v>0</v>
      </c>
      <c r="H166" s="805">
        <f t="shared" si="17"/>
        <v>0</v>
      </c>
      <c r="I166" s="805">
        <f t="shared" si="17"/>
        <v>0</v>
      </c>
      <c r="J166" s="805">
        <f t="shared" si="17"/>
        <v>0</v>
      </c>
      <c r="K166" s="805">
        <f t="shared" si="17"/>
        <v>0</v>
      </c>
      <c r="L166" s="805">
        <f t="shared" si="17"/>
        <v>0</v>
      </c>
    </row>
    <row r="167" spans="1:12" ht="15.6">
      <c r="A167" s="943"/>
      <c r="B167" s="780"/>
      <c r="C167" s="780"/>
      <c r="D167" s="780"/>
      <c r="E167" s="780"/>
      <c r="F167" s="780"/>
      <c r="G167" s="780"/>
      <c r="H167" s="780"/>
    </row>
    <row r="168" spans="1:12" ht="15.6">
      <c r="A168" s="812"/>
      <c r="B168" s="780"/>
      <c r="C168" s="781"/>
      <c r="D168" s="781"/>
      <c r="E168" s="781"/>
      <c r="F168" s="781"/>
      <c r="G168" s="781"/>
      <c r="H168" s="781"/>
    </row>
    <row r="169" spans="1:12" ht="27.6">
      <c r="A169" s="812"/>
      <c r="B169" s="940" t="s">
        <v>964</v>
      </c>
      <c r="C169" s="814" t="s">
        <v>1102</v>
      </c>
      <c r="D169" s="814" t="s">
        <v>1103</v>
      </c>
      <c r="E169" s="814" t="s">
        <v>1104</v>
      </c>
      <c r="F169" s="814" t="s">
        <v>1105</v>
      </c>
      <c r="G169" s="814" t="s">
        <v>1106</v>
      </c>
      <c r="H169" s="814" t="s">
        <v>1107</v>
      </c>
      <c r="I169" s="814" t="s">
        <v>1108</v>
      </c>
      <c r="J169" s="814" t="s">
        <v>1109</v>
      </c>
      <c r="K169" s="815" t="s">
        <v>1110</v>
      </c>
      <c r="L169" s="941" t="s">
        <v>43</v>
      </c>
    </row>
    <row r="170" spans="1:12" ht="30" customHeight="1">
      <c r="A170" s="808" t="s">
        <v>1135</v>
      </c>
      <c r="B170" s="1270"/>
      <c r="C170" s="751"/>
      <c r="D170" s="751"/>
      <c r="E170" s="751"/>
      <c r="F170" s="751"/>
      <c r="G170" s="751"/>
      <c r="H170" s="751"/>
      <c r="I170" s="751"/>
      <c r="J170" s="751"/>
      <c r="K170" s="820"/>
      <c r="L170" s="942">
        <f t="shared" ref="L170:L176" si="18">SUM(C170:K170)</f>
        <v>0</v>
      </c>
    </row>
    <row r="171" spans="1:12" ht="30" customHeight="1">
      <c r="A171" s="808" t="s">
        <v>1136</v>
      </c>
      <c r="B171" s="1272"/>
      <c r="C171" s="751"/>
      <c r="D171" s="751"/>
      <c r="E171" s="751"/>
      <c r="F171" s="751"/>
      <c r="G171" s="751"/>
      <c r="H171" s="751"/>
      <c r="I171" s="751"/>
      <c r="J171" s="751"/>
      <c r="K171" s="820"/>
      <c r="L171" s="942">
        <f t="shared" si="18"/>
        <v>0</v>
      </c>
    </row>
    <row r="172" spans="1:12" ht="15.6">
      <c r="A172" s="808" t="s">
        <v>1137</v>
      </c>
      <c r="B172" s="1254"/>
      <c r="C172" s="751"/>
      <c r="D172" s="751"/>
      <c r="E172" s="751"/>
      <c r="F172" s="751"/>
      <c r="G172" s="751"/>
      <c r="H172" s="751"/>
      <c r="I172" s="751"/>
      <c r="J172" s="751"/>
      <c r="K172" s="820"/>
      <c r="L172" s="942">
        <f t="shared" si="18"/>
        <v>0</v>
      </c>
    </row>
    <row r="173" spans="1:12" ht="15.6">
      <c r="A173" s="808" t="s">
        <v>1138</v>
      </c>
      <c r="B173" s="1271"/>
      <c r="C173" s="751"/>
      <c r="D173" s="751"/>
      <c r="E173" s="751"/>
      <c r="F173" s="751"/>
      <c r="G173" s="751"/>
      <c r="H173" s="751"/>
      <c r="I173" s="751"/>
      <c r="J173" s="751"/>
      <c r="K173" s="820"/>
      <c r="L173" s="942"/>
    </row>
    <row r="174" spans="1:12" ht="15.6">
      <c r="A174" s="808" t="s">
        <v>298</v>
      </c>
      <c r="B174" s="1271"/>
      <c r="C174" s="751"/>
      <c r="D174" s="751"/>
      <c r="E174" s="751"/>
      <c r="F174" s="751"/>
      <c r="G174" s="751"/>
      <c r="H174" s="751"/>
      <c r="I174" s="751"/>
      <c r="J174" s="751"/>
      <c r="K174" s="820"/>
      <c r="L174" s="942"/>
    </row>
    <row r="175" spans="1:12" ht="15.6">
      <c r="A175" s="808" t="s">
        <v>298</v>
      </c>
      <c r="B175" s="1256"/>
      <c r="C175" s="751"/>
      <c r="D175" s="751"/>
      <c r="E175" s="751"/>
      <c r="F175" s="751"/>
      <c r="G175" s="751"/>
      <c r="H175" s="751"/>
      <c r="I175" s="751"/>
      <c r="J175" s="751"/>
      <c r="K175" s="820"/>
      <c r="L175" s="942">
        <f t="shared" si="18"/>
        <v>0</v>
      </c>
    </row>
    <row r="176" spans="1:12" ht="15.6">
      <c r="A176" s="809" t="s">
        <v>1139</v>
      </c>
      <c r="B176" s="1255"/>
      <c r="C176" s="754"/>
      <c r="D176" s="754"/>
      <c r="E176" s="754"/>
      <c r="F176" s="754"/>
      <c r="G176" s="754"/>
      <c r="H176" s="754"/>
      <c r="I176" s="754"/>
      <c r="J176" s="754"/>
      <c r="K176" s="822"/>
      <c r="L176" s="1103">
        <f t="shared" si="18"/>
        <v>0</v>
      </c>
    </row>
    <row r="177" spans="1:12" ht="15.6">
      <c r="A177" s="810">
        <v>16</v>
      </c>
      <c r="B177" s="739" t="s">
        <v>1134</v>
      </c>
      <c r="C177" s="805">
        <f t="shared" ref="C177:L177" si="19">SUM(C170:C176)</f>
        <v>0</v>
      </c>
      <c r="D177" s="805">
        <f t="shared" si="19"/>
        <v>0</v>
      </c>
      <c r="E177" s="805">
        <f t="shared" si="19"/>
        <v>0</v>
      </c>
      <c r="F177" s="805">
        <f t="shared" si="19"/>
        <v>0</v>
      </c>
      <c r="G177" s="805">
        <f t="shared" si="19"/>
        <v>0</v>
      </c>
      <c r="H177" s="805">
        <f t="shared" si="19"/>
        <v>0</v>
      </c>
      <c r="I177" s="805">
        <f t="shared" si="19"/>
        <v>0</v>
      </c>
      <c r="J177" s="805">
        <f t="shared" si="19"/>
        <v>0</v>
      </c>
      <c r="K177" s="805">
        <f t="shared" si="19"/>
        <v>0</v>
      </c>
      <c r="L177" s="805">
        <f t="shared" si="19"/>
        <v>0</v>
      </c>
    </row>
    <row r="178" spans="1:12" ht="15.6">
      <c r="B178" s="758"/>
      <c r="C178" s="758"/>
      <c r="D178" s="758"/>
      <c r="E178" s="758"/>
      <c r="F178" s="758"/>
      <c r="G178" s="758"/>
      <c r="H178" s="758"/>
      <c r="I178" s="758"/>
    </row>
    <row r="179" spans="1:12" ht="15.6">
      <c r="B179" s="758"/>
      <c r="C179" s="758"/>
      <c r="D179" s="758"/>
      <c r="E179" s="758"/>
      <c r="F179" s="758"/>
      <c r="G179" s="758"/>
      <c r="H179" s="758"/>
      <c r="I179" s="758"/>
      <c r="J179" s="1102"/>
      <c r="L179" s="1122"/>
    </row>
    <row r="180" spans="1:12" ht="15.6">
      <c r="B180" s="758"/>
      <c r="C180" s="1121"/>
      <c r="D180" s="1121"/>
      <c r="E180" s="1121"/>
      <c r="F180" s="1121"/>
      <c r="G180" s="1121"/>
      <c r="H180" s="1121"/>
      <c r="I180" s="1121"/>
      <c r="J180" s="1121"/>
      <c r="L180" s="1121"/>
    </row>
  </sheetData>
  <mergeCells count="36">
    <mergeCell ref="U68:U69"/>
    <mergeCell ref="V68:V69"/>
    <mergeCell ref="T68:T69"/>
    <mergeCell ref="B68:B69"/>
    <mergeCell ref="A3:AB3"/>
    <mergeCell ref="C68:C69"/>
    <mergeCell ref="D68:D69"/>
    <mergeCell ref="A2:AB2"/>
    <mergeCell ref="F45:R45"/>
    <mergeCell ref="F46:R46"/>
    <mergeCell ref="A49:A50"/>
    <mergeCell ref="B49:B50"/>
    <mergeCell ref="C49:C50"/>
    <mergeCell ref="D49:D50"/>
    <mergeCell ref="R49:R50"/>
    <mergeCell ref="C117:D117"/>
    <mergeCell ref="E117:F117"/>
    <mergeCell ref="E68:E69"/>
    <mergeCell ref="F68:F69"/>
    <mergeCell ref="A112:C112"/>
    <mergeCell ref="E124:F124"/>
    <mergeCell ref="E118:F118"/>
    <mergeCell ref="E119:F119"/>
    <mergeCell ref="E120:F120"/>
    <mergeCell ref="E121:F121"/>
    <mergeCell ref="E123:F123"/>
    <mergeCell ref="E122:F122"/>
    <mergeCell ref="E125:F125"/>
    <mergeCell ref="E126:F126"/>
    <mergeCell ref="E132:F132"/>
    <mergeCell ref="E133:F133"/>
    <mergeCell ref="E127:F127"/>
    <mergeCell ref="E128:F128"/>
    <mergeCell ref="E129:F129"/>
    <mergeCell ref="E130:F130"/>
    <mergeCell ref="E131:F131"/>
  </mergeCells>
  <phoneticPr fontId="61" type="noConversion"/>
  <pageMargins left="0.7" right="0.7" top="0.75" bottom="0.75" header="0.3" footer="0.3"/>
  <pageSetup scale="39" fitToHeight="2" orientation="landscape" r:id="rId1"/>
  <rowBreaks count="2" manualBreakCount="2">
    <brk id="63" max="16383" man="1"/>
    <brk id="13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M71"/>
  <sheetViews>
    <sheetView zoomScaleNormal="100" workbookViewId="0">
      <selection sqref="A1:I1"/>
    </sheetView>
  </sheetViews>
  <sheetFormatPr defaultColWidth="6.81640625" defaultRowHeight="14.4"/>
  <cols>
    <col min="1" max="1" width="4.1796875" style="1136" customWidth="1"/>
    <col min="2" max="2" width="31" style="1136" customWidth="1"/>
    <col min="3" max="4" width="15.08984375" style="1217" customWidth="1"/>
    <col min="5" max="5" width="13.1796875" style="1136" customWidth="1"/>
    <col min="6" max="6" width="15.08984375" style="1136" customWidth="1"/>
    <col min="7" max="7" width="10.6328125" style="1136" customWidth="1"/>
    <col min="8" max="8" width="15.08984375" style="1136" customWidth="1"/>
    <col min="9" max="9" width="11.1796875" style="1136" customWidth="1"/>
    <col min="10" max="10" width="11.1796875" style="1136" bestFit="1" customWidth="1"/>
    <col min="11" max="11" width="8.54296875" style="1136" bestFit="1" customWidth="1"/>
    <col min="12" max="12" width="8.6328125" style="1136" bestFit="1" customWidth="1"/>
    <col min="13" max="13" width="9" style="1136" bestFit="1" customWidth="1"/>
    <col min="14" max="16384" width="6.81640625" style="1136"/>
  </cols>
  <sheetData>
    <row r="1" spans="1:9" ht="17.399999999999999">
      <c r="A1" s="1409" t="s">
        <v>32</v>
      </c>
      <c r="B1" s="1409"/>
      <c r="C1" s="1409"/>
      <c r="D1" s="1409"/>
      <c r="E1" s="1409"/>
      <c r="F1" s="1409"/>
      <c r="G1" s="1409"/>
      <c r="H1" s="1409"/>
      <c r="I1" s="1409"/>
    </row>
    <row r="2" spans="1:9" ht="15.6">
      <c r="A2" s="1410" t="s">
        <v>1140</v>
      </c>
      <c r="B2" s="1410"/>
      <c r="C2" s="1410"/>
      <c r="D2" s="1410"/>
      <c r="E2" s="1410"/>
      <c r="F2" s="1410"/>
      <c r="G2" s="1410"/>
      <c r="H2" s="1410"/>
      <c r="I2" s="1410"/>
    </row>
    <row r="3" spans="1:9" ht="15.6">
      <c r="A3" s="1137"/>
      <c r="B3" s="1137"/>
      <c r="C3" s="1138"/>
      <c r="D3" s="1138"/>
      <c r="E3" s="1139"/>
      <c r="F3" s="1140"/>
      <c r="G3" s="1141"/>
      <c r="H3" s="1141"/>
      <c r="I3" s="1142"/>
    </row>
    <row r="4" spans="1:9" s="1145" customFormat="1" ht="13.8">
      <c r="A4" s="1143"/>
      <c r="B4" s="1411"/>
      <c r="C4" s="1411"/>
      <c r="D4" s="1411"/>
      <c r="E4" s="1411"/>
      <c r="F4" s="1411"/>
      <c r="G4" s="1411"/>
      <c r="H4" s="1411"/>
      <c r="I4" s="1144"/>
    </row>
    <row r="5" spans="1:9" s="1145" customFormat="1" ht="13.8">
      <c r="B5" s="1146" t="s">
        <v>1141</v>
      </c>
      <c r="C5" s="1147" t="s">
        <v>1142</v>
      </c>
      <c r="D5" s="1147" t="s">
        <v>1143</v>
      </c>
      <c r="E5" s="1146" t="s">
        <v>1144</v>
      </c>
      <c r="F5" s="1146" t="s">
        <v>1145</v>
      </c>
      <c r="G5" s="1146" t="s">
        <v>1146</v>
      </c>
      <c r="H5" s="1146" t="s">
        <v>1147</v>
      </c>
      <c r="I5" s="1146" t="s">
        <v>1148</v>
      </c>
    </row>
    <row r="6" spans="1:9" s="1145" customFormat="1" ht="13.8">
      <c r="B6" s="1148"/>
      <c r="C6" s="1149"/>
      <c r="D6" s="1149"/>
    </row>
    <row r="7" spans="1:9" s="1145" customFormat="1" ht="112.35" customHeight="1">
      <c r="A7" s="1150" t="s">
        <v>290</v>
      </c>
      <c r="B7" s="1150" t="s">
        <v>505</v>
      </c>
      <c r="C7" s="1151" t="s">
        <v>1149</v>
      </c>
      <c r="D7" s="1151" t="s">
        <v>1150</v>
      </c>
      <c r="E7" s="1150" t="s">
        <v>1151</v>
      </c>
      <c r="F7" s="1150" t="s">
        <v>1152</v>
      </c>
      <c r="G7" s="1150" t="s">
        <v>1153</v>
      </c>
      <c r="H7" s="1150" t="s">
        <v>1154</v>
      </c>
      <c r="I7" s="1150" t="s">
        <v>1155</v>
      </c>
    </row>
    <row r="8" spans="1:9" s="1145" customFormat="1" ht="13.8">
      <c r="A8" s="1152"/>
      <c r="B8" s="1153" t="s">
        <v>1156</v>
      </c>
      <c r="C8" s="1154"/>
      <c r="D8" s="1154"/>
      <c r="E8" s="1152"/>
      <c r="F8" s="1152"/>
      <c r="G8" s="1152"/>
      <c r="H8" s="1152"/>
      <c r="I8" s="1152"/>
    </row>
    <row r="9" spans="1:9" s="1145" customFormat="1" ht="13.8">
      <c r="A9" s="1155">
        <v>1</v>
      </c>
      <c r="B9" s="1153" t="s">
        <v>1157</v>
      </c>
      <c r="C9" s="1154"/>
      <c r="D9" s="1154"/>
      <c r="E9" s="1152"/>
      <c r="F9" s="1152"/>
      <c r="G9" s="1152"/>
      <c r="I9" s="1152"/>
    </row>
    <row r="10" spans="1:9" s="1145" customFormat="1" ht="14.7" customHeight="1">
      <c r="A10" s="1156" t="s">
        <v>296</v>
      </c>
      <c r="B10" s="1157" t="s">
        <v>1158</v>
      </c>
      <c r="C10" s="1158">
        <v>5203357</v>
      </c>
      <c r="D10" s="1158">
        <v>0</v>
      </c>
      <c r="E10" s="1158">
        <v>10</v>
      </c>
      <c r="F10" s="1158">
        <v>4</v>
      </c>
      <c r="G10" s="1158">
        <f>ROUND(10406714/10*1,0)</f>
        <v>1040671</v>
      </c>
      <c r="H10" s="1159">
        <f>+C10+D10-G10</f>
        <v>4162686</v>
      </c>
      <c r="I10" s="1157" t="s">
        <v>270</v>
      </c>
    </row>
    <row r="11" spans="1:9" s="1145" customFormat="1" ht="14.7" customHeight="1">
      <c r="A11" s="1156" t="s">
        <v>1041</v>
      </c>
      <c r="B11" s="1157" t="s">
        <v>1159</v>
      </c>
      <c r="C11" s="1158">
        <v>252736</v>
      </c>
      <c r="D11" s="1158">
        <v>0</v>
      </c>
      <c r="E11" s="1158">
        <v>7</v>
      </c>
      <c r="F11" s="1158">
        <v>1</v>
      </c>
      <c r="G11" s="1158">
        <f>ROUND(884576/7*1,0)</f>
        <v>126368</v>
      </c>
      <c r="H11" s="1159">
        <f>+C11+D11-G11</f>
        <v>126368</v>
      </c>
      <c r="I11" s="1157" t="s">
        <v>270</v>
      </c>
    </row>
    <row r="12" spans="1:9" s="1145" customFormat="1" ht="14.7" customHeight="1">
      <c r="A12" s="1156" t="s">
        <v>1042</v>
      </c>
      <c r="B12" s="1157" t="s">
        <v>1160</v>
      </c>
      <c r="C12" s="1158">
        <v>70440</v>
      </c>
      <c r="D12" s="1158">
        <v>0</v>
      </c>
      <c r="E12" s="1158">
        <f>$E$11</f>
        <v>7</v>
      </c>
      <c r="F12" s="1158">
        <f>$F$11</f>
        <v>1</v>
      </c>
      <c r="G12" s="1158">
        <f>ROUND(246539/7*1,0)</f>
        <v>35220</v>
      </c>
      <c r="H12" s="1159">
        <f>+C12+D12-G12</f>
        <v>35220</v>
      </c>
      <c r="I12" s="1157" t="s">
        <v>270</v>
      </c>
    </row>
    <row r="13" spans="1:9" s="1145" customFormat="1" ht="14.7" customHeight="1">
      <c r="A13" s="1156" t="s">
        <v>1161</v>
      </c>
      <c r="B13" s="1157" t="s">
        <v>1162</v>
      </c>
      <c r="C13" s="1158">
        <v>41459</v>
      </c>
      <c r="D13" s="1158">
        <v>0</v>
      </c>
      <c r="E13" s="1158">
        <f>$E$11</f>
        <v>7</v>
      </c>
      <c r="F13" s="1158">
        <f>$F$11</f>
        <v>1</v>
      </c>
      <c r="G13" s="1158">
        <f>ROUND(145105/7*1,0)</f>
        <v>20729</v>
      </c>
      <c r="H13" s="1159">
        <f>+C13+D13-G13</f>
        <v>20730</v>
      </c>
      <c r="I13" s="1157" t="s">
        <v>270</v>
      </c>
    </row>
    <row r="14" spans="1:9" s="1145" customFormat="1" ht="14.7" customHeight="1">
      <c r="A14" s="1156" t="s">
        <v>1163</v>
      </c>
      <c r="B14" s="1157"/>
      <c r="C14" s="1158"/>
      <c r="D14" s="1158"/>
      <c r="E14" s="1158"/>
      <c r="F14" s="1158"/>
      <c r="G14" s="1158"/>
      <c r="H14" s="1159"/>
      <c r="I14" s="1157"/>
    </row>
    <row r="15" spans="1:9" s="1145" customFormat="1" ht="14.7" customHeight="1">
      <c r="A15" s="1156" t="s">
        <v>1164</v>
      </c>
      <c r="B15" s="1157"/>
      <c r="C15" s="1158"/>
      <c r="D15" s="1158"/>
      <c r="E15" s="1158"/>
      <c r="F15" s="1158"/>
      <c r="G15" s="1158"/>
      <c r="H15" s="1159"/>
      <c r="I15" s="1157"/>
    </row>
    <row r="16" spans="1:9" s="1145" customFormat="1" ht="14.7" customHeight="1">
      <c r="A16" s="1156" t="s">
        <v>1165</v>
      </c>
      <c r="B16" s="1157"/>
      <c r="C16" s="1158"/>
      <c r="D16" s="1158"/>
      <c r="E16" s="1158"/>
      <c r="F16" s="1158"/>
      <c r="G16" s="1158"/>
      <c r="H16" s="1159"/>
      <c r="I16" s="1157"/>
    </row>
    <row r="17" spans="1:12" s="1145" customFormat="1" ht="14.7" customHeight="1">
      <c r="A17" s="1156" t="s">
        <v>1166</v>
      </c>
      <c r="B17" s="1157"/>
      <c r="C17" s="1158"/>
      <c r="D17" s="1158"/>
      <c r="E17" s="1158"/>
      <c r="F17" s="1158"/>
      <c r="G17" s="1158"/>
      <c r="H17" s="1159"/>
      <c r="I17" s="1157"/>
    </row>
    <row r="18" spans="1:12" s="1145" customFormat="1" ht="14.7" customHeight="1">
      <c r="A18" s="1156" t="s">
        <v>1167</v>
      </c>
      <c r="B18" s="1157"/>
      <c r="C18" s="1158"/>
      <c r="D18" s="1158"/>
      <c r="E18" s="1158"/>
      <c r="F18" s="1158"/>
      <c r="G18" s="1158"/>
      <c r="H18" s="1159"/>
      <c r="I18" s="1157"/>
    </row>
    <row r="19" spans="1:12" s="1145" customFormat="1" ht="14.7" customHeight="1">
      <c r="A19" s="1156" t="s">
        <v>1168</v>
      </c>
      <c r="B19" s="1157"/>
      <c r="C19" s="1158"/>
      <c r="D19" s="1158"/>
      <c r="E19" s="1158"/>
      <c r="F19" s="1158"/>
      <c r="G19" s="1158"/>
      <c r="H19" s="1159"/>
      <c r="I19" s="1157"/>
    </row>
    <row r="20" spans="1:12" s="1145" customFormat="1" ht="14.7" customHeight="1">
      <c r="A20" s="1156" t="s">
        <v>1169</v>
      </c>
      <c r="B20" s="1157"/>
      <c r="C20" s="1158"/>
      <c r="D20" s="1158"/>
      <c r="E20" s="1158"/>
      <c r="F20" s="1158"/>
      <c r="G20" s="1158"/>
      <c r="H20" s="1159"/>
      <c r="I20" s="1157"/>
    </row>
    <row r="21" spans="1:12" s="1145" customFormat="1" ht="14.7" customHeight="1">
      <c r="A21" s="1156"/>
      <c r="C21" s="1160"/>
      <c r="D21" s="1160"/>
      <c r="E21" s="1161"/>
      <c r="F21" s="1161"/>
      <c r="G21" s="1161"/>
      <c r="H21" s="1159"/>
      <c r="I21" s="1156"/>
    </row>
    <row r="22" spans="1:12" s="1145" customFormat="1" ht="13.8">
      <c r="A22" s="1155">
        <v>2</v>
      </c>
      <c r="B22" s="1153" t="s">
        <v>1170</v>
      </c>
      <c r="C22" s="1162"/>
      <c r="D22" s="1162"/>
      <c r="E22" s="1163"/>
      <c r="F22" s="1163"/>
      <c r="G22" s="1163"/>
      <c r="H22" s="1159"/>
      <c r="I22" s="1152"/>
    </row>
    <row r="23" spans="1:12" s="1145" customFormat="1" ht="14.7" customHeight="1">
      <c r="A23" s="1156" t="s">
        <v>1171</v>
      </c>
      <c r="B23" s="1158" t="s">
        <v>1172</v>
      </c>
      <c r="C23" s="1158"/>
      <c r="D23" s="1158"/>
      <c r="E23" s="1158"/>
      <c r="F23" s="1158"/>
      <c r="G23" s="1158"/>
      <c r="H23" s="1159"/>
      <c r="I23" s="1158"/>
    </row>
    <row r="24" spans="1:12" s="1164" customFormat="1" ht="14.7" customHeight="1">
      <c r="B24" s="1165"/>
      <c r="C24" s="1166"/>
      <c r="D24" s="1166"/>
      <c r="E24" s="1167"/>
      <c r="F24" s="1167"/>
      <c r="G24" s="1167"/>
      <c r="H24" s="1159"/>
    </row>
    <row r="25" spans="1:12" s="1145" customFormat="1" ht="13.8">
      <c r="A25" s="1155">
        <v>3</v>
      </c>
      <c r="B25" s="1153" t="s">
        <v>1173</v>
      </c>
      <c r="C25" s="1162"/>
      <c r="D25" s="1162"/>
      <c r="E25" s="1163"/>
      <c r="F25" s="1163"/>
      <c r="G25" s="1163"/>
      <c r="H25" s="1159"/>
      <c r="I25" s="1152"/>
      <c r="L25" s="1168"/>
    </row>
    <row r="26" spans="1:12" s="1145" customFormat="1" ht="14.7" customHeight="1">
      <c r="A26" s="1156" t="s">
        <v>1048</v>
      </c>
      <c r="B26" s="1158" t="s">
        <v>1174</v>
      </c>
      <c r="C26" s="1158">
        <v>-7973</v>
      </c>
      <c r="D26" s="1158">
        <v>0</v>
      </c>
      <c r="E26" s="1158">
        <f>$E$11</f>
        <v>7</v>
      </c>
      <c r="F26" s="1158">
        <v>1</v>
      </c>
      <c r="G26" s="1158">
        <f>ROUND(-27905/7*1,0)</f>
        <v>-3986</v>
      </c>
      <c r="H26" s="1159">
        <f>+C26+D26-G26</f>
        <v>-3987</v>
      </c>
      <c r="I26" s="1158" t="s">
        <v>270</v>
      </c>
    </row>
    <row r="27" spans="1:12" s="1145" customFormat="1" ht="14.7" customHeight="1">
      <c r="A27" s="1156" t="s">
        <v>1049</v>
      </c>
      <c r="B27" s="1158" t="s">
        <v>1175</v>
      </c>
      <c r="C27" s="1158">
        <v>-6450</v>
      </c>
      <c r="D27" s="1158">
        <v>0</v>
      </c>
      <c r="E27" s="1158">
        <f>$E$11</f>
        <v>7</v>
      </c>
      <c r="F27" s="1158">
        <v>1</v>
      </c>
      <c r="G27" s="1158">
        <f>ROUND(-22575/7*1,0)</f>
        <v>-3225</v>
      </c>
      <c r="H27" s="1159">
        <f>+C27+D27-G27</f>
        <v>-3225</v>
      </c>
      <c r="I27" s="1158" t="s">
        <v>270</v>
      </c>
    </row>
    <row r="28" spans="1:12" s="1145" customFormat="1" ht="14.7" customHeight="1">
      <c r="A28" s="1156" t="s">
        <v>1050</v>
      </c>
      <c r="B28" s="1158"/>
      <c r="C28" s="1158"/>
      <c r="D28" s="1158"/>
      <c r="E28" s="1158"/>
      <c r="F28" s="1158"/>
      <c r="G28" s="1158"/>
      <c r="H28" s="1168"/>
      <c r="I28" s="1158"/>
    </row>
    <row r="29" spans="1:12" s="1145" customFormat="1" ht="14.7" customHeight="1">
      <c r="A29" s="1156" t="s">
        <v>1176</v>
      </c>
      <c r="B29" s="1158"/>
      <c r="C29" s="1158"/>
      <c r="D29" s="1158"/>
      <c r="E29" s="1158"/>
      <c r="F29" s="1158"/>
      <c r="G29" s="1158"/>
      <c r="H29" s="1168"/>
      <c r="I29" s="1158"/>
      <c r="L29" s="1168"/>
    </row>
    <row r="30" spans="1:12" s="1145" customFormat="1" ht="14.7" customHeight="1">
      <c r="A30" s="1156" t="s">
        <v>1177</v>
      </c>
      <c r="B30" s="1158"/>
      <c r="C30" s="1158"/>
      <c r="D30" s="1158"/>
      <c r="E30" s="1158"/>
      <c r="F30" s="1158"/>
      <c r="G30" s="1158"/>
      <c r="H30" s="1168"/>
      <c r="I30" s="1158"/>
      <c r="J30" s="1168"/>
    </row>
    <row r="31" spans="1:12" s="1145" customFormat="1" ht="14.7" customHeight="1">
      <c r="A31" s="1156"/>
      <c r="C31" s="1160"/>
      <c r="D31" s="1160"/>
      <c r="E31" s="1161"/>
      <c r="F31" s="1161"/>
      <c r="G31" s="1161"/>
      <c r="H31" s="1168"/>
      <c r="I31" s="1156"/>
    </row>
    <row r="32" spans="1:12" s="1145" customFormat="1" ht="14.7" customHeight="1">
      <c r="A32" s="1156">
        <v>4</v>
      </c>
      <c r="B32" s="1158" t="s">
        <v>1178</v>
      </c>
      <c r="C32" s="1158">
        <v>2235142</v>
      </c>
      <c r="D32" s="1158">
        <v>0</v>
      </c>
      <c r="E32" s="1158"/>
      <c r="F32" s="1158"/>
      <c r="G32" s="1158">
        <f>ROUND(SUM(G10:G31)*0.402467,0)</f>
        <v>489310</v>
      </c>
      <c r="H32" s="1159">
        <f>+C32+D32-G32</f>
        <v>1745832</v>
      </c>
      <c r="I32" s="1158"/>
      <c r="J32" s="1168"/>
      <c r="K32" s="1168"/>
      <c r="L32" s="1169"/>
    </row>
    <row r="33" spans="1:13" s="1145" customFormat="1" ht="14.7" customHeight="1">
      <c r="A33" s="1156"/>
      <c r="B33" s="1170"/>
      <c r="C33" s="1171"/>
      <c r="D33" s="1171"/>
      <c r="E33" s="1161"/>
      <c r="F33" s="1161"/>
      <c r="G33" s="1172"/>
      <c r="H33" s="1173"/>
      <c r="I33" s="1156"/>
    </row>
    <row r="34" spans="1:13" s="1170" customFormat="1" ht="13.8">
      <c r="A34" s="1174">
        <v>5</v>
      </c>
      <c r="B34" s="1175" t="s">
        <v>1179</v>
      </c>
      <c r="C34" s="1176">
        <f>SUM(C10:C33)</f>
        <v>7788711</v>
      </c>
      <c r="D34" s="1176">
        <f>SUM(D10:D33)</f>
        <v>0</v>
      </c>
      <c r="E34" s="1177"/>
      <c r="F34" s="1177"/>
      <c r="G34" s="1176">
        <f>SUM(G10:G33)</f>
        <v>1705087</v>
      </c>
      <c r="H34" s="1176">
        <f>SUM(H10:H33)</f>
        <v>6083624</v>
      </c>
      <c r="J34" s="1178"/>
      <c r="L34" s="1179"/>
    </row>
    <row r="35" spans="1:13" s="1145" customFormat="1" ht="12.75" customHeight="1">
      <c r="B35" s="1180"/>
      <c r="C35" s="1223"/>
      <c r="D35" s="1176"/>
      <c r="E35" s="1181"/>
      <c r="F35" s="1181"/>
      <c r="G35" s="1182"/>
      <c r="H35" s="1168"/>
      <c r="J35" s="1183"/>
    </row>
    <row r="36" spans="1:13" s="1145" customFormat="1" ht="13.8">
      <c r="A36" s="1152"/>
      <c r="B36" s="1153" t="s">
        <v>1180</v>
      </c>
      <c r="C36" s="1162"/>
      <c r="D36" s="1162"/>
      <c r="E36" s="1163"/>
      <c r="F36" s="1163"/>
      <c r="G36" s="1163"/>
      <c r="H36" s="1163"/>
      <c r="I36" s="1152"/>
      <c r="K36" s="1184"/>
      <c r="L36" s="1184"/>
      <c r="M36" s="1184"/>
    </row>
    <row r="37" spans="1:13" s="1145" customFormat="1" ht="13.8">
      <c r="A37" s="1156">
        <f>A34+1</f>
        <v>6</v>
      </c>
      <c r="B37" s="1158" t="s">
        <v>1181</v>
      </c>
      <c r="C37" s="1158"/>
      <c r="D37" s="1158"/>
      <c r="E37" s="1158"/>
      <c r="F37" s="1158"/>
      <c r="G37" s="1158"/>
      <c r="H37" s="1168"/>
      <c r="I37" s="1158"/>
      <c r="K37" s="1184"/>
      <c r="L37" s="1184"/>
      <c r="M37" s="1184"/>
    </row>
    <row r="38" spans="1:13" s="1145" customFormat="1" ht="13.8">
      <c r="A38" s="1156">
        <v>7</v>
      </c>
      <c r="B38" s="1158" t="s">
        <v>1182</v>
      </c>
      <c r="C38" s="1158">
        <v>-16481022</v>
      </c>
      <c r="D38" s="1158">
        <v>0</v>
      </c>
      <c r="E38" s="1158" t="s">
        <v>1183</v>
      </c>
      <c r="F38" s="1158" t="s">
        <v>1183</v>
      </c>
      <c r="G38" s="1158">
        <v>32253</v>
      </c>
      <c r="H38" s="1159">
        <f>+C38+D38-G38</f>
        <v>-16513275</v>
      </c>
      <c r="I38" s="1158" t="s">
        <v>1184</v>
      </c>
    </row>
    <row r="39" spans="1:13" s="1145" customFormat="1" ht="13.8">
      <c r="A39" s="1156" t="s">
        <v>1072</v>
      </c>
      <c r="B39" s="1158" t="s">
        <v>1182</v>
      </c>
      <c r="C39" s="1158">
        <v>61756</v>
      </c>
      <c r="D39" s="1158">
        <v>0</v>
      </c>
      <c r="E39" s="1158">
        <f>$E$11</f>
        <v>7</v>
      </c>
      <c r="F39" s="1158">
        <f>$F$11</f>
        <v>1</v>
      </c>
      <c r="G39" s="1158">
        <f>ROUND(216147/7*1,0)</f>
        <v>30878</v>
      </c>
      <c r="H39" s="1159">
        <f>+C39+D39-G39</f>
        <v>30878</v>
      </c>
      <c r="I39" s="1158" t="s">
        <v>270</v>
      </c>
    </row>
    <row r="40" spans="1:13" s="1145" customFormat="1" ht="13.8">
      <c r="A40" s="1156">
        <v>8</v>
      </c>
      <c r="B40" s="1158" t="s">
        <v>1185</v>
      </c>
      <c r="C40" s="1158"/>
      <c r="D40" s="1158"/>
      <c r="E40" s="1158"/>
      <c r="F40" s="1158"/>
      <c r="G40" s="1158"/>
      <c r="H40" s="1159">
        <f>+C40+D40-G40</f>
        <v>0</v>
      </c>
      <c r="I40" s="1158"/>
      <c r="J40" s="1168"/>
      <c r="L40" s="1168"/>
    </row>
    <row r="41" spans="1:13" s="1145" customFormat="1" ht="13.8">
      <c r="A41" s="1156">
        <v>9</v>
      </c>
      <c r="B41" s="1158" t="s">
        <v>1186</v>
      </c>
      <c r="C41" s="1158">
        <v>-6608230</v>
      </c>
      <c r="D41" s="1219">
        <v>0</v>
      </c>
      <c r="E41" s="1158"/>
      <c r="F41" s="1158"/>
      <c r="G41" s="1158">
        <f>ROUND(SUM(G38:G40)*0.402467,0)</f>
        <v>25408</v>
      </c>
      <c r="H41" s="1225">
        <f>+C41+D41-G41</f>
        <v>-6633638</v>
      </c>
      <c r="I41" s="1158"/>
      <c r="K41" s="1168"/>
      <c r="L41" s="1169"/>
      <c r="M41" s="1169"/>
    </row>
    <row r="42" spans="1:13" s="1170" customFormat="1" ht="13.8">
      <c r="A42" s="1174">
        <v>10</v>
      </c>
      <c r="B42" s="1180" t="s">
        <v>1187</v>
      </c>
      <c r="C42" s="1185">
        <f>SUM(C37:C41)</f>
        <v>-23027496</v>
      </c>
      <c r="D42" s="1185">
        <f>SUM(D37:D41)</f>
        <v>0</v>
      </c>
      <c r="E42" s="1186"/>
      <c r="F42" s="1186"/>
      <c r="G42" s="1185">
        <f>SUM(G37:G41)</f>
        <v>88539</v>
      </c>
      <c r="H42" s="1187">
        <f>SUM(H37:H41)</f>
        <v>-23116035</v>
      </c>
      <c r="I42" s="1174"/>
      <c r="J42" s="1168"/>
      <c r="K42" s="1179"/>
    </row>
    <row r="43" spans="1:13" s="1145" customFormat="1" ht="13.8">
      <c r="A43" s="1156"/>
      <c r="B43" s="1180"/>
      <c r="C43" s="1188"/>
      <c r="D43" s="1188"/>
      <c r="E43" s="1181"/>
      <c r="F43" s="1181"/>
      <c r="G43" s="1189"/>
      <c r="H43" s="1190"/>
      <c r="I43" s="1252">
        <f>+C42-G42</f>
        <v>-23116035</v>
      </c>
    </row>
    <row r="44" spans="1:13" s="1170" customFormat="1" ht="41.4">
      <c r="A44" s="1174">
        <v>11</v>
      </c>
      <c r="B44" s="1191" t="s">
        <v>1188</v>
      </c>
      <c r="C44" s="1192">
        <f>C34+C42</f>
        <v>-15238785</v>
      </c>
      <c r="D44" s="1192">
        <f>D34+D42</f>
        <v>0</v>
      </c>
      <c r="E44" s="1192"/>
      <c r="F44" s="1192"/>
      <c r="G44" s="1192">
        <f>G42+G34</f>
        <v>1793626</v>
      </c>
      <c r="H44" s="1193">
        <f>H34+H42</f>
        <v>-17032411</v>
      </c>
      <c r="I44" s="1175"/>
      <c r="J44" s="1194"/>
      <c r="K44" s="1251"/>
    </row>
    <row r="45" spans="1:13" s="1145" customFormat="1" ht="13.8">
      <c r="A45" s="1156"/>
      <c r="B45" s="1180"/>
      <c r="C45" s="1195"/>
      <c r="D45" s="1195"/>
      <c r="E45" s="1195"/>
      <c r="F45" s="1195"/>
      <c r="G45" s="1195"/>
      <c r="H45" s="1159"/>
      <c r="I45" s="1195"/>
      <c r="J45" s="1184"/>
      <c r="K45" s="1168"/>
    </row>
    <row r="46" spans="1:13" s="1145" customFormat="1" ht="13.8">
      <c r="A46" s="1156">
        <v>12</v>
      </c>
      <c r="B46" s="1180" t="s">
        <v>1189</v>
      </c>
      <c r="C46" s="1158">
        <f>+C32+C41</f>
        <v>-4373088</v>
      </c>
      <c r="D46" s="1158">
        <f>+D32+D41</f>
        <v>0</v>
      </c>
      <c r="E46" s="1158"/>
      <c r="F46" s="1158"/>
      <c r="G46" s="1158">
        <f>+G32+G41</f>
        <v>514718</v>
      </c>
      <c r="H46" s="1158">
        <f>C46+D46-G46</f>
        <v>-4887806</v>
      </c>
      <c r="I46" s="1195"/>
      <c r="J46" s="1184"/>
      <c r="K46" s="1168"/>
    </row>
    <row r="47" spans="1:13" s="1145" customFormat="1" ht="13.8">
      <c r="A47" s="1156"/>
      <c r="B47" s="1180"/>
      <c r="C47" s="1195"/>
      <c r="D47" s="1195"/>
      <c r="E47" s="1195"/>
      <c r="F47" s="1195"/>
      <c r="G47" s="1195"/>
      <c r="H47" s="1159"/>
      <c r="I47" s="1195"/>
      <c r="J47" s="1184"/>
    </row>
    <row r="48" spans="1:13" s="1170" customFormat="1" ht="41.4">
      <c r="A48" s="1174">
        <v>13</v>
      </c>
      <c r="B48" s="1191" t="s">
        <v>1190</v>
      </c>
      <c r="C48" s="1192">
        <f>C44-C46</f>
        <v>-10865697</v>
      </c>
      <c r="D48" s="1192">
        <f>D44-D46</f>
        <v>0</v>
      </c>
      <c r="E48" s="1192"/>
      <c r="F48" s="1192"/>
      <c r="G48" s="1192">
        <f>G44-G46</f>
        <v>1278908</v>
      </c>
      <c r="H48" s="1192">
        <f>H44-H46</f>
        <v>-12144605</v>
      </c>
      <c r="I48" s="1175">
        <f>+H48*J41</f>
        <v>0</v>
      </c>
      <c r="J48" s="1194"/>
      <c r="K48" s="1196"/>
    </row>
    <row r="49" spans="1:10" s="1145" customFormat="1" ht="13.8">
      <c r="A49" s="1156"/>
      <c r="B49" s="1191"/>
      <c r="C49" s="1195"/>
      <c r="D49" s="1195"/>
      <c r="E49" s="1195"/>
      <c r="F49" s="1195"/>
      <c r="G49" s="1195"/>
      <c r="H49" s="1195"/>
      <c r="I49" s="1195"/>
      <c r="J49" s="1184"/>
    </row>
    <row r="50" spans="1:10" s="1145" customFormat="1" ht="13.8">
      <c r="A50" s="1156"/>
      <c r="B50" s="1191"/>
      <c r="C50" s="1195"/>
      <c r="D50" s="1195"/>
      <c r="E50" s="1195"/>
      <c r="F50" s="1195"/>
      <c r="G50" s="1195"/>
      <c r="H50" s="1195"/>
      <c r="I50" s="1195"/>
      <c r="J50" s="1184"/>
    </row>
    <row r="51" spans="1:10" s="1170" customFormat="1" ht="27.6">
      <c r="A51" s="1174">
        <v>14</v>
      </c>
      <c r="B51" s="1191" t="s">
        <v>1191</v>
      </c>
      <c r="C51" s="1175"/>
      <c r="D51" s="1175"/>
      <c r="E51" s="1175"/>
      <c r="F51" s="1175"/>
      <c r="G51" s="1175"/>
      <c r="H51" s="1197">
        <f>ROUND(C48/2+H48/2,0)</f>
        <v>-11505151</v>
      </c>
      <c r="I51" s="1175"/>
      <c r="J51" s="1194"/>
    </row>
    <row r="52" spans="1:10" s="1145" customFormat="1" ht="13.8">
      <c r="A52" s="1156"/>
      <c r="B52" s="1180"/>
      <c r="C52" s="1224"/>
      <c r="D52" s="1198"/>
      <c r="E52" s="1181"/>
      <c r="F52" s="1181"/>
      <c r="G52" s="1182"/>
      <c r="H52" s="1224"/>
      <c r="I52" s="1156"/>
    </row>
    <row r="53" spans="1:10" s="1145" customFormat="1" ht="13.8">
      <c r="A53" s="1199" t="s">
        <v>1192</v>
      </c>
      <c r="C53" s="1159"/>
      <c r="D53" s="1159"/>
      <c r="E53" s="1181"/>
      <c r="F53" s="1181"/>
      <c r="G53" s="1182"/>
      <c r="H53" s="1168"/>
    </row>
    <row r="54" spans="1:10" s="1145" customFormat="1" ht="69" customHeight="1">
      <c r="A54" s="1200" t="s">
        <v>212</v>
      </c>
      <c r="B54" s="1412" t="s">
        <v>1193</v>
      </c>
      <c r="C54" s="1412"/>
      <c r="D54" s="1412"/>
      <c r="E54" s="1412"/>
      <c r="F54" s="1412"/>
      <c r="G54" s="1412"/>
      <c r="H54" s="1412"/>
      <c r="I54" s="1412"/>
    </row>
    <row r="55" spans="1:10" s="1145" customFormat="1" ht="18" customHeight="1">
      <c r="A55" s="1200" t="s">
        <v>215</v>
      </c>
      <c r="B55" s="1201" t="s">
        <v>1194</v>
      </c>
      <c r="C55" s="1202"/>
      <c r="D55" s="1202"/>
      <c r="E55" s="1203"/>
      <c r="F55" s="1204"/>
      <c r="G55" s="1205"/>
      <c r="H55" s="1201"/>
      <c r="I55" s="1201"/>
    </row>
    <row r="56" spans="1:10" s="1145" customFormat="1" ht="18" customHeight="1">
      <c r="A56" s="1200" t="s">
        <v>217</v>
      </c>
      <c r="B56" s="1201" t="s">
        <v>1195</v>
      </c>
      <c r="C56" s="1202"/>
      <c r="D56" s="1202"/>
      <c r="E56" s="1203"/>
      <c r="F56" s="1204"/>
      <c r="G56" s="1205"/>
      <c r="H56" s="1201"/>
      <c r="I56" s="1201"/>
    </row>
    <row r="57" spans="1:10" s="1145" customFormat="1" ht="18" customHeight="1">
      <c r="A57" s="1200" t="s">
        <v>220</v>
      </c>
      <c r="B57" s="1201" t="s">
        <v>1196</v>
      </c>
      <c r="C57" s="1206"/>
      <c r="D57" s="1206"/>
      <c r="E57" s="1204"/>
      <c r="F57" s="1204"/>
      <c r="G57" s="1205"/>
      <c r="H57" s="1201"/>
      <c r="I57" s="1201"/>
    </row>
    <row r="58" spans="1:10" s="1145" customFormat="1" ht="18" customHeight="1">
      <c r="A58" s="1200"/>
      <c r="B58" s="1226" t="s">
        <v>1197</v>
      </c>
      <c r="C58" s="1202"/>
      <c r="D58" s="1202"/>
      <c r="E58" s="1203"/>
      <c r="F58" s="1203"/>
      <c r="G58" s="1205"/>
      <c r="H58" s="1201"/>
      <c r="I58" s="1201"/>
    </row>
    <row r="59" spans="1:10" s="1145" customFormat="1" ht="18" customHeight="1">
      <c r="A59" s="1200"/>
      <c r="B59" s="1226" t="s">
        <v>1198</v>
      </c>
      <c r="C59" s="1202"/>
      <c r="D59" s="1202"/>
      <c r="E59" s="1203"/>
      <c r="F59" s="1203"/>
      <c r="G59" s="1205"/>
      <c r="H59" s="1201"/>
      <c r="I59" s="1201"/>
    </row>
    <row r="60" spans="1:10" s="1145" customFormat="1" ht="18" customHeight="1">
      <c r="A60" s="1200"/>
      <c r="B60" s="1226" t="s">
        <v>1199</v>
      </c>
      <c r="C60" s="1202"/>
      <c r="D60" s="1202"/>
      <c r="E60" s="1203"/>
      <c r="F60" s="1203"/>
      <c r="G60" s="1205"/>
      <c r="H60" s="1201"/>
      <c r="I60" s="1201"/>
    </row>
    <row r="61" spans="1:10" s="1145" customFormat="1" ht="18" customHeight="1">
      <c r="A61" s="1200" t="s">
        <v>227</v>
      </c>
      <c r="B61" s="1201" t="s">
        <v>1200</v>
      </c>
      <c r="C61" s="1206"/>
      <c r="D61" s="1206"/>
      <c r="E61" s="1204"/>
      <c r="F61" s="1204"/>
      <c r="G61" s="1205"/>
      <c r="H61" s="1201"/>
      <c r="I61" s="1201"/>
    </row>
    <row r="62" spans="1:10" s="1145" customFormat="1" ht="18" customHeight="1">
      <c r="A62" s="1200" t="s">
        <v>231</v>
      </c>
      <c r="B62" s="1201" t="s">
        <v>1201</v>
      </c>
      <c r="C62" s="1206"/>
      <c r="D62" s="1206"/>
      <c r="E62" s="1204"/>
      <c r="F62" s="1204"/>
      <c r="G62" s="1205"/>
      <c r="H62" s="1201"/>
      <c r="I62" s="1201"/>
    </row>
    <row r="63" spans="1:10" s="1145" customFormat="1" ht="13.8">
      <c r="A63" s="1156"/>
      <c r="C63" s="1207"/>
      <c r="D63" s="1207"/>
      <c r="E63" s="1208"/>
      <c r="F63" s="1209"/>
      <c r="G63" s="1178"/>
    </row>
    <row r="64" spans="1:10" s="1145" customFormat="1" ht="13.8">
      <c r="A64" s="1156"/>
      <c r="C64" s="1207"/>
      <c r="D64" s="1207"/>
      <c r="E64" s="1208"/>
      <c r="F64" s="1209"/>
      <c r="G64" s="1178"/>
    </row>
    <row r="65" spans="1:7" ht="15.6">
      <c r="A65" s="1210"/>
      <c r="C65" s="1211"/>
      <c r="D65" s="1211"/>
      <c r="E65" s="1212"/>
      <c r="F65" s="1213"/>
      <c r="G65" s="1214"/>
    </row>
    <row r="66" spans="1:7" ht="15.6">
      <c r="A66" s="1215"/>
      <c r="C66" s="1216"/>
      <c r="D66" s="1216"/>
      <c r="E66" s="1213"/>
      <c r="F66" s="1213"/>
      <c r="G66" s="1214"/>
    </row>
    <row r="67" spans="1:7" ht="15.6">
      <c r="A67" s="1215"/>
      <c r="C67" s="1216"/>
      <c r="D67" s="1216"/>
      <c r="E67" s="1213"/>
      <c r="F67" s="1213"/>
      <c r="G67" s="1214"/>
    </row>
    <row r="68" spans="1:7" ht="15.6">
      <c r="A68" s="1215"/>
      <c r="C68" s="1216"/>
      <c r="D68" s="1216"/>
      <c r="E68" s="1213"/>
      <c r="F68" s="1213"/>
      <c r="G68" s="1214"/>
    </row>
    <row r="69" spans="1:7" ht="15.6">
      <c r="A69" s="1215"/>
      <c r="C69" s="1216"/>
      <c r="D69" s="1216"/>
      <c r="E69" s="1213"/>
      <c r="F69" s="1213"/>
      <c r="G69" s="1214"/>
    </row>
    <row r="70" spans="1:7" ht="15.6">
      <c r="C70" s="1216"/>
      <c r="D70" s="1216"/>
      <c r="E70" s="1213"/>
      <c r="F70" s="1213"/>
      <c r="G70" s="1214"/>
    </row>
    <row r="71" spans="1:7">
      <c r="A71" s="1215"/>
      <c r="C71" s="1216"/>
      <c r="D71" s="1216"/>
      <c r="E71" s="1213"/>
    </row>
  </sheetData>
  <mergeCells count="4">
    <mergeCell ref="A1:I1"/>
    <mergeCell ref="A2:I2"/>
    <mergeCell ref="B4:H4"/>
    <mergeCell ref="B54:I54"/>
  </mergeCells>
  <printOptions horizontalCentered="1"/>
  <pageMargins left="0.25" right="0.25" top="0.75" bottom="0.75" header="0.3" footer="0.3"/>
  <pageSetup scale="6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V543"/>
  <sheetViews>
    <sheetView view="pageBreakPreview" zoomScale="70" zoomScaleNormal="75" zoomScaleSheetLayoutView="70" workbookViewId="0"/>
  </sheetViews>
  <sheetFormatPr defaultColWidth="8.6328125" defaultRowHeight="15"/>
  <cols>
    <col min="1" max="1" width="6" style="1" customWidth="1"/>
    <col min="2" max="2" width="1.453125" style="1" customWidth="1"/>
    <col min="3" max="3" width="41.1796875" style="1" customWidth="1"/>
    <col min="4" max="4" width="25.81640625" style="1" customWidth="1"/>
    <col min="5" max="5" width="18.1796875" style="1" customWidth="1"/>
    <col min="6" max="6" width="15.54296875" style="1" customWidth="1"/>
    <col min="7" max="7" width="7.81640625" style="1" customWidth="1"/>
    <col min="8" max="8" width="15.1796875" style="1" bestFit="1" customWidth="1"/>
    <col min="9" max="9" width="7.1796875" style="1" customWidth="1"/>
    <col min="10" max="10" width="15.6328125" style="1" customWidth="1"/>
    <col min="11" max="11" width="12.36328125" style="1" customWidth="1"/>
    <col min="12" max="12" width="10.1796875" style="1" customWidth="1"/>
    <col min="13" max="13" width="14.453125" style="1" customWidth="1"/>
    <col min="14" max="14" width="13" style="1" customWidth="1"/>
    <col min="15" max="16384" width="8.6328125" style="1"/>
  </cols>
  <sheetData>
    <row r="1" spans="1:13">
      <c r="C1" s="2"/>
      <c r="D1" s="2"/>
      <c r="E1" s="3"/>
      <c r="F1" s="2"/>
      <c r="G1" s="2"/>
      <c r="H1" s="2"/>
      <c r="I1" s="2"/>
      <c r="J1" s="5"/>
      <c r="K1" s="5"/>
      <c r="L1" s="5"/>
      <c r="M1" s="5"/>
    </row>
    <row r="2" spans="1:13">
      <c r="C2" s="2"/>
      <c r="D2" s="2"/>
      <c r="E2" s="3"/>
      <c r="F2" s="2"/>
      <c r="G2" s="2"/>
      <c r="H2" s="2"/>
      <c r="I2" s="2"/>
      <c r="K2" s="5"/>
      <c r="L2" s="5"/>
      <c r="M2" s="5" t="s">
        <v>1</v>
      </c>
    </row>
    <row r="3" spans="1:13">
      <c r="C3" s="2"/>
      <c r="D3" s="2"/>
      <c r="E3" s="3"/>
      <c r="F3" s="2"/>
      <c r="G3" s="2"/>
      <c r="H3" s="2"/>
      <c r="I3" s="2"/>
      <c r="J3" s="5"/>
      <c r="K3" s="51"/>
      <c r="L3" s="6"/>
      <c r="M3" s="6" t="s">
        <v>25</v>
      </c>
    </row>
    <row r="4" spans="1:13">
      <c r="C4" s="2"/>
      <c r="D4" s="2"/>
      <c r="E4" s="3"/>
      <c r="F4" s="2"/>
      <c r="G4" s="2"/>
      <c r="H4" s="2"/>
      <c r="I4" s="2"/>
      <c r="J4" s="5"/>
      <c r="K4" s="6"/>
      <c r="L4" s="1296"/>
      <c r="M4" s="1296"/>
    </row>
    <row r="5" spans="1:13">
      <c r="C5" s="2"/>
      <c r="D5" s="2"/>
      <c r="E5" s="3"/>
      <c r="F5" s="2"/>
      <c r="G5" s="2"/>
      <c r="H5" s="2"/>
      <c r="I5" s="2"/>
      <c r="J5" s="2"/>
      <c r="K5" s="7"/>
      <c r="L5" s="7"/>
    </row>
    <row r="6" spans="1:13">
      <c r="C6" s="2" t="s">
        <v>26</v>
      </c>
      <c r="D6" s="73"/>
      <c r="E6" s="73" t="s">
        <v>27</v>
      </c>
      <c r="F6" s="2"/>
      <c r="G6" s="2"/>
      <c r="H6" s="2"/>
      <c r="I6" s="2"/>
    </row>
    <row r="7" spans="1:13">
      <c r="C7" s="2"/>
      <c r="D7" s="8" t="s">
        <v>28</v>
      </c>
      <c r="E7" s="8" t="s">
        <v>29</v>
      </c>
      <c r="F7" s="8"/>
      <c r="G7" s="8"/>
      <c r="H7" s="8"/>
      <c r="I7" s="2"/>
      <c r="J7" s="592"/>
      <c r="K7" s="593"/>
      <c r="L7" s="590"/>
      <c r="M7" s="591" t="s">
        <v>30</v>
      </c>
    </row>
    <row r="8" spans="1:13">
      <c r="C8" s="7"/>
      <c r="D8" s="7"/>
      <c r="E8" s="7"/>
      <c r="F8" s="7"/>
      <c r="G8" s="7"/>
      <c r="H8" s="7"/>
      <c r="I8" s="7"/>
      <c r="J8" s="7"/>
      <c r="K8" s="355"/>
      <c r="L8" s="210"/>
      <c r="M8" s="208" t="s">
        <v>31</v>
      </c>
    </row>
    <row r="9" spans="1:13" ht="15.6">
      <c r="A9" s="9"/>
      <c r="C9" s="7"/>
      <c r="D9" s="7"/>
      <c r="E9" s="697" t="s">
        <v>32</v>
      </c>
      <c r="F9" s="7"/>
      <c r="G9" s="7"/>
      <c r="H9" s="7"/>
      <c r="I9" s="7"/>
      <c r="J9" s="7"/>
      <c r="L9" s="7"/>
      <c r="M9" s="6"/>
    </row>
    <row r="10" spans="1:13">
      <c r="A10" s="9"/>
      <c r="C10" s="7"/>
      <c r="D10" s="7"/>
      <c r="E10" s="11"/>
      <c r="F10" s="7"/>
      <c r="G10" s="7"/>
      <c r="H10" s="7"/>
      <c r="I10" s="7"/>
      <c r="J10" s="7"/>
      <c r="K10" s="7"/>
      <c r="L10" s="7"/>
    </row>
    <row r="11" spans="1:13">
      <c r="A11" s="9"/>
      <c r="C11" s="7"/>
      <c r="D11" s="7"/>
      <c r="E11" s="10" t="s">
        <v>33</v>
      </c>
      <c r="F11" s="7"/>
      <c r="G11" s="7"/>
      <c r="H11" s="10" t="s">
        <v>34</v>
      </c>
      <c r="I11" s="7"/>
      <c r="J11" s="10" t="s">
        <v>35</v>
      </c>
      <c r="K11" s="7"/>
      <c r="L11" s="10"/>
      <c r="M11" s="10"/>
    </row>
    <row r="12" spans="1:13">
      <c r="A12" s="9"/>
      <c r="C12" s="7"/>
      <c r="D12" s="7"/>
      <c r="M12" s="4"/>
    </row>
    <row r="13" spans="1:13">
      <c r="A13" s="9" t="s">
        <v>36</v>
      </c>
      <c r="C13" s="7"/>
      <c r="D13" s="7"/>
      <c r="E13" s="11"/>
      <c r="F13" s="7"/>
      <c r="G13" s="7"/>
      <c r="H13" s="7"/>
      <c r="I13" s="7"/>
      <c r="J13" s="4" t="s">
        <v>37</v>
      </c>
      <c r="K13" s="7"/>
      <c r="L13" s="7"/>
      <c r="M13" s="4"/>
    </row>
    <row r="14" spans="1:13" ht="15.6" thickBot="1">
      <c r="A14" s="12" t="s">
        <v>38</v>
      </c>
      <c r="C14" s="7"/>
      <c r="D14" s="7"/>
      <c r="E14" s="7"/>
      <c r="F14" s="7"/>
      <c r="G14" s="7"/>
      <c r="H14" s="7"/>
      <c r="I14" s="7"/>
      <c r="J14" s="13" t="s">
        <v>39</v>
      </c>
      <c r="K14" s="7"/>
      <c r="L14" s="4"/>
      <c r="M14" s="4"/>
    </row>
    <row r="15" spans="1:13" ht="15.6">
      <c r="A15" s="9">
        <v>1</v>
      </c>
      <c r="C15" s="7" t="s">
        <v>40</v>
      </c>
      <c r="D15" s="7" t="str">
        <f>"(line "&amp;A191&amp;")"</f>
        <v>(line 74)</v>
      </c>
      <c r="E15" s="8"/>
      <c r="F15" s="7"/>
      <c r="G15" s="7"/>
      <c r="H15" s="7" t="s">
        <v>41</v>
      </c>
      <c r="I15" s="7"/>
      <c r="J15" s="84">
        <f>+J191</f>
        <v>116141679.53871012</v>
      </c>
      <c r="K15" s="84"/>
      <c r="L15" s="1260"/>
      <c r="M15" s="84"/>
    </row>
    <row r="16" spans="1:13">
      <c r="A16" s="9"/>
      <c r="C16" s="7"/>
      <c r="D16" s="7"/>
      <c r="E16" s="7"/>
      <c r="F16" s="7"/>
      <c r="G16" s="7"/>
      <c r="H16" s="7"/>
      <c r="I16" s="7"/>
      <c r="J16" s="357"/>
      <c r="K16" s="7"/>
      <c r="L16" s="7"/>
    </row>
    <row r="17" spans="1:14">
      <c r="A17" s="9"/>
      <c r="C17" s="7"/>
      <c r="D17" s="7"/>
      <c r="E17" s="7"/>
      <c r="F17" s="7"/>
      <c r="G17" s="7"/>
      <c r="H17" s="7"/>
      <c r="I17" s="7"/>
      <c r="J17" s="108"/>
      <c r="K17" s="7"/>
      <c r="L17" s="7"/>
    </row>
    <row r="18" spans="1:14" ht="15.6" thickBot="1">
      <c r="A18" s="9" t="s">
        <v>28</v>
      </c>
      <c r="C18" s="7" t="s">
        <v>42</v>
      </c>
      <c r="D18" s="8"/>
      <c r="E18" s="13" t="s">
        <v>43</v>
      </c>
      <c r="F18" s="8"/>
      <c r="G18" s="14" t="s">
        <v>44</v>
      </c>
      <c r="H18" s="14"/>
      <c r="I18" s="7"/>
      <c r="J18" s="108"/>
      <c r="K18" s="7"/>
      <c r="L18" s="84"/>
    </row>
    <row r="19" spans="1:14">
      <c r="A19" s="9">
        <f>+A15+1</f>
        <v>2</v>
      </c>
      <c r="C19" s="7" t="str">
        <f>+'1 - Revenue Credits'!B14</f>
        <v>Total Revenue Credits</v>
      </c>
      <c r="D19" s="8" t="str">
        <f>"Attachment 1, line "&amp;'1 - Revenue Credits'!A14&amp;""</f>
        <v>Attachment 1, line 6</v>
      </c>
      <c r="E19" s="522">
        <f>+'1 - Revenue Credits'!D14</f>
        <v>0</v>
      </c>
      <c r="F19" s="8"/>
      <c r="G19" s="8" t="str">
        <f>+G80</f>
        <v>TP</v>
      </c>
      <c r="H19" s="520">
        <f>+H80</f>
        <v>1</v>
      </c>
      <c r="I19" s="8"/>
      <c r="J19" s="109">
        <f>+H19*E19</f>
        <v>0</v>
      </c>
      <c r="K19" s="7"/>
      <c r="L19" s="82"/>
      <c r="M19" s="77"/>
      <c r="N19" s="16"/>
    </row>
    <row r="20" spans="1:14">
      <c r="A20" s="9"/>
      <c r="C20" s="7"/>
      <c r="D20" s="8"/>
      <c r="E20" s="522"/>
      <c r="F20" s="8"/>
      <c r="G20" s="8"/>
      <c r="H20" s="520"/>
      <c r="I20" s="8"/>
      <c r="J20" s="109"/>
      <c r="K20" s="7"/>
      <c r="L20" s="82"/>
      <c r="M20" s="77"/>
      <c r="N20" s="16"/>
    </row>
    <row r="21" spans="1:14">
      <c r="A21" s="9">
        <v>3</v>
      </c>
      <c r="C21" s="7" t="s">
        <v>45</v>
      </c>
      <c r="D21" s="7" t="str">
        <f>"(line "&amp;A15&amp;" minus line "&amp;A19&amp;")"</f>
        <v>(line 1 minus line 2)</v>
      </c>
      <c r="E21" s="522"/>
      <c r="F21" s="8"/>
      <c r="G21" s="8"/>
      <c r="H21" s="520"/>
      <c r="I21" s="8"/>
      <c r="J21" s="109">
        <f>+J15-J19</f>
        <v>116141679.53871012</v>
      </c>
      <c r="K21" s="7"/>
      <c r="L21" s="82"/>
      <c r="M21" s="77"/>
      <c r="N21" s="16"/>
    </row>
    <row r="22" spans="1:14">
      <c r="A22" s="9"/>
      <c r="C22" s="7"/>
      <c r="D22" s="8"/>
      <c r="E22" s="522"/>
      <c r="F22" s="8"/>
      <c r="G22" s="8"/>
      <c r="H22" s="520"/>
      <c r="I22" s="8"/>
      <c r="J22" s="109"/>
      <c r="K22" s="7"/>
      <c r="L22" s="82"/>
      <c r="M22" s="77"/>
      <c r="N22" s="16"/>
    </row>
    <row r="23" spans="1:14">
      <c r="A23" s="9">
        <v>4</v>
      </c>
      <c r="C23" s="7" t="s">
        <v>46</v>
      </c>
      <c r="D23" s="19" t="s">
        <v>15</v>
      </c>
      <c r="E23" s="522">
        <f>'7 - True-Up'!I60</f>
        <v>297991.12818686309</v>
      </c>
      <c r="F23" s="7"/>
      <c r="G23" s="7" t="s">
        <v>47</v>
      </c>
      <c r="H23" s="15">
        <v>1</v>
      </c>
      <c r="I23" s="7"/>
      <c r="J23" s="96">
        <f>+H23*E23</f>
        <v>297991.12818686309</v>
      </c>
      <c r="K23" s="7"/>
    </row>
    <row r="24" spans="1:14">
      <c r="A24" s="9"/>
      <c r="C24" s="7"/>
      <c r="D24" s="7"/>
      <c r="E24" s="7"/>
      <c r="F24" s="7"/>
      <c r="G24" s="7"/>
      <c r="H24" s="7"/>
      <c r="I24" s="7"/>
      <c r="J24" s="8"/>
      <c r="K24" s="7"/>
      <c r="L24" s="7"/>
    </row>
    <row r="25" spans="1:14">
      <c r="A25" s="9">
        <v>5</v>
      </c>
      <c r="C25" s="7" t="s">
        <v>48</v>
      </c>
      <c r="D25" s="7" t="str">
        <f>"(line "&amp;A21&amp;" plus line "&amp;A23&amp;")"</f>
        <v>(line 3 plus line 4)</v>
      </c>
      <c r="F25" s="8"/>
      <c r="G25" s="8"/>
      <c r="H25" s="8"/>
      <c r="I25" s="8"/>
      <c r="J25" s="85">
        <f>+J21+J23</f>
        <v>116439670.66689698</v>
      </c>
      <c r="K25" s="7"/>
      <c r="M25" s="85"/>
    </row>
    <row r="26" spans="1:14">
      <c r="A26" s="9"/>
      <c r="D26" s="7"/>
      <c r="E26" s="18"/>
      <c r="F26" s="8"/>
      <c r="G26" s="8"/>
      <c r="H26" s="8"/>
      <c r="I26" s="8"/>
      <c r="K26" s="7"/>
      <c r="L26" s="7"/>
    </row>
    <row r="27" spans="1:14">
      <c r="A27" s="9"/>
      <c r="D27" s="8"/>
      <c r="E27" s="7"/>
      <c r="F27" s="7"/>
      <c r="G27" s="7"/>
      <c r="H27" s="7"/>
      <c r="I27" s="7"/>
      <c r="J27" s="8"/>
      <c r="K27" s="7"/>
      <c r="L27" s="7"/>
    </row>
    <row r="28" spans="1:14">
      <c r="A28" s="9"/>
      <c r="C28" s="7"/>
      <c r="D28" s="7"/>
      <c r="E28" s="8"/>
      <c r="F28" s="7"/>
      <c r="G28" s="7"/>
      <c r="H28" s="7"/>
      <c r="I28" s="7"/>
      <c r="J28" s="8"/>
      <c r="K28" s="7"/>
      <c r="L28" s="7"/>
    </row>
    <row r="29" spans="1:14">
      <c r="A29" s="9"/>
      <c r="C29" s="7"/>
      <c r="D29" s="7"/>
      <c r="E29" s="8"/>
      <c r="F29" s="7"/>
      <c r="G29" s="7"/>
      <c r="H29" s="7"/>
      <c r="I29" s="7"/>
      <c r="J29" s="8"/>
      <c r="K29" s="7"/>
      <c r="L29" s="7"/>
    </row>
    <row r="30" spans="1:14">
      <c r="A30" s="9"/>
      <c r="C30" s="24"/>
      <c r="D30" s="24"/>
      <c r="E30" s="24"/>
      <c r="F30" s="55"/>
      <c r="G30" s="55"/>
      <c r="H30" s="26"/>
      <c r="I30" s="55"/>
      <c r="K30" s="7"/>
      <c r="L30" s="7"/>
      <c r="M30" s="23"/>
      <c r="N30" s="75"/>
    </row>
    <row r="31" spans="1:14">
      <c r="A31" s="9"/>
      <c r="C31" s="7"/>
      <c r="D31" s="493"/>
      <c r="E31" s="55"/>
      <c r="F31" s="55"/>
      <c r="G31" s="55"/>
      <c r="H31" s="493"/>
      <c r="I31" s="55"/>
      <c r="J31" s="1101"/>
      <c r="K31" s="7"/>
      <c r="L31" s="7"/>
      <c r="M31" s="23"/>
    </row>
    <row r="32" spans="1:14">
      <c r="A32" s="9"/>
      <c r="C32" s="8"/>
      <c r="D32" s="7"/>
      <c r="E32" s="546"/>
      <c r="F32" s="24"/>
      <c r="G32" s="29"/>
      <c r="H32" s="8"/>
      <c r="I32" s="7"/>
      <c r="K32" s="7"/>
      <c r="L32" s="7"/>
      <c r="M32" s="23"/>
    </row>
    <row r="33" spans="1:14">
      <c r="A33" s="9"/>
      <c r="C33" s="8"/>
      <c r="D33" s="7"/>
      <c r="E33" s="89"/>
      <c r="F33" s="7"/>
      <c r="H33" s="8"/>
      <c r="I33" s="7"/>
      <c r="J33" s="1101"/>
      <c r="K33" s="7"/>
      <c r="L33" s="7"/>
      <c r="M33" s="23"/>
    </row>
    <row r="34" spans="1:14">
      <c r="A34" s="9"/>
      <c r="B34" s="89"/>
      <c r="C34" s="89"/>
      <c r="D34" s="588"/>
      <c r="E34" s="536"/>
      <c r="F34" s="7"/>
      <c r="H34" s="93"/>
      <c r="I34" s="7"/>
      <c r="K34" s="93"/>
      <c r="L34" s="7"/>
      <c r="M34" s="23"/>
    </row>
    <row r="35" spans="1:14">
      <c r="A35" s="9"/>
      <c r="C35" s="8"/>
      <c r="D35" s="588"/>
      <c r="E35" s="536"/>
      <c r="F35" s="7"/>
      <c r="G35" s="7"/>
      <c r="H35" s="93"/>
      <c r="I35" s="7"/>
      <c r="K35" s="8"/>
      <c r="L35" s="76"/>
      <c r="M35" s="77"/>
      <c r="N35" s="16"/>
    </row>
    <row r="36" spans="1:14">
      <c r="A36" s="9"/>
      <c r="C36" s="8"/>
      <c r="D36" s="588"/>
      <c r="E36" s="536"/>
      <c r="F36" s="7"/>
      <c r="G36" s="7"/>
      <c r="H36" s="93"/>
      <c r="I36" s="7"/>
      <c r="K36" s="7"/>
      <c r="L36" s="76"/>
      <c r="M36" s="77"/>
      <c r="N36" s="16"/>
    </row>
    <row r="37" spans="1:14">
      <c r="A37" s="9"/>
      <c r="C37" s="7"/>
      <c r="D37" s="588"/>
      <c r="E37" s="537"/>
      <c r="F37" s="7"/>
      <c r="G37" s="7"/>
      <c r="H37" s="93"/>
      <c r="I37" s="7"/>
      <c r="K37" s="7"/>
      <c r="L37" s="7"/>
      <c r="M37" s="23"/>
    </row>
    <row r="38" spans="1:14">
      <c r="A38" s="9"/>
      <c r="C38" s="8"/>
      <c r="D38" s="84"/>
      <c r="E38" s="84"/>
      <c r="F38" s="7"/>
      <c r="G38" s="7"/>
      <c r="H38" s="95"/>
      <c r="I38" s="7"/>
      <c r="J38" s="8"/>
      <c r="K38" s="7"/>
      <c r="L38" s="8"/>
      <c r="M38" s="8"/>
    </row>
    <row r="39" spans="1:14">
      <c r="A39" s="9"/>
      <c r="C39" s="2"/>
      <c r="D39" s="84"/>
      <c r="E39" s="84"/>
      <c r="F39" s="7"/>
      <c r="G39" s="7"/>
      <c r="H39" s="84"/>
      <c r="I39" s="7"/>
      <c r="J39" s="8"/>
      <c r="K39" s="7"/>
      <c r="L39" s="8"/>
      <c r="M39" s="8"/>
    </row>
    <row r="40" spans="1:14">
      <c r="A40" s="9"/>
      <c r="C40" s="7"/>
      <c r="D40" s="7"/>
      <c r="E40" s="7"/>
      <c r="F40" s="7"/>
      <c r="G40" s="7"/>
      <c r="H40" s="7"/>
      <c r="I40" s="7"/>
      <c r="J40" s="8"/>
      <c r="K40" s="7"/>
      <c r="L40" s="7"/>
    </row>
    <row r="41" spans="1:14">
      <c r="A41" s="9"/>
      <c r="C41" s="7"/>
      <c r="D41" s="84"/>
      <c r="E41" s="94"/>
      <c r="F41" s="7"/>
      <c r="G41" s="7"/>
      <c r="H41" s="94"/>
      <c r="I41" s="7"/>
      <c r="J41" s="78"/>
      <c r="K41" s="7"/>
      <c r="L41" s="7"/>
      <c r="M41" s="78"/>
    </row>
    <row r="42" spans="1:14">
      <c r="A42" s="9"/>
      <c r="C42" s="7"/>
      <c r="D42" s="7"/>
      <c r="F42" s="7"/>
      <c r="G42" s="7"/>
      <c r="H42" s="7"/>
      <c r="I42" s="7"/>
      <c r="J42" s="78"/>
      <c r="K42" s="7"/>
      <c r="L42" s="7"/>
      <c r="M42" s="78"/>
    </row>
    <row r="43" spans="1:14">
      <c r="A43" s="9"/>
      <c r="C43" s="7"/>
      <c r="D43" s="7"/>
      <c r="E43" s="78"/>
      <c r="F43" s="7"/>
      <c r="G43" s="7"/>
      <c r="H43" s="7"/>
      <c r="I43" s="7"/>
      <c r="J43" s="7"/>
      <c r="K43" s="7"/>
      <c r="L43" s="7"/>
    </row>
    <row r="44" spans="1:14">
      <c r="A44" s="9"/>
      <c r="C44" s="7"/>
      <c r="D44" s="7"/>
      <c r="E44" s="79"/>
      <c r="F44" s="7"/>
      <c r="G44" s="7"/>
      <c r="H44" s="7"/>
      <c r="I44" s="7"/>
      <c r="J44" s="24"/>
      <c r="K44" s="7"/>
      <c r="L44" s="7"/>
    </row>
    <row r="45" spans="1:14">
      <c r="A45" s="9"/>
      <c r="C45" s="7"/>
      <c r="D45" s="7"/>
      <c r="E45" s="78"/>
      <c r="F45" s="7"/>
      <c r="G45" s="7"/>
      <c r="H45" s="7"/>
      <c r="I45" s="7"/>
      <c r="J45" s="7"/>
      <c r="K45" s="7"/>
      <c r="L45" s="7"/>
    </row>
    <row r="46" spans="1:14">
      <c r="A46" s="9"/>
      <c r="C46" s="7"/>
      <c r="E46" s="19"/>
      <c r="F46" s="19"/>
      <c r="J46" s="100"/>
      <c r="K46" s="7"/>
      <c r="L46" s="7"/>
    </row>
    <row r="47" spans="1:14">
      <c r="A47" s="9"/>
      <c r="C47" s="8"/>
      <c r="E47" s="19"/>
      <c r="F47" s="19"/>
      <c r="J47" s="100"/>
      <c r="K47" s="7"/>
      <c r="L47" s="7"/>
    </row>
    <row r="48" spans="1:14">
      <c r="A48" s="9"/>
      <c r="C48" s="7"/>
      <c r="D48" s="19"/>
      <c r="E48" s="101"/>
      <c r="G48" s="78"/>
      <c r="H48" s="78"/>
      <c r="I48" s="7"/>
      <c r="J48" s="100"/>
      <c r="K48" s="7"/>
      <c r="L48" s="7"/>
    </row>
    <row r="49" spans="1:13">
      <c r="A49" s="9"/>
      <c r="C49" s="8"/>
      <c r="D49" s="7"/>
      <c r="E49" s="101"/>
      <c r="F49" s="7"/>
      <c r="G49" s="7"/>
      <c r="H49" s="7"/>
      <c r="I49" s="7"/>
      <c r="J49" s="7"/>
      <c r="K49" s="7"/>
      <c r="L49" s="7"/>
    </row>
    <row r="50" spans="1:13">
      <c r="A50" s="9"/>
      <c r="C50" s="8"/>
      <c r="D50" s="7"/>
      <c r="E50" s="102"/>
      <c r="F50" s="7"/>
      <c r="G50" s="7"/>
      <c r="H50" s="7"/>
      <c r="I50" s="7"/>
      <c r="J50" s="7"/>
      <c r="K50" s="7"/>
      <c r="L50" s="7"/>
    </row>
    <row r="51" spans="1:13">
      <c r="A51" s="9"/>
      <c r="C51" s="8"/>
      <c r="D51" s="7"/>
      <c r="E51" s="103"/>
      <c r="F51" s="104"/>
      <c r="G51" s="104"/>
      <c r="H51" s="104"/>
      <c r="I51" s="104"/>
      <c r="J51" s="104"/>
      <c r="K51" s="104"/>
      <c r="L51" s="7"/>
    </row>
    <row r="52" spans="1:13">
      <c r="A52" s="9"/>
      <c r="C52" s="8"/>
      <c r="D52" s="7"/>
      <c r="E52" s="105"/>
      <c r="F52" s="104"/>
      <c r="G52" s="104"/>
      <c r="H52" s="104"/>
      <c r="I52" s="104"/>
      <c r="J52" s="104"/>
      <c r="K52" s="104"/>
      <c r="L52" s="7"/>
    </row>
    <row r="53" spans="1:13">
      <c r="C53" s="23"/>
      <c r="E53" s="106"/>
      <c r="F53" s="107"/>
      <c r="I53" s="107"/>
      <c r="K53" s="2"/>
      <c r="L53" s="7"/>
    </row>
    <row r="54" spans="1:13">
      <c r="C54" s="8"/>
      <c r="D54" s="7"/>
      <c r="E54" s="105"/>
      <c r="F54" s="104"/>
      <c r="G54" s="104"/>
      <c r="H54" s="104"/>
      <c r="I54" s="104"/>
      <c r="K54" s="2"/>
      <c r="L54" s="7"/>
    </row>
    <row r="55" spans="1:13">
      <c r="C55" s="23"/>
      <c r="E55" s="106"/>
      <c r="F55" s="107"/>
      <c r="I55" s="107"/>
      <c r="K55" s="2"/>
      <c r="L55" s="7"/>
    </row>
    <row r="56" spans="1:13">
      <c r="C56" s="19"/>
      <c r="F56" s="107"/>
      <c r="K56" s="2"/>
      <c r="L56" s="7"/>
    </row>
    <row r="57" spans="1:13">
      <c r="C57" s="8"/>
      <c r="D57" s="7"/>
      <c r="E57" s="105"/>
      <c r="F57" s="104"/>
      <c r="G57" s="104"/>
      <c r="H57" s="104"/>
      <c r="I57" s="104"/>
      <c r="K57" s="2"/>
      <c r="L57" s="7"/>
    </row>
    <row r="58" spans="1:13">
      <c r="C58" s="23"/>
      <c r="E58" s="106"/>
      <c r="F58" s="107"/>
      <c r="I58" s="107"/>
      <c r="K58" s="2"/>
      <c r="L58" s="7"/>
    </row>
    <row r="59" spans="1:13">
      <c r="C59" s="7"/>
      <c r="D59" s="89"/>
      <c r="K59" s="2"/>
      <c r="L59" s="7"/>
    </row>
    <row r="60" spans="1:13">
      <c r="C60" s="20"/>
      <c r="K60" s="2"/>
      <c r="L60" s="7"/>
    </row>
    <row r="61" spans="1:13">
      <c r="C61" s="21"/>
      <c r="K61" s="2"/>
      <c r="L61" s="7"/>
    </row>
    <row r="62" spans="1:13">
      <c r="K62" s="2"/>
      <c r="L62" s="7"/>
    </row>
    <row r="63" spans="1:13">
      <c r="C63" s="7"/>
      <c r="D63" s="7"/>
      <c r="E63" s="7"/>
      <c r="F63" s="7"/>
      <c r="G63" s="7"/>
      <c r="H63" s="7"/>
      <c r="I63" s="7"/>
      <c r="J63" s="22"/>
      <c r="K63" s="7"/>
      <c r="L63" s="7"/>
    </row>
    <row r="64" spans="1:13">
      <c r="C64" s="2"/>
      <c r="D64" s="2"/>
      <c r="E64" s="3"/>
      <c r="F64" s="2"/>
      <c r="G64" s="2"/>
      <c r="H64" s="2"/>
      <c r="I64" s="2"/>
      <c r="J64" s="2"/>
      <c r="K64" s="4"/>
      <c r="L64" s="4"/>
      <c r="M64" s="5"/>
    </row>
    <row r="65" spans="1:15">
      <c r="C65" s="2"/>
      <c r="D65" s="2"/>
      <c r="E65" s="3"/>
      <c r="F65" s="2"/>
      <c r="G65" s="2"/>
      <c r="H65" s="2"/>
      <c r="I65" s="2"/>
      <c r="J65" s="5"/>
      <c r="K65" s="5"/>
      <c r="L65" s="5"/>
      <c r="M65" s="5" t="s">
        <v>1</v>
      </c>
    </row>
    <row r="66" spans="1:15">
      <c r="C66" s="2"/>
      <c r="D66" s="2"/>
      <c r="E66" s="3"/>
      <c r="F66" s="2"/>
      <c r="G66" s="2"/>
      <c r="H66" s="2"/>
      <c r="I66" s="2"/>
      <c r="J66" s="6"/>
      <c r="K66" s="6"/>
      <c r="L66" s="6"/>
      <c r="M66" s="6" t="s">
        <v>49</v>
      </c>
    </row>
    <row r="67" spans="1:15">
      <c r="C67" s="2"/>
      <c r="D67" s="2"/>
      <c r="E67" s="3"/>
      <c r="F67" s="2"/>
      <c r="G67" s="2"/>
      <c r="H67" s="2"/>
      <c r="I67" s="2"/>
      <c r="J67" s="2"/>
      <c r="K67" s="7"/>
      <c r="L67" s="6"/>
      <c r="M67" s="6"/>
    </row>
    <row r="68" spans="1:15">
      <c r="C68" s="2"/>
      <c r="D68" s="2"/>
      <c r="E68" s="3"/>
      <c r="F68" s="2"/>
      <c r="G68" s="2"/>
      <c r="H68" s="2"/>
      <c r="I68" s="2"/>
      <c r="J68" s="2"/>
      <c r="K68" s="7"/>
      <c r="L68" s="6"/>
    </row>
    <row r="69" spans="1:15">
      <c r="C69" s="2" t="s">
        <v>26</v>
      </c>
      <c r="D69" s="73"/>
      <c r="E69" s="73" t="s">
        <v>27</v>
      </c>
      <c r="F69" s="2"/>
      <c r="G69" s="2"/>
      <c r="H69" s="2"/>
      <c r="I69" s="2"/>
      <c r="K69" s="7"/>
      <c r="L69" s="7"/>
    </row>
    <row r="70" spans="1:15">
      <c r="C70" s="2"/>
      <c r="D70" s="8" t="s">
        <v>28</v>
      </c>
      <c r="E70" s="8" t="s">
        <v>29</v>
      </c>
      <c r="F70" s="8"/>
      <c r="G70" s="8"/>
      <c r="H70" s="8"/>
      <c r="I70" s="2"/>
      <c r="J70" s="2"/>
      <c r="K70" s="7"/>
      <c r="L70" s="7"/>
    </row>
    <row r="71" spans="1:15">
      <c r="C71" s="2"/>
      <c r="D71" s="8"/>
      <c r="E71" s="8"/>
      <c r="F71" s="8"/>
      <c r="G71" s="8"/>
      <c r="H71" s="8"/>
      <c r="I71" s="2"/>
      <c r="J71" s="2"/>
      <c r="K71" s="209"/>
      <c r="L71" s="210"/>
      <c r="M71" s="208" t="str">
        <f>+M8</f>
        <v>For the 12 months ended 12/31/23</v>
      </c>
    </row>
    <row r="72" spans="1:15" ht="15.6">
      <c r="C72" s="7"/>
      <c r="D72" s="7"/>
      <c r="E72" s="211" t="str">
        <f>+E9</f>
        <v>New York Transco LLC</v>
      </c>
      <c r="F72" s="8"/>
      <c r="G72" s="8"/>
      <c r="H72" s="8"/>
      <c r="I72" s="8"/>
      <c r="J72" s="8"/>
      <c r="K72" s="8"/>
      <c r="L72" s="8"/>
      <c r="M72" s="356"/>
    </row>
    <row r="73" spans="1:15">
      <c r="C73" s="24" t="s">
        <v>33</v>
      </c>
      <c r="D73" s="24" t="s">
        <v>34</v>
      </c>
      <c r="E73" s="24" t="s">
        <v>35</v>
      </c>
      <c r="F73" s="8" t="s">
        <v>28</v>
      </c>
      <c r="G73" s="8"/>
      <c r="H73" s="25" t="s">
        <v>50</v>
      </c>
      <c r="I73" s="8"/>
      <c r="J73" s="26" t="s">
        <v>51</v>
      </c>
      <c r="K73" s="8"/>
      <c r="L73" s="10"/>
      <c r="M73" s="10"/>
    </row>
    <row r="74" spans="1:15" ht="15.6">
      <c r="C74" s="7"/>
      <c r="D74" s="27" t="s">
        <v>52</v>
      </c>
      <c r="E74" s="8"/>
      <c r="F74" s="8"/>
      <c r="G74" s="8"/>
      <c r="H74" s="4"/>
      <c r="I74" s="8"/>
      <c r="J74" s="28" t="s">
        <v>53</v>
      </c>
      <c r="K74" s="8"/>
      <c r="L74" s="24"/>
      <c r="M74" s="29"/>
    </row>
    <row r="75" spans="1:15" ht="15.6">
      <c r="A75" s="9" t="s">
        <v>36</v>
      </c>
      <c r="C75" s="7"/>
      <c r="D75" s="30" t="s">
        <v>54</v>
      </c>
      <c r="E75" s="28" t="s">
        <v>55</v>
      </c>
      <c r="F75" s="31"/>
      <c r="G75" s="28" t="s">
        <v>56</v>
      </c>
      <c r="H75" s="7"/>
      <c r="I75" s="31"/>
      <c r="J75" s="32" t="s">
        <v>57</v>
      </c>
      <c r="K75" s="8"/>
      <c r="L75" s="4"/>
      <c r="M75" s="51"/>
    </row>
    <row r="76" spans="1:15" ht="16.2" thickBot="1">
      <c r="A76" s="12" t="s">
        <v>38</v>
      </c>
      <c r="C76" s="33" t="s">
        <v>58</v>
      </c>
      <c r="D76" s="8"/>
      <c r="E76" s="8"/>
      <c r="F76" s="8"/>
      <c r="G76" s="8"/>
      <c r="H76" s="8"/>
      <c r="I76" s="8"/>
      <c r="J76" s="8"/>
      <c r="K76" s="8"/>
      <c r="L76" s="8"/>
      <c r="M76" s="51"/>
    </row>
    <row r="77" spans="1:15">
      <c r="A77" s="9"/>
      <c r="C77" s="7"/>
      <c r="D77" s="8"/>
      <c r="E77" s="8"/>
      <c r="F77" s="8"/>
      <c r="G77" s="8"/>
      <c r="H77" s="8"/>
      <c r="I77" s="8"/>
      <c r="J77" s="8"/>
      <c r="K77" s="8"/>
      <c r="L77" s="8"/>
      <c r="M77" s="51"/>
    </row>
    <row r="78" spans="1:15">
      <c r="A78" s="9"/>
      <c r="C78" s="7" t="s">
        <v>59</v>
      </c>
      <c r="D78" s="8"/>
      <c r="E78" s="8"/>
      <c r="F78" s="8"/>
      <c r="G78" s="8"/>
      <c r="H78" s="8"/>
      <c r="I78" s="8"/>
      <c r="J78" s="8"/>
      <c r="K78" s="8"/>
      <c r="L78" s="8"/>
      <c r="M78" s="51"/>
    </row>
    <row r="79" spans="1:15" ht="15.6">
      <c r="A79" s="9">
        <f>+A25+1</f>
        <v>6</v>
      </c>
      <c r="C79" s="7" t="s">
        <v>60</v>
      </c>
      <c r="D79" s="8" t="s">
        <v>61</v>
      </c>
      <c r="E79" s="74">
        <f>+'2 - Cost Support '!F84</f>
        <v>0</v>
      </c>
      <c r="F79" s="8"/>
      <c r="G79" s="8" t="s">
        <v>62</v>
      </c>
      <c r="H79" s="520">
        <v>0</v>
      </c>
      <c r="I79" s="8"/>
      <c r="J79" s="109">
        <f>+H79*E79</f>
        <v>0</v>
      </c>
      <c r="K79" s="719"/>
      <c r="L79" s="80"/>
      <c r="M79" s="51"/>
      <c r="N79" s="34"/>
    </row>
    <row r="80" spans="1:15">
      <c r="A80" s="9">
        <f>+A79+1</f>
        <v>7</v>
      </c>
      <c r="C80" s="7" t="s">
        <v>63</v>
      </c>
      <c r="D80" s="8" t="s">
        <v>64</v>
      </c>
      <c r="E80" s="74">
        <f>+'2 - Cost Support '!F20</f>
        <v>567674325.46153843</v>
      </c>
      <c r="F80" s="8"/>
      <c r="G80" s="8" t="s">
        <v>65</v>
      </c>
      <c r="H80" s="520">
        <f>+J$222</f>
        <v>1</v>
      </c>
      <c r="I80" s="8"/>
      <c r="J80" s="109">
        <f>+H80*E80</f>
        <v>567674325.46153843</v>
      </c>
      <c r="K80" s="8"/>
      <c r="L80" s="80"/>
      <c r="N80" s="1088">
        <f>+'2 - Cost Support '!F20</f>
        <v>567674325.46153843</v>
      </c>
      <c r="O80" s="89" t="s">
        <v>66</v>
      </c>
    </row>
    <row r="81" spans="1:15">
      <c r="A81" s="9">
        <f>+A80+1</f>
        <v>8</v>
      </c>
      <c r="C81" s="7" t="s">
        <v>67</v>
      </c>
      <c r="D81" s="8" t="s">
        <v>68</v>
      </c>
      <c r="E81" s="74">
        <f>+'2 - Cost Support '!F36</f>
        <v>0</v>
      </c>
      <c r="F81" s="8"/>
      <c r="G81" s="8" t="s">
        <v>62</v>
      </c>
      <c r="H81" s="520">
        <v>0</v>
      </c>
      <c r="I81" s="8"/>
      <c r="J81" s="109">
        <f>+H81*E81</f>
        <v>0</v>
      </c>
      <c r="K81" s="8"/>
      <c r="L81" s="80"/>
      <c r="N81" s="1088"/>
    </row>
    <row r="82" spans="1:15">
      <c r="A82" s="9">
        <f>+A81+1</f>
        <v>9</v>
      </c>
      <c r="C82" s="7" t="s">
        <v>69</v>
      </c>
      <c r="D82" s="8" t="s">
        <v>70</v>
      </c>
      <c r="E82" s="74">
        <f>+'2 - Cost Support '!F52+'2 - Cost Support '!F68</f>
        <v>173630230</v>
      </c>
      <c r="F82" s="8"/>
      <c r="G82" s="8" t="s">
        <v>71</v>
      </c>
      <c r="H82" s="520">
        <v>1</v>
      </c>
      <c r="I82" s="8"/>
      <c r="J82" s="109">
        <f>+H82*E82</f>
        <v>173630230</v>
      </c>
      <c r="K82" s="8"/>
      <c r="L82" s="80"/>
      <c r="N82" s="1088">
        <f>+'2 - Cost Support '!F52</f>
        <v>168562541</v>
      </c>
      <c r="O82" s="89" t="s">
        <v>72</v>
      </c>
    </row>
    <row r="83" spans="1:15">
      <c r="A83" s="9">
        <f>+A82+1</f>
        <v>10</v>
      </c>
      <c r="C83" s="2" t="str">
        <f>"TOTAL GROSS PLANT (sum lines "&amp;A79&amp;"-"&amp;A82&amp;")"</f>
        <v>TOTAL GROSS PLANT (sum lines 6-9)</v>
      </c>
      <c r="D83" s="8" t="s">
        <v>73</v>
      </c>
      <c r="E83" s="74">
        <f>SUM(E79:E82)</f>
        <v>741304555.46153843</v>
      </c>
      <c r="F83" s="8"/>
      <c r="G83" s="8" t="s">
        <v>74</v>
      </c>
      <c r="H83" s="532">
        <f>IF(J83=0,0,J83/E83)</f>
        <v>1</v>
      </c>
      <c r="I83" s="8"/>
      <c r="J83" s="109">
        <f>SUM(J79:J82)</f>
        <v>741304555.46153843</v>
      </c>
      <c r="K83" s="8"/>
      <c r="L83" s="47"/>
      <c r="N83" s="1088">
        <f>+N80+N82</f>
        <v>736236866.46153843</v>
      </c>
      <c r="O83" s="89" t="s">
        <v>75</v>
      </c>
    </row>
    <row r="84" spans="1:15">
      <c r="A84" s="9"/>
      <c r="C84" s="7"/>
      <c r="D84" s="8"/>
      <c r="E84" s="74"/>
      <c r="F84" s="8"/>
      <c r="G84" s="8"/>
      <c r="H84" s="533"/>
      <c r="I84" s="8"/>
      <c r="J84" s="109"/>
      <c r="K84" s="8"/>
      <c r="L84" s="35"/>
      <c r="N84" s="1088"/>
    </row>
    <row r="85" spans="1:15">
      <c r="A85" s="9">
        <f>+A83+1</f>
        <v>11</v>
      </c>
      <c r="C85" s="7" t="s">
        <v>76</v>
      </c>
      <c r="D85" s="8"/>
      <c r="E85" s="74"/>
      <c r="F85" s="8"/>
      <c r="G85" s="8"/>
      <c r="H85" s="520"/>
      <c r="I85" s="8"/>
      <c r="J85" s="109"/>
      <c r="K85" s="8"/>
      <c r="L85" s="8"/>
      <c r="N85" s="1088"/>
    </row>
    <row r="86" spans="1:15">
      <c r="A86" s="9">
        <f>+A85+1</f>
        <v>12</v>
      </c>
      <c r="C86" s="7" t="str">
        <f>+C79</f>
        <v xml:space="preserve">  Production</v>
      </c>
      <c r="D86" s="8" t="s">
        <v>77</v>
      </c>
      <c r="E86" s="74">
        <f>+'2 - Cost Support '!F170</f>
        <v>0</v>
      </c>
      <c r="F86" s="8"/>
      <c r="G86" s="8" t="str">
        <f>+G79</f>
        <v>NA</v>
      </c>
      <c r="H86" s="520">
        <v>0</v>
      </c>
      <c r="I86" s="8"/>
      <c r="J86" s="109">
        <f>+H86*E86</f>
        <v>0</v>
      </c>
      <c r="K86" s="8"/>
      <c r="L86" s="80"/>
      <c r="N86" s="1088"/>
    </row>
    <row r="87" spans="1:15">
      <c r="A87" s="9">
        <f>+A86+1</f>
        <v>13</v>
      </c>
      <c r="C87" s="7" t="s">
        <v>63</v>
      </c>
      <c r="D87" s="8" t="s">
        <v>78</v>
      </c>
      <c r="E87" s="74">
        <f>+'2 - Cost Support '!F106</f>
        <v>17523620.923076924</v>
      </c>
      <c r="F87" s="8"/>
      <c r="G87" s="8" t="str">
        <f>+G80</f>
        <v>TP</v>
      </c>
      <c r="H87" s="520">
        <f>+J$222</f>
        <v>1</v>
      </c>
      <c r="I87" s="8"/>
      <c r="J87" s="109">
        <f>+H87*E87</f>
        <v>17523620.923076924</v>
      </c>
      <c r="K87" s="8"/>
      <c r="L87" s="82"/>
      <c r="N87" s="1088">
        <f>+'2 - Cost Support '!F106</f>
        <v>17523620.923076924</v>
      </c>
      <c r="O87" s="89" t="s">
        <v>79</v>
      </c>
    </row>
    <row r="88" spans="1:15">
      <c r="A88" s="9">
        <f>+A87+1</f>
        <v>14</v>
      </c>
      <c r="C88" s="7" t="str">
        <f>+C81</f>
        <v xml:space="preserve">  Distribution</v>
      </c>
      <c r="D88" s="8" t="s">
        <v>80</v>
      </c>
      <c r="E88" s="74">
        <f>+'2 - Cost Support '!F122</f>
        <v>0</v>
      </c>
      <c r="F88" s="8"/>
      <c r="G88" s="8" t="str">
        <f>+G81</f>
        <v>NA</v>
      </c>
      <c r="H88" s="520">
        <v>0</v>
      </c>
      <c r="I88" s="8"/>
      <c r="J88" s="109">
        <f>+H88*E88</f>
        <v>0</v>
      </c>
      <c r="K88" s="8"/>
      <c r="L88" s="82"/>
      <c r="N88" s="1088"/>
    </row>
    <row r="89" spans="1:15">
      <c r="A89" s="9">
        <f>+A88+1</f>
        <v>15</v>
      </c>
      <c r="C89" s="7" t="s">
        <v>69</v>
      </c>
      <c r="D89" s="8" t="s">
        <v>81</v>
      </c>
      <c r="E89" s="74">
        <f>+'2 - Cost Support '!F138+'2 - Cost Support '!F154</f>
        <v>23157008</v>
      </c>
      <c r="F89" s="8"/>
      <c r="G89" s="8" t="str">
        <f>+G82</f>
        <v>W/S</v>
      </c>
      <c r="H89" s="520">
        <f>+J$230</f>
        <v>1</v>
      </c>
      <c r="I89" s="8"/>
      <c r="J89" s="109">
        <f>+H89*E89</f>
        <v>23157008</v>
      </c>
      <c r="K89" s="8"/>
      <c r="L89" s="82"/>
      <c r="N89" s="1088">
        <f>+'2 - Cost Support '!F138</f>
        <v>22899679</v>
      </c>
      <c r="O89" s="89" t="s">
        <v>82</v>
      </c>
    </row>
    <row r="90" spans="1:15">
      <c r="A90" s="9">
        <f>+A89+1</f>
        <v>16</v>
      </c>
      <c r="C90" s="7" t="str">
        <f>"TOTAL ACCUM. DEPRECIATION (sum lines "&amp;A86&amp;"-"&amp;A89&amp;")"</f>
        <v>TOTAL ACCUM. DEPRECIATION (sum lines 12-15)</v>
      </c>
      <c r="D90" s="8"/>
      <c r="E90" s="74">
        <f>SUM(E86:E89)</f>
        <v>40680628.923076928</v>
      </c>
      <c r="F90" s="8"/>
      <c r="G90" s="8"/>
      <c r="H90" s="520"/>
      <c r="I90" s="8"/>
      <c r="J90" s="109">
        <f>SUM(J86:J89)</f>
        <v>40680628.923076928</v>
      </c>
      <c r="K90" s="8"/>
      <c r="L90" s="8"/>
      <c r="N90" s="1088">
        <f>+N87+N89</f>
        <v>40423299.923076928</v>
      </c>
      <c r="O90" s="89" t="s">
        <v>83</v>
      </c>
    </row>
    <row r="91" spans="1:15">
      <c r="A91" s="9"/>
      <c r="D91" s="8" t="s">
        <v>28</v>
      </c>
      <c r="E91" s="347"/>
      <c r="F91" s="8"/>
      <c r="G91" s="8"/>
      <c r="H91" s="533"/>
      <c r="I91" s="8"/>
      <c r="J91" s="96"/>
      <c r="K91" s="8"/>
      <c r="L91" s="35"/>
      <c r="N91" s="1088"/>
    </row>
    <row r="92" spans="1:15">
      <c r="A92" s="9">
        <f>+A90+1</f>
        <v>17</v>
      </c>
      <c r="C92" s="7" t="s">
        <v>84</v>
      </c>
      <c r="D92" s="8"/>
      <c r="E92" s="74"/>
      <c r="F92" s="8"/>
      <c r="G92" s="8"/>
      <c r="H92" s="520"/>
      <c r="I92" s="8"/>
      <c r="J92" s="109"/>
      <c r="K92" s="8"/>
      <c r="L92" s="8"/>
      <c r="N92" s="1088"/>
    </row>
    <row r="93" spans="1:15">
      <c r="A93" s="9">
        <f>+A92+1</f>
        <v>18</v>
      </c>
      <c r="C93" s="7" t="str">
        <f>+C86</f>
        <v xml:space="preserve">  Production</v>
      </c>
      <c r="D93" s="8" t="str">
        <f>" (line "&amp;A79&amp;"- line "&amp;A86&amp;")"</f>
        <v xml:space="preserve"> (line 6- line 12)</v>
      </c>
      <c r="E93" s="74">
        <f>+E79-E86</f>
        <v>0</v>
      </c>
      <c r="F93" s="8"/>
      <c r="G93" s="8"/>
      <c r="H93" s="533"/>
      <c r="I93" s="8"/>
      <c r="J93" s="109">
        <f>+J79-J86</f>
        <v>0</v>
      </c>
      <c r="K93" s="8"/>
      <c r="L93" s="35"/>
      <c r="N93" s="1088"/>
    </row>
    <row r="94" spans="1:15">
      <c r="A94" s="9">
        <f>+A93+1</f>
        <v>19</v>
      </c>
      <c r="C94" s="7" t="s">
        <v>85</v>
      </c>
      <c r="D94" s="8" t="str">
        <f>" (line "&amp;A80&amp;"- line "&amp;A87&amp;")"</f>
        <v xml:space="preserve"> (line 7- line 13)</v>
      </c>
      <c r="E94" s="74">
        <f>+E80-E87</f>
        <v>550150704.53846157</v>
      </c>
      <c r="F94" s="8"/>
      <c r="G94" s="8"/>
      <c r="H94" s="520"/>
      <c r="I94" s="8"/>
      <c r="J94" s="109">
        <f>+J80-J87</f>
        <v>550150704.53846157</v>
      </c>
      <c r="K94" s="8"/>
      <c r="L94" s="35"/>
      <c r="N94" s="1088"/>
    </row>
    <row r="95" spans="1:15">
      <c r="A95" s="9">
        <f>+A94+1</f>
        <v>20</v>
      </c>
      <c r="C95" s="7" t="str">
        <f>+C88</f>
        <v xml:space="preserve">  Distribution</v>
      </c>
      <c r="D95" s="8" t="str">
        <f>" (line "&amp;A81&amp;"- line "&amp;A88&amp;")"</f>
        <v xml:space="preserve"> (line 8- line 14)</v>
      </c>
      <c r="E95" s="74">
        <f>+E81-E88</f>
        <v>0</v>
      </c>
      <c r="F95" s="8"/>
      <c r="G95" s="8"/>
      <c r="H95" s="533"/>
      <c r="I95" s="8"/>
      <c r="J95" s="109">
        <f>+J81-J88</f>
        <v>0</v>
      </c>
      <c r="K95" s="8"/>
      <c r="L95" s="35"/>
      <c r="N95" s="1088"/>
    </row>
    <row r="96" spans="1:15">
      <c r="A96" s="9">
        <f>+A95+1</f>
        <v>21</v>
      </c>
      <c r="C96" s="7" t="s">
        <v>86</v>
      </c>
      <c r="D96" s="8" t="str">
        <f>" (line "&amp;A82&amp;"- line "&amp;A89&amp;")"</f>
        <v xml:space="preserve"> (line 9- line 15)</v>
      </c>
      <c r="E96" s="74">
        <f>+E82-E89</f>
        <v>150473222</v>
      </c>
      <c r="F96" s="8"/>
      <c r="G96" s="8"/>
      <c r="H96" s="533"/>
      <c r="I96" s="8"/>
      <c r="J96" s="109">
        <f>+J82-J89</f>
        <v>150473222</v>
      </c>
      <c r="K96" s="8"/>
      <c r="L96" s="35"/>
      <c r="N96" s="1088"/>
    </row>
    <row r="97" spans="1:15">
      <c r="A97" s="9">
        <f>+A96+1</f>
        <v>22</v>
      </c>
      <c r="C97" s="7" t="str">
        <f>"TOTAL NET PLANT (sum lines "&amp;A93&amp;"-"&amp;A96&amp;")"</f>
        <v>TOTAL NET PLANT (sum lines 18-21)</v>
      </c>
      <c r="D97" s="8" t="s">
        <v>87</v>
      </c>
      <c r="E97" s="74">
        <f>SUM(E93:E96)</f>
        <v>700623926.53846157</v>
      </c>
      <c r="F97" s="8"/>
      <c r="G97" s="8" t="s">
        <v>88</v>
      </c>
      <c r="H97" s="532">
        <f>IF(J97=0,0,J97/E97)</f>
        <v>1</v>
      </c>
      <c r="I97" s="8"/>
      <c r="J97" s="109">
        <f>SUM(J93:J96)</f>
        <v>700623926.53846157</v>
      </c>
      <c r="K97" s="8"/>
      <c r="L97" s="8"/>
      <c r="N97" s="1088">
        <f>+N83-N90</f>
        <v>695813566.53846145</v>
      </c>
      <c r="O97" s="89" t="s">
        <v>89</v>
      </c>
    </row>
    <row r="98" spans="1:15">
      <c r="A98" s="9"/>
      <c r="D98" s="8"/>
      <c r="E98" s="347"/>
      <c r="F98" s="8"/>
      <c r="H98" s="534"/>
      <c r="I98" s="8"/>
      <c r="J98" s="96"/>
      <c r="K98" s="8"/>
      <c r="L98" s="35"/>
      <c r="N98" s="51"/>
    </row>
    <row r="99" spans="1:15">
      <c r="A99" s="9">
        <f>+A97+1</f>
        <v>23</v>
      </c>
      <c r="C99" s="2" t="str">
        <f>"ADJUSTMENTS TO RATE BASE       (Note "&amp;A273&amp;")"</f>
        <v>ADJUSTMENTS TO RATE BASE       (Note A)</v>
      </c>
      <c r="D99" s="8"/>
      <c r="E99" s="74"/>
      <c r="F99" s="8"/>
      <c r="G99" s="8"/>
      <c r="H99" s="523"/>
      <c r="I99" s="8"/>
      <c r="J99" s="109"/>
      <c r="K99" s="8"/>
      <c r="L99" s="8"/>
      <c r="M99" s="51"/>
    </row>
    <row r="100" spans="1:15">
      <c r="A100" s="9">
        <f t="shared" ref="A100:A107" si="0">+A99+1</f>
        <v>24</v>
      </c>
      <c r="C100" s="7" t="s">
        <v>90</v>
      </c>
      <c r="D100" s="8" t="s">
        <v>91</v>
      </c>
      <c r="E100" s="74">
        <f>+'6a- ADIT'!G17</f>
        <v>-31331168</v>
      </c>
      <c r="F100" s="8"/>
      <c r="G100" s="8" t="str">
        <f>+G109</f>
        <v>TP</v>
      </c>
      <c r="H100" s="523">
        <f>+H109</f>
        <v>1</v>
      </c>
      <c r="I100" s="8"/>
      <c r="J100" s="74">
        <f t="shared" ref="J100:J105" si="1">+H100*E100</f>
        <v>-31331168</v>
      </c>
      <c r="K100" s="8"/>
      <c r="L100" s="8"/>
      <c r="M100" s="51"/>
      <c r="N100" s="16"/>
    </row>
    <row r="101" spans="1:15">
      <c r="A101" s="9" t="s">
        <v>92</v>
      </c>
      <c r="C101" s="7" t="s">
        <v>93</v>
      </c>
      <c r="D101" s="8" t="s">
        <v>94</v>
      </c>
      <c r="E101" s="74">
        <f>'Attachment 11'!H51</f>
        <v>-11505151</v>
      </c>
      <c r="F101" s="8"/>
      <c r="G101" s="8"/>
      <c r="H101" s="523"/>
      <c r="I101" s="8"/>
      <c r="J101" s="74">
        <f>E101</f>
        <v>-11505151</v>
      </c>
      <c r="K101" s="8"/>
      <c r="L101" s="8"/>
      <c r="M101" s="51"/>
      <c r="N101" s="1218"/>
    </row>
    <row r="102" spans="1:15">
      <c r="A102" s="9">
        <f>+A100+1</f>
        <v>25</v>
      </c>
      <c r="C102" s="7" t="s">
        <v>95</v>
      </c>
      <c r="D102" s="8" t="s">
        <v>96</v>
      </c>
      <c r="E102" s="74">
        <f>+'3 - Cost Support'!G5</f>
        <v>0</v>
      </c>
      <c r="F102" s="8"/>
      <c r="G102" s="8" t="s">
        <v>97</v>
      </c>
      <c r="H102" s="523">
        <f>+H$97</f>
        <v>1</v>
      </c>
      <c r="I102" s="8"/>
      <c r="J102" s="87">
        <f t="shared" si="1"/>
        <v>0</v>
      </c>
      <c r="K102" s="8"/>
      <c r="L102" s="8"/>
      <c r="M102" s="51"/>
      <c r="N102" s="16"/>
    </row>
    <row r="103" spans="1:15">
      <c r="A103" s="9">
        <f t="shared" si="0"/>
        <v>26</v>
      </c>
      <c r="C103" s="7" t="s">
        <v>98</v>
      </c>
      <c r="D103" s="8" t="s">
        <v>99</v>
      </c>
      <c r="E103" s="87">
        <f>+'10 - Workpaper'!V81</f>
        <v>173859424.84615386</v>
      </c>
      <c r="F103" s="8"/>
      <c r="G103" s="8" t="s">
        <v>47</v>
      </c>
      <c r="H103" s="535"/>
      <c r="I103" s="8"/>
      <c r="J103" s="87">
        <f>+E103</f>
        <v>173859424.84615386</v>
      </c>
      <c r="K103" s="8"/>
      <c r="L103" s="47"/>
      <c r="M103" s="51"/>
      <c r="N103" s="16"/>
    </row>
    <row r="104" spans="1:15">
      <c r="A104" s="9">
        <f t="shared" si="0"/>
        <v>27</v>
      </c>
      <c r="C104" s="7" t="s">
        <v>100</v>
      </c>
      <c r="D104" s="8" t="s">
        <v>101</v>
      </c>
      <c r="E104" s="87">
        <f>+'3 - Cost Support'!H42</f>
        <v>0</v>
      </c>
      <c r="F104" s="8"/>
      <c r="G104" s="8" t="str">
        <f>+G105</f>
        <v>DA</v>
      </c>
      <c r="H104" s="535">
        <f>+H105</f>
        <v>1</v>
      </c>
      <c r="I104" s="8"/>
      <c r="J104" s="87">
        <f t="shared" si="1"/>
        <v>0</v>
      </c>
      <c r="K104" s="8"/>
      <c r="L104" s="47"/>
      <c r="M104" s="51"/>
      <c r="N104" s="16"/>
    </row>
    <row r="105" spans="1:15">
      <c r="A105" s="9">
        <f>+A104+1</f>
        <v>28</v>
      </c>
      <c r="C105" s="7" t="s">
        <v>102</v>
      </c>
      <c r="D105" s="8" t="s">
        <v>103</v>
      </c>
      <c r="E105" s="87">
        <f>+'10 - Workpaper'!Z21</f>
        <v>0</v>
      </c>
      <c r="F105" s="8"/>
      <c r="G105" s="8" t="str">
        <f>+G106</f>
        <v>DA</v>
      </c>
      <c r="H105" s="535">
        <f>+H106</f>
        <v>1</v>
      </c>
      <c r="I105" s="8"/>
      <c r="J105" s="87">
        <f t="shared" si="1"/>
        <v>0</v>
      </c>
      <c r="K105" s="8"/>
      <c r="L105" s="47"/>
      <c r="M105" s="51"/>
      <c r="N105" s="16"/>
    </row>
    <row r="106" spans="1:15">
      <c r="A106" s="9">
        <f t="shared" si="0"/>
        <v>29</v>
      </c>
      <c r="C106" s="348" t="s">
        <v>104</v>
      </c>
      <c r="D106" s="349" t="s">
        <v>105</v>
      </c>
      <c r="E106" s="350">
        <f>+'10 - Workpaper'!Z41</f>
        <v>0</v>
      </c>
      <c r="F106" s="349"/>
      <c r="G106" s="349" t="s">
        <v>47</v>
      </c>
      <c r="H106" s="521">
        <v>1</v>
      </c>
      <c r="I106" s="349"/>
      <c r="J106" s="351">
        <f>+H106*E106</f>
        <v>0</v>
      </c>
      <c r="K106" s="8"/>
      <c r="L106" s="8"/>
      <c r="M106" s="51"/>
      <c r="N106" s="16"/>
    </row>
    <row r="107" spans="1:15">
      <c r="A107" s="9">
        <f t="shared" si="0"/>
        <v>30</v>
      </c>
      <c r="C107" s="71" t="str">
        <f>"TOTAL ADJUSTMENTS  (sum lines "&amp;A100&amp;"-"&amp;A106&amp;")"</f>
        <v>TOTAL ADJUSTMENTS  (sum lines 24-29)</v>
      </c>
      <c r="D107" s="8"/>
      <c r="E107" s="74">
        <f>SUM(E100:E106)</f>
        <v>131023105.84615386</v>
      </c>
      <c r="F107" s="8"/>
      <c r="G107" s="8"/>
      <c r="H107" s="520"/>
      <c r="I107" s="8"/>
      <c r="J107" s="109">
        <f>SUM(J100:J106)</f>
        <v>131023105.84615386</v>
      </c>
      <c r="K107" s="8"/>
      <c r="L107" s="8"/>
      <c r="M107" s="51"/>
    </row>
    <row r="108" spans="1:15">
      <c r="A108" s="9"/>
      <c r="D108" s="8"/>
      <c r="E108" s="347"/>
      <c r="F108" s="8"/>
      <c r="G108" s="8"/>
      <c r="H108" s="533"/>
      <c r="I108" s="8"/>
      <c r="J108" s="96"/>
      <c r="K108" s="8"/>
      <c r="L108" s="35"/>
      <c r="M108" s="51"/>
    </row>
    <row r="109" spans="1:15" ht="15.6">
      <c r="A109" s="9">
        <f>+A107+1</f>
        <v>31</v>
      </c>
      <c r="C109" s="2" t="s">
        <v>106</v>
      </c>
      <c r="D109" s="8" t="s">
        <v>21</v>
      </c>
      <c r="E109" s="74">
        <f>+'10 - Workpaper'!S61</f>
        <v>0</v>
      </c>
      <c r="F109" s="8"/>
      <c r="G109" s="8" t="str">
        <f>+G87</f>
        <v>TP</v>
      </c>
      <c r="H109" s="520">
        <f>+J$222</f>
        <v>1</v>
      </c>
      <c r="I109" s="8"/>
      <c r="J109" s="109">
        <f>+H109*E109</f>
        <v>0</v>
      </c>
      <c r="K109" s="719"/>
      <c r="L109" s="8"/>
      <c r="M109" s="51"/>
    </row>
    <row r="110" spans="1:15">
      <c r="A110" s="9"/>
      <c r="C110" s="7"/>
      <c r="D110" s="8"/>
      <c r="E110" s="74"/>
      <c r="F110" s="8"/>
      <c r="G110" s="8"/>
      <c r="H110" s="520"/>
      <c r="I110" s="8"/>
      <c r="J110" s="109"/>
      <c r="K110" s="8"/>
      <c r="L110" s="8"/>
      <c r="M110" s="51"/>
    </row>
    <row r="111" spans="1:15">
      <c r="A111" s="9">
        <f>+A109+1</f>
        <v>32</v>
      </c>
      <c r="C111" s="7" t="str">
        <f>"WORKING CAPITAL  (Note "&amp;A277&amp;")"</f>
        <v>WORKING CAPITAL  (Note C)</v>
      </c>
      <c r="D111" s="8" t="s">
        <v>28</v>
      </c>
      <c r="E111" s="74"/>
      <c r="F111" s="8"/>
      <c r="G111" s="8"/>
      <c r="H111" s="520"/>
      <c r="I111" s="8"/>
      <c r="J111" s="109"/>
      <c r="K111" s="8"/>
      <c r="L111" s="8"/>
      <c r="M111" s="51"/>
    </row>
    <row r="112" spans="1:15">
      <c r="A112" s="9">
        <f>+A111+1</f>
        <v>33</v>
      </c>
      <c r="C112" s="7" t="s">
        <v>107</v>
      </c>
      <c r="D112" s="89" t="s">
        <v>108</v>
      </c>
      <c r="E112" s="74">
        <f>+E153/8</f>
        <v>1384562.5</v>
      </c>
      <c r="F112" s="8"/>
      <c r="G112" s="8"/>
      <c r="H112" s="533"/>
      <c r="I112" s="8"/>
      <c r="J112" s="74">
        <f>+J153/8</f>
        <v>1384562.5</v>
      </c>
      <c r="K112" s="8"/>
      <c r="L112" s="47"/>
      <c r="M112" s="51"/>
    </row>
    <row r="113" spans="1:13">
      <c r="A113" s="9">
        <f>+A112+1</f>
        <v>34</v>
      </c>
      <c r="C113" s="7" t="str">
        <f>"  Materials &amp; Supplies  (Note "&amp;A276&amp;")"</f>
        <v xml:space="preserve">  Materials &amp; Supplies  (Note B)</v>
      </c>
      <c r="D113" s="8" t="s">
        <v>109</v>
      </c>
      <c r="E113" s="74">
        <f>+'3 - Cost Support'!H114</f>
        <v>0</v>
      </c>
      <c r="F113" s="8"/>
      <c r="G113" s="8" t="str">
        <f>+G109</f>
        <v>TP</v>
      </c>
      <c r="H113" s="520">
        <f>+H109</f>
        <v>1</v>
      </c>
      <c r="I113" s="8"/>
      <c r="J113" s="109">
        <f>+H113*E113</f>
        <v>0</v>
      </c>
      <c r="K113" s="8"/>
      <c r="L113" s="35"/>
      <c r="M113" s="51"/>
    </row>
    <row r="114" spans="1:13">
      <c r="A114" s="9">
        <f>+A113+1</f>
        <v>35</v>
      </c>
      <c r="C114" s="348" t="str">
        <f xml:space="preserve">  "Prepayments (Account 165 - Note "&amp;A277&amp;")"</f>
        <v>Prepayments (Account 165 - Note C)</v>
      </c>
      <c r="D114" s="349" t="s">
        <v>110</v>
      </c>
      <c r="E114" s="350">
        <f>+'3 - Cost Support'!F26</f>
        <v>512054.84615384613</v>
      </c>
      <c r="F114" s="349"/>
      <c r="G114" s="349" t="s">
        <v>111</v>
      </c>
      <c r="H114" s="524">
        <f>+H$83</f>
        <v>1</v>
      </c>
      <c r="I114" s="349"/>
      <c r="J114" s="351">
        <f>+H114*E114</f>
        <v>512054.84615384613</v>
      </c>
      <c r="K114" s="8"/>
      <c r="L114" s="8"/>
      <c r="M114" s="8"/>
    </row>
    <row r="115" spans="1:13">
      <c r="A115" s="9">
        <f>+A114+1</f>
        <v>36</v>
      </c>
      <c r="C115" s="7" t="str">
        <f>"TOTAL WORKING CAPITAL (sum lines "&amp;A112&amp;"-"&amp;A114&amp;")"</f>
        <v>TOTAL WORKING CAPITAL (sum lines 33-35)</v>
      </c>
      <c r="D115" s="7"/>
      <c r="E115" s="109">
        <f>SUM(E112:E114)</f>
        <v>1896617.346153846</v>
      </c>
      <c r="F115" s="7"/>
      <c r="G115" s="7"/>
      <c r="H115" s="7"/>
      <c r="I115" s="7"/>
      <c r="J115" s="109">
        <f>SUM(J112:J114)</f>
        <v>1896617.346153846</v>
      </c>
      <c r="K115" s="8"/>
      <c r="L115" s="8"/>
      <c r="M115" s="8"/>
    </row>
    <row r="116" spans="1:13" ht="15.6" thickBot="1">
      <c r="A116" s="9"/>
      <c r="D116" s="8"/>
      <c r="E116" s="97"/>
      <c r="F116" s="8"/>
      <c r="G116" s="8"/>
      <c r="H116" s="8"/>
      <c r="I116" s="8"/>
      <c r="J116" s="97"/>
      <c r="K116" s="8"/>
    </row>
    <row r="117" spans="1:13" ht="15.6" thickBot="1">
      <c r="A117" s="9">
        <f>+A115+1</f>
        <v>37</v>
      </c>
      <c r="C117" s="7" t="str">
        <f>"RATE BASE  (sum lines "&amp;A97&amp;", "&amp;A107&amp;", "&amp;A109&amp;", &amp; "&amp;A115&amp;")"</f>
        <v>RATE BASE  (sum lines 22, 30, 31, &amp; 36)</v>
      </c>
      <c r="D117" s="8"/>
      <c r="E117" s="110">
        <f>+E97+E107+E109+E115</f>
        <v>833543649.73076928</v>
      </c>
      <c r="F117" s="8"/>
      <c r="G117" s="8"/>
      <c r="H117" s="35"/>
      <c r="I117" s="8"/>
      <c r="J117" s="110">
        <f>+J97+J107+J109+J115</f>
        <v>833543649.73076928</v>
      </c>
      <c r="K117" s="8"/>
      <c r="L117" s="8"/>
      <c r="M117" s="8"/>
    </row>
    <row r="118" spans="1:13" ht="15.6" thickTop="1">
      <c r="A118" s="9"/>
      <c r="C118" s="7"/>
      <c r="D118" s="8"/>
      <c r="E118" s="8"/>
      <c r="F118" s="8"/>
      <c r="G118" s="8"/>
      <c r="H118" s="8"/>
      <c r="I118" s="8"/>
      <c r="J118" s="109"/>
      <c r="K118" s="8"/>
      <c r="L118" s="8"/>
      <c r="M118" s="23"/>
    </row>
    <row r="119" spans="1:13">
      <c r="A119" s="9"/>
      <c r="C119" s="69"/>
      <c r="D119" s="8"/>
      <c r="E119" s="8"/>
      <c r="F119" s="8"/>
      <c r="G119" s="8"/>
      <c r="H119" s="8"/>
      <c r="I119" s="8"/>
      <c r="J119" s="109"/>
      <c r="K119" s="8"/>
      <c r="L119" s="8"/>
      <c r="M119" s="23"/>
    </row>
    <row r="120" spans="1:13">
      <c r="A120" s="9"/>
      <c r="C120" s="70"/>
      <c r="D120" s="8"/>
      <c r="E120" s="8"/>
      <c r="F120" s="8"/>
      <c r="G120" s="8"/>
      <c r="H120" s="8"/>
      <c r="I120" s="8"/>
      <c r="J120" s="109"/>
      <c r="K120" s="8"/>
      <c r="L120" s="8"/>
      <c r="M120" s="23"/>
    </row>
    <row r="121" spans="1:13">
      <c r="A121" s="9"/>
      <c r="C121" s="69"/>
      <c r="D121" s="8"/>
      <c r="E121" s="8"/>
      <c r="F121" s="8"/>
      <c r="G121" s="8"/>
      <c r="H121" s="8"/>
      <c r="I121" s="8"/>
      <c r="J121" s="109"/>
      <c r="K121" s="8"/>
      <c r="L121" s="8"/>
      <c r="M121" s="23"/>
    </row>
    <row r="122" spans="1:13">
      <c r="A122" s="9"/>
      <c r="C122" s="70"/>
      <c r="D122" s="8"/>
      <c r="E122" s="8"/>
      <c r="F122" s="8"/>
      <c r="G122" s="8"/>
      <c r="H122" s="8"/>
      <c r="I122" s="8"/>
      <c r="J122" s="109"/>
      <c r="K122" s="8"/>
      <c r="L122" s="8"/>
      <c r="M122" s="23"/>
    </row>
    <row r="123" spans="1:13">
      <c r="A123" s="9"/>
      <c r="C123" s="70"/>
      <c r="D123" s="8"/>
      <c r="E123" s="8"/>
      <c r="F123" s="8"/>
      <c r="G123" s="8"/>
      <c r="H123" s="8"/>
      <c r="I123" s="8"/>
      <c r="J123" s="109"/>
      <c r="K123" s="8"/>
      <c r="L123" s="8"/>
      <c r="M123" s="23"/>
    </row>
    <row r="124" spans="1:13">
      <c r="A124" s="9"/>
      <c r="D124" s="8"/>
      <c r="E124" s="8"/>
      <c r="F124" s="8"/>
      <c r="G124" s="8"/>
      <c r="H124" s="8"/>
      <c r="I124" s="8"/>
      <c r="J124" s="109"/>
      <c r="K124" s="8"/>
      <c r="L124" s="8"/>
      <c r="M124" s="23"/>
    </row>
    <row r="125" spans="1:13">
      <c r="A125" s="9"/>
      <c r="C125" s="19"/>
      <c r="D125" s="8"/>
      <c r="E125" s="8"/>
      <c r="F125" s="8"/>
      <c r="G125" s="8"/>
      <c r="H125" s="8"/>
      <c r="I125" s="8"/>
      <c r="J125" s="109"/>
      <c r="K125" s="8"/>
      <c r="L125" s="8"/>
      <c r="M125" s="23"/>
    </row>
    <row r="126" spans="1:13">
      <c r="A126" s="9"/>
      <c r="C126" s="20"/>
      <c r="D126" s="8"/>
      <c r="E126" s="8"/>
      <c r="F126" s="8"/>
      <c r="G126" s="8"/>
      <c r="H126" s="8"/>
      <c r="I126" s="8"/>
      <c r="J126" s="109"/>
      <c r="K126" s="8"/>
      <c r="L126" s="8"/>
      <c r="M126" s="23"/>
    </row>
    <row r="127" spans="1:13">
      <c r="A127" s="9"/>
      <c r="C127" s="20"/>
      <c r="D127" s="8"/>
      <c r="E127" s="8"/>
      <c r="F127" s="8"/>
      <c r="G127" s="8"/>
      <c r="H127" s="8"/>
      <c r="I127" s="8"/>
      <c r="J127" s="109"/>
      <c r="K127" s="8"/>
      <c r="L127" s="8"/>
      <c r="M127" s="23"/>
    </row>
    <row r="128" spans="1:13">
      <c r="A128" s="9"/>
      <c r="C128" s="7"/>
      <c r="D128" s="8"/>
      <c r="E128" s="8"/>
      <c r="F128" s="8"/>
      <c r="G128" s="8"/>
      <c r="H128" s="8"/>
      <c r="I128" s="8"/>
      <c r="J128" s="109"/>
      <c r="K128" s="8"/>
      <c r="L128" s="8"/>
      <c r="M128" s="23"/>
    </row>
    <row r="129" spans="1:14">
      <c r="A129" s="9"/>
      <c r="C129" s="2"/>
      <c r="D129" s="2"/>
      <c r="E129" s="3"/>
      <c r="F129" s="2"/>
      <c r="G129" s="2"/>
      <c r="H129" s="2"/>
      <c r="I129" s="2"/>
      <c r="J129" s="111"/>
      <c r="K129" s="4"/>
      <c r="L129" s="4"/>
      <c r="M129" s="5" t="s">
        <v>1</v>
      </c>
    </row>
    <row r="130" spans="1:14">
      <c r="A130" s="9"/>
      <c r="C130" s="2"/>
      <c r="D130" s="2"/>
      <c r="E130" s="3"/>
      <c r="F130" s="2"/>
      <c r="G130" s="2"/>
      <c r="H130" s="2"/>
      <c r="I130" s="2"/>
      <c r="J130" s="112"/>
      <c r="K130" s="5"/>
      <c r="L130" s="5"/>
      <c r="M130" s="6" t="s">
        <v>112</v>
      </c>
    </row>
    <row r="131" spans="1:14">
      <c r="A131" s="9"/>
      <c r="C131" s="2"/>
      <c r="D131" s="2"/>
      <c r="E131" s="3"/>
      <c r="F131" s="2"/>
      <c r="G131" s="2"/>
      <c r="H131" s="2"/>
      <c r="I131" s="2"/>
      <c r="J131" s="113"/>
      <c r="K131" s="6"/>
      <c r="L131" s="6"/>
      <c r="M131" s="6"/>
    </row>
    <row r="132" spans="1:14">
      <c r="A132" s="9"/>
      <c r="C132" s="2"/>
      <c r="D132" s="2"/>
      <c r="E132" s="3"/>
      <c r="F132" s="2"/>
      <c r="G132" s="2"/>
      <c r="H132" s="2"/>
      <c r="I132" s="2"/>
      <c r="J132" s="114"/>
      <c r="K132" s="7"/>
      <c r="L132" s="6"/>
      <c r="M132" s="6"/>
    </row>
    <row r="133" spans="1:14">
      <c r="A133" s="9"/>
      <c r="C133" s="2"/>
      <c r="D133" s="2"/>
      <c r="E133" s="3"/>
      <c r="F133" s="2"/>
      <c r="G133" s="2"/>
      <c r="H133" s="2"/>
      <c r="I133" s="2"/>
      <c r="J133" s="114"/>
      <c r="K133" s="7"/>
      <c r="L133" s="6"/>
    </row>
    <row r="134" spans="1:14">
      <c r="A134" s="9"/>
      <c r="C134" s="2" t="s">
        <v>26</v>
      </c>
      <c r="D134" s="73"/>
      <c r="E134" s="73" t="s">
        <v>27</v>
      </c>
      <c r="F134" s="2"/>
      <c r="G134" s="2"/>
      <c r="H134" s="2"/>
      <c r="I134" s="2"/>
      <c r="J134" s="96"/>
      <c r="K134" s="7"/>
      <c r="L134" s="7"/>
    </row>
    <row r="135" spans="1:14">
      <c r="A135" s="9"/>
      <c r="C135" s="2"/>
      <c r="D135" s="8" t="s">
        <v>28</v>
      </c>
      <c r="E135" s="8" t="s">
        <v>29</v>
      </c>
      <c r="F135" s="8"/>
      <c r="G135" s="8"/>
      <c r="H135" s="8"/>
      <c r="I135" s="2"/>
      <c r="J135" s="114"/>
      <c r="K135" s="7"/>
      <c r="L135" s="7"/>
    </row>
    <row r="136" spans="1:14">
      <c r="A136" s="9"/>
      <c r="C136" s="2"/>
      <c r="D136" s="8"/>
      <c r="E136" s="8"/>
      <c r="F136" s="8"/>
      <c r="G136" s="8"/>
      <c r="H136" s="8"/>
      <c r="I136" s="2"/>
      <c r="J136" s="114"/>
      <c r="K136" s="209"/>
      <c r="L136" s="210"/>
      <c r="M136" s="208" t="str">
        <f>+M71</f>
        <v>For the 12 months ended 12/31/23</v>
      </c>
    </row>
    <row r="137" spans="1:14" ht="15.6">
      <c r="A137" s="9"/>
      <c r="D137" s="7"/>
      <c r="E137" s="211" t="str">
        <f>+E72</f>
        <v>New York Transco LLC</v>
      </c>
      <c r="F137" s="7"/>
      <c r="G137" s="7"/>
      <c r="H137" s="7"/>
      <c r="I137" s="7"/>
      <c r="J137" s="109"/>
      <c r="K137" s="8"/>
      <c r="L137" s="8"/>
      <c r="M137" s="356"/>
    </row>
    <row r="138" spans="1:14">
      <c r="A138" s="9"/>
      <c r="C138" s="24" t="s">
        <v>33</v>
      </c>
      <c r="D138" s="24" t="s">
        <v>34</v>
      </c>
      <c r="E138" s="24" t="s">
        <v>35</v>
      </c>
      <c r="F138" s="8" t="s">
        <v>28</v>
      </c>
      <c r="G138" s="8"/>
      <c r="H138" s="25" t="s">
        <v>50</v>
      </c>
      <c r="I138" s="8"/>
      <c r="J138" s="115" t="s">
        <v>51</v>
      </c>
      <c r="K138" s="8"/>
      <c r="L138" s="10"/>
      <c r="M138" s="10"/>
    </row>
    <row r="139" spans="1:14" ht="15.6">
      <c r="A139" s="9"/>
      <c r="C139" s="24"/>
      <c r="D139" s="37"/>
      <c r="E139" s="37"/>
      <c r="F139" s="37"/>
      <c r="G139" s="37"/>
      <c r="H139" s="37"/>
      <c r="I139" s="37"/>
      <c r="J139" s="116"/>
      <c r="K139" s="37"/>
      <c r="L139" s="28"/>
      <c r="M139" s="37"/>
    </row>
    <row r="140" spans="1:14" ht="15.6">
      <c r="A140" s="9"/>
      <c r="C140" s="7"/>
      <c r="D140" s="27" t="s">
        <v>52</v>
      </c>
      <c r="E140" s="8"/>
      <c r="F140" s="8"/>
      <c r="G140" s="8"/>
      <c r="H140" s="4"/>
      <c r="I140" s="8"/>
      <c r="J140" s="117" t="s">
        <v>53</v>
      </c>
      <c r="K140" s="8"/>
      <c r="L140" s="24"/>
      <c r="M140" s="29"/>
    </row>
    <row r="141" spans="1:14" ht="15.6">
      <c r="A141" s="9"/>
      <c r="C141" s="7"/>
      <c r="D141" s="30" t="s">
        <v>54</v>
      </c>
      <c r="E141" s="28" t="s">
        <v>55</v>
      </c>
      <c r="F141" s="31"/>
      <c r="G141" s="28" t="s">
        <v>56</v>
      </c>
      <c r="H141" s="7"/>
      <c r="I141" s="31"/>
      <c r="J141" s="118" t="s">
        <v>57</v>
      </c>
      <c r="K141" s="8"/>
      <c r="L141" s="4"/>
      <c r="M141" s="4"/>
    </row>
    <row r="142" spans="1:14" ht="15.6">
      <c r="A142" s="9"/>
      <c r="C142" s="7"/>
      <c r="D142" s="8"/>
      <c r="E142" s="38"/>
      <c r="F142" s="39"/>
      <c r="G142" s="30"/>
      <c r="H142" s="7"/>
      <c r="I142" s="39"/>
      <c r="J142" s="96"/>
    </row>
    <row r="143" spans="1:14">
      <c r="A143" s="9">
        <f>+A117+1</f>
        <v>38</v>
      </c>
      <c r="C143" s="7" t="s">
        <v>113</v>
      </c>
      <c r="D143" s="8"/>
      <c r="E143" s="8"/>
      <c r="I143" s="8"/>
      <c r="J143" s="96"/>
    </row>
    <row r="144" spans="1:14">
      <c r="A144" s="9">
        <f t="shared" ref="A144:A149" si="2">+A143+1</f>
        <v>39</v>
      </c>
      <c r="C144" s="7" t="s">
        <v>63</v>
      </c>
      <c r="D144" s="8" t="s">
        <v>114</v>
      </c>
      <c r="E144" s="120">
        <v>3065600</v>
      </c>
      <c r="F144" s="8"/>
      <c r="G144" s="8" t="str">
        <f>+I222</f>
        <v>TP=</v>
      </c>
      <c r="H144" s="520">
        <f>+J222</f>
        <v>1</v>
      </c>
      <c r="I144" s="8"/>
      <c r="J144" s="96">
        <f t="shared" ref="J144:J149" si="3">+H144*E144</f>
        <v>3065600</v>
      </c>
      <c r="K144" s="8"/>
      <c r="L144" s="8"/>
      <c r="M144" s="8"/>
      <c r="N144" s="40"/>
    </row>
    <row r="145" spans="1:15">
      <c r="A145" s="9">
        <f t="shared" si="2"/>
        <v>40</v>
      </c>
      <c r="C145" s="7" t="s">
        <v>115</v>
      </c>
      <c r="D145" s="8" t="s">
        <v>116</v>
      </c>
      <c r="E145" s="120">
        <v>0</v>
      </c>
      <c r="F145" s="8"/>
      <c r="G145" s="8" t="str">
        <f>+G144</f>
        <v>TP=</v>
      </c>
      <c r="H145" s="520">
        <f>+H144</f>
        <v>1</v>
      </c>
      <c r="I145" s="8"/>
      <c r="J145" s="96">
        <f t="shared" si="3"/>
        <v>0</v>
      </c>
      <c r="K145" s="8"/>
      <c r="L145" s="8"/>
      <c r="M145" s="8"/>
      <c r="N145" s="40"/>
    </row>
    <row r="146" spans="1:15">
      <c r="A146" s="9">
        <f t="shared" si="2"/>
        <v>41</v>
      </c>
      <c r="C146" s="7" t="s">
        <v>117</v>
      </c>
      <c r="D146" s="8" t="s">
        <v>118</v>
      </c>
      <c r="E146" s="120">
        <f>10878800-2867900</f>
        <v>8010900</v>
      </c>
      <c r="F146" s="8"/>
      <c r="G146" s="8" t="s">
        <v>71</v>
      </c>
      <c r="H146" s="520">
        <v>1</v>
      </c>
      <c r="I146" s="8"/>
      <c r="J146" s="96">
        <f t="shared" si="3"/>
        <v>8010900</v>
      </c>
      <c r="K146" s="8"/>
      <c r="L146" s="8"/>
      <c r="M146" s="8"/>
    </row>
    <row r="147" spans="1:15" ht="15.6">
      <c r="A147" s="9">
        <f t="shared" si="2"/>
        <v>42</v>
      </c>
      <c r="C147" s="7" t="s">
        <v>119</v>
      </c>
      <c r="D147" s="7" t="str">
        <f>" (Note "&amp;A279&amp;" &amp; Attach 3, line 171)"</f>
        <v xml:space="preserve"> (Note D &amp; Attach 3, line 171)</v>
      </c>
      <c r="E147" s="74">
        <f>+'3 - Cost Support'!G55+'3 - Cost Support'!I79</f>
        <v>0</v>
      </c>
      <c r="F147" s="8"/>
      <c r="G147" s="8" t="s">
        <v>47</v>
      </c>
      <c r="H147" s="520">
        <f>+J$230</f>
        <v>1</v>
      </c>
      <c r="I147" s="8"/>
      <c r="J147" s="96">
        <f>+E147</f>
        <v>0</v>
      </c>
      <c r="K147" s="719"/>
      <c r="L147" s="8"/>
      <c r="M147" s="8"/>
    </row>
    <row r="148" spans="1:15">
      <c r="A148" s="9">
        <f t="shared" si="2"/>
        <v>43</v>
      </c>
      <c r="C148" s="7" t="s">
        <v>120</v>
      </c>
      <c r="D148" s="7" t="str">
        <f>" (Note "&amp;A279&amp;" &amp; Attach 3, line 172)"</f>
        <v xml:space="preserve"> (Note D &amp; Attach 3, line 172)</v>
      </c>
      <c r="E148" s="74">
        <f>+'3 - Cost Support'!H64</f>
        <v>0</v>
      </c>
      <c r="F148" s="8"/>
      <c r="G148" s="41" t="str">
        <f>+G144</f>
        <v>TP=</v>
      </c>
      <c r="H148" s="520">
        <f>+H144</f>
        <v>1</v>
      </c>
      <c r="I148" s="8"/>
      <c r="J148" s="96">
        <f t="shared" si="3"/>
        <v>0</v>
      </c>
      <c r="K148" s="8"/>
      <c r="L148" s="8"/>
      <c r="M148" s="8"/>
    </row>
    <row r="149" spans="1:15">
      <c r="A149" s="9">
        <f t="shared" si="2"/>
        <v>44</v>
      </c>
      <c r="C149" s="7" t="s">
        <v>121</v>
      </c>
      <c r="D149" s="8" t="s">
        <v>122</v>
      </c>
      <c r="E149" s="74">
        <f>+'3 - Cost Support'!F183</f>
        <v>0</v>
      </c>
      <c r="F149" s="8"/>
      <c r="G149" s="41" t="str">
        <f>+G145</f>
        <v>TP=</v>
      </c>
      <c r="H149" s="523">
        <f>+H144</f>
        <v>1</v>
      </c>
      <c r="I149" s="8"/>
      <c r="J149" s="347">
        <f t="shared" si="3"/>
        <v>0</v>
      </c>
      <c r="K149" s="8"/>
      <c r="L149" s="8"/>
      <c r="M149" s="8"/>
    </row>
    <row r="150" spans="1:15" ht="15.6">
      <c r="A150" s="715" t="s">
        <v>123</v>
      </c>
      <c r="C150" s="7" t="s">
        <v>124</v>
      </c>
      <c r="D150" s="8" t="s">
        <v>125</v>
      </c>
      <c r="E150" s="716">
        <v>0</v>
      </c>
      <c r="F150" s="8"/>
      <c r="G150" s="8" t="s">
        <v>47</v>
      </c>
      <c r="H150" s="520">
        <f>+J$230</f>
        <v>1</v>
      </c>
      <c r="I150" s="8"/>
      <c r="J150" s="96">
        <f>+E150</f>
        <v>0</v>
      </c>
      <c r="K150" s="719"/>
      <c r="L150" s="8"/>
      <c r="M150" s="8"/>
    </row>
    <row r="151" spans="1:15">
      <c r="A151" s="715" t="s">
        <v>126</v>
      </c>
      <c r="C151" s="7" t="s">
        <v>127</v>
      </c>
      <c r="D151" s="8" t="s">
        <v>128</v>
      </c>
      <c r="E151" s="74">
        <f>+'10 - Workpaper'!I21</f>
        <v>0</v>
      </c>
      <c r="F151" s="8"/>
      <c r="G151" s="8" t="s">
        <v>47</v>
      </c>
      <c r="H151" s="520">
        <f>+J$230</f>
        <v>1</v>
      </c>
      <c r="I151" s="8"/>
      <c r="J151" s="96">
        <f>+E151</f>
        <v>0</v>
      </c>
      <c r="K151" s="8"/>
      <c r="L151" s="8"/>
      <c r="M151" s="8"/>
    </row>
    <row r="152" spans="1:15">
      <c r="A152" s="715" t="s">
        <v>129</v>
      </c>
      <c r="C152" s="7" t="s">
        <v>130</v>
      </c>
      <c r="D152" s="8" t="s">
        <v>131</v>
      </c>
      <c r="E152" s="74">
        <f>+E150-E151</f>
        <v>0</v>
      </c>
      <c r="F152" s="8"/>
      <c r="G152" s="8" t="s">
        <v>47</v>
      </c>
      <c r="H152" s="520">
        <f>+J$230</f>
        <v>1</v>
      </c>
      <c r="I152" s="8"/>
      <c r="J152" s="96">
        <f>+E152</f>
        <v>0</v>
      </c>
      <c r="K152" s="8"/>
      <c r="L152" s="8"/>
      <c r="M152" s="8"/>
    </row>
    <row r="153" spans="1:15">
      <c r="A153" s="9">
        <f>+A149+1</f>
        <v>45</v>
      </c>
      <c r="C153" s="7" t="str">
        <f>"TOTAL O&amp;M   (sum lines "&amp;A144&amp;", "&amp;A146&amp;", "&amp;A148&amp;", "&amp;A149&amp;", "&amp;A151&amp;", "&amp;A152&amp;" less lines "&amp;A145&amp;" &amp; "&amp;A147&amp;", "&amp;A150&amp;") (Note D)"</f>
        <v>TOTAL O&amp;M   (sum lines 39, 41, 43, 44, 44b, 44c less lines 40 &amp; 42, 44a) (Note D)</v>
      </c>
      <c r="D153" s="8"/>
      <c r="E153" s="109">
        <f>+E144-E145+E146-E147+E148+E149-E150+E151+E152</f>
        <v>11076500</v>
      </c>
      <c r="F153" s="8"/>
      <c r="G153" s="8"/>
      <c r="H153" s="8"/>
      <c r="I153" s="8"/>
      <c r="J153" s="109">
        <f>+J144-J145+J146-J147+J148+J149-J150+J151+J152</f>
        <v>11076500</v>
      </c>
      <c r="K153" s="8"/>
      <c r="L153" s="8"/>
      <c r="M153" s="8"/>
    </row>
    <row r="154" spans="1:15">
      <c r="A154" s="9"/>
      <c r="D154" s="8"/>
      <c r="E154" s="96"/>
      <c r="F154" s="8"/>
      <c r="G154" s="8"/>
      <c r="H154" s="8"/>
      <c r="I154" s="8"/>
      <c r="J154" s="96"/>
      <c r="K154" s="8"/>
      <c r="L154" s="8"/>
      <c r="M154" s="8"/>
    </row>
    <row r="155" spans="1:15">
      <c r="A155" s="9">
        <f>+A153+1</f>
        <v>46</v>
      </c>
      <c r="C155" s="7" t="s">
        <v>132</v>
      </c>
      <c r="D155" s="8"/>
      <c r="E155" s="109"/>
      <c r="F155" s="8"/>
      <c r="G155" s="8"/>
      <c r="H155" s="8"/>
      <c r="I155" s="8"/>
      <c r="J155" s="109"/>
      <c r="K155" s="8"/>
      <c r="L155" s="8"/>
      <c r="M155" s="8"/>
    </row>
    <row r="156" spans="1:15">
      <c r="A156" s="9">
        <f>+A155+1</f>
        <v>47</v>
      </c>
      <c r="C156" s="7" t="str">
        <f>+C144</f>
        <v xml:space="preserve">  Transmission </v>
      </c>
      <c r="D156" s="8" t="s">
        <v>133</v>
      </c>
      <c r="E156" s="120">
        <f>'2 - Cost Support '!P105</f>
        <v>12714737</v>
      </c>
      <c r="F156" s="8"/>
      <c r="G156" s="8" t="s">
        <v>65</v>
      </c>
      <c r="H156" s="520">
        <f>+J$222</f>
        <v>1</v>
      </c>
      <c r="I156" s="8"/>
      <c r="J156" s="96">
        <f>+H156*E156</f>
        <v>12714737</v>
      </c>
      <c r="K156" s="8"/>
      <c r="L156" s="8"/>
      <c r="M156" s="8"/>
      <c r="N156" s="40"/>
    </row>
    <row r="157" spans="1:15">
      <c r="A157" s="9">
        <f>+A156+1</f>
        <v>48</v>
      </c>
      <c r="C157" s="7" t="s">
        <v>134</v>
      </c>
      <c r="D157" s="8" t="s">
        <v>135</v>
      </c>
      <c r="E157" s="120">
        <f>'2 - Cost Support '!P137+'2 - Cost Support '!P153</f>
        <v>3034128</v>
      </c>
      <c r="F157" s="8"/>
      <c r="G157" s="8" t="s">
        <v>71</v>
      </c>
      <c r="H157" s="520">
        <v>1</v>
      </c>
      <c r="I157" s="8"/>
      <c r="J157" s="96">
        <f>+H157*E157</f>
        <v>3034128</v>
      </c>
      <c r="K157" s="8"/>
      <c r="L157" s="8"/>
      <c r="M157" s="8"/>
      <c r="N157" s="23"/>
    </row>
    <row r="158" spans="1:15">
      <c r="A158" s="9">
        <f>+A157+1</f>
        <v>49</v>
      </c>
      <c r="C158" s="348" t="s">
        <v>136</v>
      </c>
      <c r="D158" s="349" t="s">
        <v>137</v>
      </c>
      <c r="E158" s="350">
        <f>+'3 - Cost Support'!H9</f>
        <v>0</v>
      </c>
      <c r="F158" s="349"/>
      <c r="G158" s="349" t="s">
        <v>47</v>
      </c>
      <c r="H158" s="521">
        <v>1</v>
      </c>
      <c r="I158" s="349"/>
      <c r="J158" s="352">
        <f>+H158*E158</f>
        <v>0</v>
      </c>
      <c r="K158" s="8"/>
      <c r="L158" s="8"/>
      <c r="M158" s="8"/>
      <c r="N158" s="23"/>
    </row>
    <row r="159" spans="1:15">
      <c r="A159" s="9">
        <f>+A158+1</f>
        <v>50</v>
      </c>
      <c r="C159" s="71" t="str">
        <f>"TOTAL DEPRECIATION (Sum lines "&amp;A156&amp;"-"&amp;A158&amp;")"</f>
        <v>TOTAL DEPRECIATION (Sum lines 47-49)</v>
      </c>
      <c r="D159" s="8"/>
      <c r="E159" s="109">
        <f>SUM(E156:E158)</f>
        <v>15748865</v>
      </c>
      <c r="F159" s="8"/>
      <c r="G159" s="8"/>
      <c r="H159" s="520"/>
      <c r="I159" s="8"/>
      <c r="J159" s="109">
        <f>SUM(J156:J158)</f>
        <v>15748865</v>
      </c>
      <c r="K159" s="8"/>
      <c r="L159" s="8"/>
      <c r="N159" s="8">
        <f>+J159+J151</f>
        <v>15748865</v>
      </c>
      <c r="O159" s="89" t="s">
        <v>138</v>
      </c>
    </row>
    <row r="160" spans="1:15">
      <c r="A160" s="9"/>
      <c r="C160" s="7"/>
      <c r="D160" s="8"/>
      <c r="E160" s="109"/>
      <c r="F160" s="8"/>
      <c r="G160" s="8"/>
      <c r="H160" s="520"/>
      <c r="I160" s="8"/>
      <c r="J160" s="109"/>
      <c r="K160" s="8"/>
      <c r="L160" s="8"/>
      <c r="N160" s="8"/>
    </row>
    <row r="161" spans="1:15">
      <c r="A161" s="9">
        <f>+A159+1</f>
        <v>51</v>
      </c>
      <c r="C161" s="7" t="str">
        <f>"TAXES OTHER THAN INCOME TAXES  (Note "&amp;A285&amp;")"</f>
        <v>TAXES OTHER THAN INCOME TAXES  (Note E)</v>
      </c>
      <c r="D161" s="7"/>
      <c r="E161" s="109"/>
      <c r="F161" s="8"/>
      <c r="G161" s="8"/>
      <c r="H161" s="520"/>
      <c r="I161" s="8"/>
      <c r="J161" s="109"/>
      <c r="K161" s="8"/>
      <c r="L161" s="8"/>
      <c r="N161" s="8"/>
    </row>
    <row r="162" spans="1:15">
      <c r="A162" s="9">
        <f t="shared" ref="A162:A168" si="4">+A161+1</f>
        <v>52</v>
      </c>
      <c r="C162" s="7" t="s">
        <v>139</v>
      </c>
      <c r="D162" s="7"/>
      <c r="E162" s="109"/>
      <c r="F162" s="8"/>
      <c r="G162" s="8"/>
      <c r="H162" s="520"/>
      <c r="I162" s="8"/>
      <c r="J162" s="109"/>
      <c r="K162" s="8"/>
      <c r="L162" s="8"/>
      <c r="N162" s="8"/>
    </row>
    <row r="163" spans="1:15">
      <c r="A163" s="9">
        <f t="shared" si="4"/>
        <v>53</v>
      </c>
      <c r="C163" s="7" t="s">
        <v>140</v>
      </c>
      <c r="D163" s="1055" t="s">
        <v>141</v>
      </c>
      <c r="E163" s="716">
        <v>0</v>
      </c>
      <c r="F163" s="8"/>
      <c r="G163" s="8" t="s">
        <v>71</v>
      </c>
      <c r="H163" s="520">
        <f>+J$230</f>
        <v>1</v>
      </c>
      <c r="I163" s="8"/>
      <c r="J163" s="96">
        <f>+H163*E163</f>
        <v>0</v>
      </c>
      <c r="K163" s="8"/>
      <c r="L163" s="8"/>
      <c r="N163" s="8"/>
    </row>
    <row r="164" spans="1:15">
      <c r="A164" s="9">
        <f t="shared" si="4"/>
        <v>54</v>
      </c>
      <c r="C164" s="7" t="s">
        <v>142</v>
      </c>
      <c r="D164" s="1055" t="s">
        <v>143</v>
      </c>
      <c r="E164" s="120">
        <v>0</v>
      </c>
      <c r="F164" s="8"/>
      <c r="G164" s="8" t="str">
        <f>+G163</f>
        <v>W/S</v>
      </c>
      <c r="H164" s="520">
        <f>+J$230</f>
        <v>1</v>
      </c>
      <c r="I164" s="8"/>
      <c r="J164" s="96">
        <f>+H164*E164</f>
        <v>0</v>
      </c>
      <c r="K164" s="8"/>
      <c r="L164" s="8"/>
      <c r="N164" s="8"/>
    </row>
    <row r="165" spans="1:15">
      <c r="A165" s="9">
        <f t="shared" si="4"/>
        <v>55</v>
      </c>
      <c r="C165" s="7" t="s">
        <v>144</v>
      </c>
      <c r="D165" s="42" t="s">
        <v>28</v>
      </c>
      <c r="E165" s="109"/>
      <c r="F165" s="8"/>
      <c r="G165" s="8"/>
      <c r="H165" s="520"/>
      <c r="I165" s="8"/>
      <c r="J165" s="109"/>
      <c r="K165" s="8"/>
      <c r="L165" s="8"/>
      <c r="N165" s="8"/>
    </row>
    <row r="166" spans="1:15">
      <c r="A166" s="9">
        <f t="shared" si="4"/>
        <v>56</v>
      </c>
      <c r="C166" s="7" t="s">
        <v>145</v>
      </c>
      <c r="D166" s="1055" t="s">
        <v>146</v>
      </c>
      <c r="E166" s="716">
        <v>4620000</v>
      </c>
      <c r="F166" s="8"/>
      <c r="G166" s="8" t="s">
        <v>111</v>
      </c>
      <c r="H166" s="523">
        <f>+H$83</f>
        <v>1</v>
      </c>
      <c r="I166" s="8"/>
      <c r="J166" s="96">
        <f>+H166*E166</f>
        <v>4620000</v>
      </c>
      <c r="K166" s="8"/>
      <c r="L166" s="8"/>
      <c r="N166" s="8"/>
    </row>
    <row r="167" spans="1:15">
      <c r="A167" s="9">
        <f t="shared" si="4"/>
        <v>57</v>
      </c>
      <c r="C167" s="7" t="s">
        <v>147</v>
      </c>
      <c r="D167" s="1055" t="s">
        <v>143</v>
      </c>
      <c r="E167" s="120">
        <v>0</v>
      </c>
      <c r="F167" s="8"/>
      <c r="G167" s="8" t="s">
        <v>62</v>
      </c>
      <c r="H167" s="360">
        <v>0</v>
      </c>
      <c r="I167" s="8"/>
      <c r="J167" s="96">
        <f>+H167*E167</f>
        <v>0</v>
      </c>
      <c r="K167" s="8"/>
      <c r="L167" s="8"/>
      <c r="N167" s="8"/>
    </row>
    <row r="168" spans="1:15">
      <c r="A168" s="9">
        <f t="shared" si="4"/>
        <v>58</v>
      </c>
      <c r="C168" s="7" t="s">
        <v>148</v>
      </c>
      <c r="D168" s="1055" t="s">
        <v>143</v>
      </c>
      <c r="E168" s="120">
        <v>0</v>
      </c>
      <c r="F168" s="8"/>
      <c r="G168" s="8" t="str">
        <f>+G166</f>
        <v>GP</v>
      </c>
      <c r="H168" s="523">
        <f>+H$83</f>
        <v>1</v>
      </c>
      <c r="I168" s="8"/>
      <c r="J168" s="96">
        <f>+H168*E168</f>
        <v>0</v>
      </c>
      <c r="K168" s="8"/>
      <c r="L168" s="8"/>
      <c r="N168" s="8"/>
    </row>
    <row r="169" spans="1:15">
      <c r="A169" s="9">
        <f>+A168+1</f>
        <v>59</v>
      </c>
      <c r="C169" s="7" t="str">
        <f>"TOTAL OTHER TAXES  (sum lines "&amp;A163&amp;"-"&amp;A168&amp;")"</f>
        <v>TOTAL OTHER TAXES  (sum lines 53-58)</v>
      </c>
      <c r="D169" s="8"/>
      <c r="E169" s="109">
        <f>SUM(E163:E168)</f>
        <v>4620000</v>
      </c>
      <c r="F169" s="8"/>
      <c r="G169" s="8"/>
      <c r="H169" s="520"/>
      <c r="I169" s="8"/>
      <c r="J169" s="109">
        <f>SUM(J163:J168)</f>
        <v>4620000</v>
      </c>
      <c r="K169" s="8"/>
      <c r="L169" s="8"/>
      <c r="N169" s="8">
        <f>+J169+J153-J151</f>
        <v>15696500</v>
      </c>
      <c r="O169" s="89" t="s">
        <v>149</v>
      </c>
    </row>
    <row r="170" spans="1:15">
      <c r="A170" s="9"/>
      <c r="C170" s="7"/>
      <c r="D170" s="8"/>
      <c r="E170" s="8"/>
      <c r="F170" s="8"/>
      <c r="G170" s="8"/>
      <c r="H170" s="520"/>
      <c r="I170" s="8"/>
      <c r="J170" s="109"/>
      <c r="K170" s="8"/>
      <c r="L170" s="8"/>
      <c r="N170" s="8"/>
    </row>
    <row r="171" spans="1:15">
      <c r="A171" s="9">
        <f>+A169+1</f>
        <v>60</v>
      </c>
      <c r="C171" s="7" t="s">
        <v>150</v>
      </c>
      <c r="D171" s="8" t="str">
        <f>" (Note "&amp;A288&amp;")"</f>
        <v xml:space="preserve"> (Note F)</v>
      </c>
      <c r="E171" s="8"/>
      <c r="F171" s="8"/>
      <c r="H171" s="533"/>
      <c r="I171" s="8"/>
      <c r="J171" s="96"/>
      <c r="K171" s="8"/>
      <c r="L171" s="8"/>
      <c r="N171" s="8"/>
    </row>
    <row r="172" spans="1:15">
      <c r="A172" s="9">
        <f t="shared" ref="A172:A177" si="5">+A171+1</f>
        <v>61</v>
      </c>
      <c r="C172" s="44" t="s">
        <v>151</v>
      </c>
      <c r="D172" s="8"/>
      <c r="E172" s="360">
        <f>IF(E294&gt;0,1-(((1-E295)*(1-E294))/(1-E295*E294*E296)),0)*(1-E297)</f>
        <v>0.28136512399999991</v>
      </c>
      <c r="F172" s="8"/>
      <c r="H172" s="43"/>
      <c r="I172" s="23"/>
      <c r="J172" s="96"/>
      <c r="K172" s="8"/>
      <c r="L172" s="8"/>
      <c r="N172" s="8"/>
    </row>
    <row r="173" spans="1:15">
      <c r="A173" s="9">
        <f t="shared" si="5"/>
        <v>62</v>
      </c>
      <c r="C173" s="1" t="s">
        <v>152</v>
      </c>
      <c r="D173" s="8"/>
      <c r="E173" s="360">
        <f>IF(K238&gt;0,(E172/(1-E172))*(1-K235/K238),0)</f>
        <v>0.271836220265323</v>
      </c>
      <c r="F173" s="8"/>
      <c r="H173" s="43"/>
      <c r="I173" s="23"/>
      <c r="J173" s="96"/>
      <c r="K173" s="8"/>
      <c r="L173" s="8"/>
      <c r="N173" s="8"/>
    </row>
    <row r="174" spans="1:15">
      <c r="A174" s="9">
        <f t="shared" si="5"/>
        <v>63</v>
      </c>
      <c r="C174" s="7" t="str">
        <f>"       where WCLTD=(line "&amp;A235&amp;") and R= (line "&amp;A238&amp;")"</f>
        <v xml:space="preserve">       where WCLTD=(line 91) and R= (line 94)</v>
      </c>
      <c r="D174" s="8"/>
      <c r="E174" s="8"/>
      <c r="F174" s="8"/>
      <c r="H174" s="43"/>
      <c r="I174" s="23"/>
      <c r="J174" s="96"/>
      <c r="K174" s="8"/>
      <c r="L174" s="8"/>
      <c r="N174" s="8"/>
    </row>
    <row r="175" spans="1:15">
      <c r="A175" s="9">
        <f t="shared" si="5"/>
        <v>64</v>
      </c>
      <c r="C175" s="7" t="str">
        <f>"       and FIT, SIT, p, &amp; n are as given in footnote "&amp;A288&amp;"."</f>
        <v xml:space="preserve">       and FIT, SIT, p, &amp; n are as given in footnote F.</v>
      </c>
      <c r="D175" s="8"/>
      <c r="E175" s="8"/>
      <c r="F175" s="8"/>
      <c r="H175" s="43"/>
      <c r="I175" s="23"/>
      <c r="J175" s="96"/>
      <c r="K175" s="8"/>
      <c r="L175" s="8"/>
      <c r="N175" s="8"/>
    </row>
    <row r="176" spans="1:15">
      <c r="A176" s="9">
        <f t="shared" si="5"/>
        <v>65</v>
      </c>
      <c r="C176" s="44" t="str">
        <f>"      1 / (1 - T)  = (T from line "&amp;A172&amp;")"</f>
        <v xml:space="preserve">      1 / (1 - T)  = (T from line 61)</v>
      </c>
      <c r="D176" s="8"/>
      <c r="E176" s="360">
        <f>IF(E172&gt;0,1/(1-E172),0)</f>
        <v>1.3915272322519452</v>
      </c>
      <c r="F176" s="8"/>
      <c r="H176" s="43"/>
      <c r="I176" s="23"/>
      <c r="J176" s="96"/>
      <c r="K176" s="8"/>
      <c r="L176" s="8"/>
      <c r="N176" s="8"/>
    </row>
    <row r="177" spans="1:17">
      <c r="A177" s="9">
        <f t="shared" si="5"/>
        <v>66</v>
      </c>
      <c r="C177" s="7" t="s">
        <v>153</v>
      </c>
      <c r="D177" s="8"/>
      <c r="E177" s="120">
        <v>0</v>
      </c>
      <c r="F177" s="8"/>
      <c r="H177" s="43"/>
      <c r="I177" s="8"/>
      <c r="J177" s="96"/>
      <c r="K177" s="8"/>
      <c r="L177" s="8"/>
      <c r="N177" s="8"/>
    </row>
    <row r="178" spans="1:17">
      <c r="A178" s="9"/>
      <c r="C178" s="7"/>
      <c r="D178" s="8"/>
      <c r="E178" s="109"/>
      <c r="F178" s="8"/>
      <c r="H178" s="43"/>
      <c r="I178" s="8"/>
      <c r="J178" s="96"/>
      <c r="K178" s="8"/>
      <c r="L178" s="8"/>
      <c r="N178" s="8"/>
    </row>
    <row r="179" spans="1:17">
      <c r="A179" s="9">
        <f>+A177+1</f>
        <v>67</v>
      </c>
      <c r="C179" s="44" t="str">
        <f>"Income Tax Calculation = line "&amp;A173&amp;" * line "&amp;A185&amp;" * (1-n) "</f>
        <v xml:space="preserve">Income Tax Calculation = line 62 * line 71 * (1-n) </v>
      </c>
      <c r="D179" s="45"/>
      <c r="E179" s="109">
        <f>+E173*E185*(1-E297)</f>
        <v>16404267.855622228</v>
      </c>
      <c r="F179" s="8"/>
      <c r="G179" s="8"/>
      <c r="H179" s="15"/>
      <c r="I179" s="8"/>
      <c r="J179" s="109">
        <f>+E179</f>
        <v>16404267.855622228</v>
      </c>
      <c r="K179" s="8"/>
      <c r="L179" s="8"/>
      <c r="N179" s="8"/>
    </row>
    <row r="180" spans="1:17">
      <c r="A180" s="9">
        <f>+A179+1</f>
        <v>68</v>
      </c>
      <c r="C180" s="1" t="str">
        <f>"ITC adjustment (line "&amp;A176&amp;" * line "&amp;A177&amp;" * (1- n))"</f>
        <v>ITC adjustment (line 65 * line 66 * (1- n))</v>
      </c>
      <c r="D180" s="45"/>
      <c r="E180" s="639">
        <f>+E176*E177*(1-E297)</f>
        <v>0</v>
      </c>
      <c r="F180" s="8"/>
      <c r="G180" s="1" t="s">
        <v>97</v>
      </c>
      <c r="H180" s="535">
        <f>+H$97</f>
        <v>1</v>
      </c>
      <c r="I180" s="8"/>
      <c r="J180" s="639">
        <f>+H180*E180*(1-E297)</f>
        <v>0</v>
      </c>
      <c r="K180" s="8"/>
      <c r="L180" s="8"/>
      <c r="N180" s="8"/>
    </row>
    <row r="181" spans="1:17">
      <c r="A181" s="9" t="s">
        <v>154</v>
      </c>
      <c r="C181" s="353" t="s">
        <v>155</v>
      </c>
      <c r="D181" s="354" t="s">
        <v>156</v>
      </c>
      <c r="E181" s="351">
        <f>'Attachment 11'!G44</f>
        <v>1793626</v>
      </c>
      <c r="F181" s="349"/>
      <c r="G181" s="353"/>
      <c r="H181" s="524"/>
      <c r="I181" s="349"/>
      <c r="J181" s="351">
        <f>+E181</f>
        <v>1793626</v>
      </c>
      <c r="K181" s="8"/>
      <c r="L181" s="8"/>
      <c r="N181" s="8"/>
    </row>
    <row r="182" spans="1:17">
      <c r="A182" s="9">
        <f>+A180+1</f>
        <v>69</v>
      </c>
      <c r="C182" s="46" t="s">
        <v>157</v>
      </c>
      <c r="D182" s="1" t="str">
        <f>"(line "&amp;A179&amp;" plus line "&amp;A180&amp;" plus line "&amp;A181&amp;")"</f>
        <v>(line 67 plus line 68 plus line 68a)</v>
      </c>
      <c r="E182" s="119">
        <f>+E180+E179+E181</f>
        <v>18197893.855622228</v>
      </c>
      <c r="F182" s="8"/>
      <c r="G182" s="8" t="s">
        <v>28</v>
      </c>
      <c r="H182" s="15" t="s">
        <v>28</v>
      </c>
      <c r="I182" s="8"/>
      <c r="J182" s="119">
        <f>+J179+J180+J181</f>
        <v>18197893.855622228</v>
      </c>
      <c r="K182" s="8"/>
      <c r="L182" s="48"/>
      <c r="N182" s="8"/>
    </row>
    <row r="183" spans="1:17">
      <c r="A183" s="9"/>
      <c r="D183" s="48"/>
      <c r="E183" s="109"/>
      <c r="F183" s="8"/>
      <c r="G183" s="8"/>
      <c r="H183" s="15"/>
      <c r="I183" s="8"/>
      <c r="J183" s="109"/>
      <c r="K183" s="8"/>
      <c r="L183" s="48"/>
      <c r="N183" s="8"/>
    </row>
    <row r="184" spans="1:17">
      <c r="A184" s="9">
        <f>+A182+1</f>
        <v>70</v>
      </c>
      <c r="C184" s="7" t="s">
        <v>158</v>
      </c>
      <c r="D184" s="35"/>
      <c r="E184" s="96"/>
      <c r="H184" s="43"/>
      <c r="I184" s="8"/>
      <c r="K184" s="8"/>
      <c r="L184" s="48"/>
      <c r="N184" s="8"/>
    </row>
    <row r="185" spans="1:17">
      <c r="A185" s="9">
        <f>+A184+1</f>
        <v>71</v>
      </c>
      <c r="C185" s="46" t="str">
        <f>" [ Rate Base (line "&amp;A117&amp;") * Rate of Return (line "&amp;A238&amp;")]"</f>
        <v xml:space="preserve"> [ Rate Base (line 37) * Rate of Return (line 94)]</v>
      </c>
      <c r="D185" s="7"/>
      <c r="E185" s="109">
        <f>+K238*E117</f>
        <v>60346144.599902868</v>
      </c>
      <c r="F185" s="8"/>
      <c r="G185" s="8" t="s">
        <v>62</v>
      </c>
      <c r="H185" s="43"/>
      <c r="I185" s="8"/>
      <c r="J185" s="109">
        <f>+J117*K238</f>
        <v>60346144.599902868</v>
      </c>
      <c r="K185" s="8"/>
      <c r="L185" s="48"/>
      <c r="N185" s="8"/>
    </row>
    <row r="186" spans="1:17">
      <c r="A186" s="9"/>
      <c r="C186" s="7"/>
      <c r="D186" s="7"/>
      <c r="E186" s="8"/>
      <c r="F186" s="8"/>
      <c r="G186" s="8"/>
      <c r="H186" s="43"/>
      <c r="I186" s="8"/>
      <c r="J186" s="639"/>
      <c r="K186" s="8"/>
      <c r="L186" s="48"/>
      <c r="N186" s="8"/>
    </row>
    <row r="187" spans="1:17">
      <c r="A187" s="9">
        <f>+A185+1</f>
        <v>72</v>
      </c>
      <c r="C187" s="7" t="str">
        <f>"Rev Requirement before Incentive Projects  (sum lines "&amp;A153&amp;", "&amp;A159&amp;", "&amp;A169&amp;", "&amp;A182&amp;", "&amp;A185&amp;")"</f>
        <v>Rev Requirement before Incentive Projects  (sum lines 45, 50, 59, 69, 71)</v>
      </c>
      <c r="D187" s="7"/>
      <c r="E187" s="639">
        <f>+E153+E159+E169+E182+E185</f>
        <v>109989403.4555251</v>
      </c>
      <c r="F187" s="588"/>
      <c r="G187" s="588"/>
      <c r="H187" s="694"/>
      <c r="I187" s="588"/>
      <c r="J187" s="639">
        <f>+J153+J159+J169+J182+J185</f>
        <v>109989403.4555251</v>
      </c>
      <c r="L187" s="48"/>
      <c r="N187" s="8">
        <f>+J185+J182</f>
        <v>78544038.4555251</v>
      </c>
      <c r="O187" s="89" t="s">
        <v>159</v>
      </c>
    </row>
    <row r="188" spans="1:17">
      <c r="A188" s="9"/>
      <c r="C188" s="7"/>
      <c r="D188" s="7"/>
      <c r="E188" s="658"/>
      <c r="F188" s="8"/>
      <c r="G188" s="8"/>
      <c r="H188" s="43"/>
      <c r="I188" s="8"/>
      <c r="J188" s="639"/>
      <c r="K188" s="8"/>
      <c r="L188" s="48"/>
      <c r="M188" s="8"/>
      <c r="N188" s="23"/>
    </row>
    <row r="189" spans="1:17">
      <c r="A189" s="9">
        <f>+A187+1</f>
        <v>73</v>
      </c>
      <c r="C189" s="7" t="s">
        <v>160</v>
      </c>
      <c r="D189" s="7"/>
      <c r="E189" s="87">
        <f>+'4 - Incentives'!I135</f>
        <v>6152276.0831850208</v>
      </c>
      <c r="F189" s="8"/>
      <c r="G189" s="8" t="s">
        <v>47</v>
      </c>
      <c r="H189" s="640">
        <v>1</v>
      </c>
      <c r="I189" s="8"/>
      <c r="J189" s="639">
        <f>+H189*E189</f>
        <v>6152276.0831850208</v>
      </c>
      <c r="K189" s="8"/>
      <c r="L189" s="8"/>
      <c r="M189" s="8"/>
      <c r="N189" s="23"/>
    </row>
    <row r="190" spans="1:17">
      <c r="A190" s="9"/>
      <c r="C190" s="7"/>
      <c r="D190" s="7"/>
      <c r="E190" s="8"/>
      <c r="F190" s="8"/>
      <c r="G190" s="8"/>
      <c r="H190" s="43"/>
      <c r="I190" s="8"/>
      <c r="J190" s="639"/>
      <c r="K190" s="8"/>
      <c r="L190" s="8"/>
      <c r="M190" s="8"/>
      <c r="N190" s="23"/>
    </row>
    <row r="191" spans="1:17" ht="15.6" thickBot="1">
      <c r="A191" s="9">
        <f>+A189+1</f>
        <v>74</v>
      </c>
      <c r="C191" s="7" t="str">
        <f>"Total Revenue Requirement  (sum lines "&amp;A187&amp;" &amp; "&amp;A189&amp;")"</f>
        <v>Total Revenue Requirement  (sum lines 72 &amp; 73)</v>
      </c>
      <c r="D191" s="8"/>
      <c r="E191" s="110">
        <f>+E185+E182+E169+E159+E153+E189</f>
        <v>116141679.53871012</v>
      </c>
      <c r="F191" s="8"/>
      <c r="G191" s="8"/>
      <c r="H191" s="8"/>
      <c r="I191" s="8"/>
      <c r="J191" s="110">
        <f>+J185+J182+J169+J159+J153+J189</f>
        <v>116141679.53871012</v>
      </c>
      <c r="K191" s="8"/>
      <c r="L191" s="361"/>
      <c r="M191" s="8"/>
    </row>
    <row r="192" spans="1:17" ht="15.6" thickTop="1">
      <c r="A192" s="9"/>
      <c r="C192" s="49"/>
      <c r="D192" s="49"/>
      <c r="E192" s="49"/>
      <c r="F192" s="49"/>
      <c r="G192" s="49"/>
      <c r="H192" s="49"/>
      <c r="I192" s="49"/>
      <c r="J192" s="49"/>
      <c r="K192" s="49"/>
      <c r="L192" s="49"/>
      <c r="M192" s="49"/>
      <c r="N192" s="49"/>
      <c r="O192" s="49"/>
      <c r="P192" s="49"/>
      <c r="Q192" s="49"/>
    </row>
    <row r="193" spans="1:17">
      <c r="A193" s="9"/>
      <c r="C193" s="7"/>
      <c r="D193" s="49"/>
      <c r="E193" s="49"/>
      <c r="F193" s="49"/>
      <c r="G193" s="49"/>
      <c r="H193" s="49"/>
      <c r="I193" s="49"/>
      <c r="J193" s="49"/>
      <c r="K193" s="49"/>
      <c r="L193" s="49"/>
      <c r="M193" s="49"/>
      <c r="N193" s="49"/>
      <c r="O193" s="49"/>
      <c r="P193" s="49"/>
      <c r="Q193" s="49"/>
    </row>
    <row r="194" spans="1:17">
      <c r="A194" s="9"/>
      <c r="C194" s="71"/>
      <c r="D194" s="49"/>
      <c r="E194" s="49"/>
      <c r="F194" s="49"/>
      <c r="G194" s="49"/>
      <c r="H194" s="49"/>
      <c r="I194" s="49"/>
      <c r="J194" s="49"/>
      <c r="K194" s="49"/>
      <c r="L194" s="49"/>
      <c r="M194" s="49"/>
      <c r="N194" s="49"/>
      <c r="O194" s="49"/>
      <c r="P194" s="49"/>
      <c r="Q194" s="49"/>
    </row>
    <row r="195" spans="1:17">
      <c r="A195" s="9"/>
      <c r="C195" s="72"/>
      <c r="D195" s="49"/>
      <c r="E195" s="49"/>
      <c r="F195" s="49"/>
      <c r="G195" s="49"/>
      <c r="H195" s="49"/>
      <c r="I195" s="49"/>
      <c r="J195" s="49"/>
      <c r="K195" s="49"/>
      <c r="L195" s="49"/>
      <c r="M195" s="49"/>
      <c r="N195" s="49"/>
      <c r="O195" s="49"/>
      <c r="P195" s="49"/>
      <c r="Q195" s="49"/>
    </row>
    <row r="196" spans="1:17">
      <c r="A196" s="9"/>
      <c r="C196" s="72"/>
      <c r="D196" s="49"/>
      <c r="E196" s="49"/>
      <c r="F196" s="49"/>
      <c r="G196" s="49"/>
      <c r="H196" s="49"/>
      <c r="I196" s="49"/>
      <c r="J196" s="49"/>
      <c r="K196" s="49"/>
      <c r="L196" s="49"/>
      <c r="M196" s="49"/>
      <c r="N196" s="49"/>
      <c r="O196" s="49"/>
      <c r="P196" s="49"/>
      <c r="Q196" s="49"/>
    </row>
    <row r="197" spans="1:17">
      <c r="A197" s="9"/>
      <c r="C197" s="72"/>
      <c r="D197" s="49"/>
      <c r="E197" s="49"/>
      <c r="F197" s="49"/>
      <c r="G197" s="49"/>
      <c r="H197" s="49"/>
      <c r="I197" s="49"/>
      <c r="J197" s="49"/>
      <c r="K197" s="49"/>
      <c r="L197" s="49"/>
      <c r="M197" s="49"/>
      <c r="N197" s="49"/>
      <c r="O197" s="49"/>
      <c r="P197" s="49"/>
      <c r="Q197" s="49"/>
    </row>
    <row r="198" spans="1:17">
      <c r="A198" s="9"/>
      <c r="C198" s="69"/>
      <c r="D198" s="49"/>
      <c r="E198" s="49"/>
      <c r="F198" s="49"/>
      <c r="G198" s="49"/>
      <c r="H198" s="49"/>
      <c r="I198" s="49"/>
      <c r="J198" s="49"/>
      <c r="K198" s="49"/>
      <c r="L198" s="49"/>
      <c r="M198" s="49"/>
      <c r="N198" s="49"/>
      <c r="O198" s="49"/>
      <c r="P198" s="49"/>
      <c r="Q198" s="49"/>
    </row>
    <row r="199" spans="1:17">
      <c r="A199" s="9"/>
      <c r="C199" s="69"/>
      <c r="D199" s="49"/>
      <c r="E199" s="49"/>
      <c r="F199" s="49"/>
      <c r="G199" s="49"/>
      <c r="H199" s="49"/>
      <c r="I199" s="49"/>
      <c r="J199" s="49"/>
      <c r="K199" s="49"/>
      <c r="L199" s="49"/>
      <c r="M199" s="49"/>
      <c r="N199" s="49"/>
      <c r="O199" s="49"/>
      <c r="P199" s="49"/>
      <c r="Q199" s="49"/>
    </row>
    <row r="200" spans="1:17">
      <c r="A200" s="9"/>
      <c r="C200" s="50"/>
      <c r="D200" s="49"/>
      <c r="E200" s="49"/>
      <c r="F200" s="49"/>
      <c r="G200" s="49"/>
      <c r="H200" s="49"/>
      <c r="I200" s="49"/>
      <c r="J200" s="49"/>
      <c r="K200" s="49"/>
      <c r="L200" s="49"/>
      <c r="M200" s="49"/>
      <c r="N200" s="49"/>
      <c r="O200" s="49"/>
      <c r="P200" s="49"/>
      <c r="Q200" s="49"/>
    </row>
    <row r="201" spans="1:17">
      <c r="A201" s="9"/>
      <c r="C201" s="71"/>
      <c r="D201" s="49"/>
      <c r="E201" s="49"/>
      <c r="F201" s="49"/>
      <c r="G201" s="49"/>
      <c r="H201" s="49"/>
      <c r="I201" s="49"/>
      <c r="J201" s="49"/>
      <c r="K201" s="49"/>
      <c r="L201" s="49"/>
      <c r="M201" s="49"/>
      <c r="N201" s="49"/>
      <c r="O201" s="49"/>
      <c r="P201" s="49"/>
      <c r="Q201" s="49"/>
    </row>
    <row r="202" spans="1:17">
      <c r="A202" s="9"/>
      <c r="C202" s="69"/>
      <c r="D202" s="49"/>
      <c r="E202" s="49"/>
      <c r="F202" s="49"/>
      <c r="G202" s="49"/>
      <c r="H202" s="49"/>
      <c r="I202" s="49"/>
      <c r="J202" s="49"/>
      <c r="K202" s="49"/>
      <c r="L202" s="49"/>
      <c r="M202" s="49"/>
      <c r="N202" s="49"/>
      <c r="O202" s="49"/>
      <c r="P202" s="49"/>
      <c r="Q202" s="49"/>
    </row>
    <row r="203" spans="1:17">
      <c r="A203" s="9"/>
      <c r="C203" s="7"/>
      <c r="D203" s="49"/>
      <c r="E203" s="49"/>
      <c r="F203" s="49"/>
      <c r="G203" s="49"/>
      <c r="H203" s="49"/>
      <c r="I203" s="49"/>
      <c r="J203" s="49"/>
      <c r="K203" s="49"/>
      <c r="L203" s="49"/>
      <c r="M203" s="49"/>
      <c r="N203" s="49"/>
      <c r="O203" s="49"/>
      <c r="P203" s="49"/>
      <c r="Q203" s="49"/>
    </row>
    <row r="204" spans="1:17">
      <c r="A204" s="9"/>
      <c r="C204" s="2"/>
      <c r="D204" s="2"/>
      <c r="E204" s="3"/>
      <c r="F204" s="2"/>
      <c r="G204" s="2"/>
      <c r="H204" s="2"/>
      <c r="I204" s="2"/>
      <c r="J204" s="2"/>
      <c r="K204" s="4"/>
      <c r="L204" s="4"/>
      <c r="M204" s="5"/>
    </row>
    <row r="205" spans="1:17">
      <c r="A205" s="9"/>
      <c r="C205" s="2"/>
      <c r="D205" s="2"/>
      <c r="E205" s="3"/>
      <c r="F205" s="2"/>
      <c r="G205" s="2"/>
      <c r="H205" s="2"/>
      <c r="I205" s="2"/>
      <c r="J205" s="5"/>
      <c r="K205" s="5"/>
      <c r="L205" s="5"/>
      <c r="M205" s="5" t="s">
        <v>1</v>
      </c>
    </row>
    <row r="206" spans="1:17">
      <c r="A206" s="9"/>
      <c r="C206" s="2"/>
      <c r="D206" s="2"/>
      <c r="E206" s="3"/>
      <c r="F206" s="2"/>
      <c r="G206" s="2"/>
      <c r="H206" s="2"/>
      <c r="I206" s="2"/>
      <c r="J206" s="6"/>
      <c r="K206" s="6"/>
      <c r="L206" s="6"/>
      <c r="M206" s="6" t="s">
        <v>161</v>
      </c>
    </row>
    <row r="207" spans="1:17">
      <c r="A207" s="9"/>
      <c r="C207" s="2"/>
      <c r="D207" s="2"/>
      <c r="E207" s="3"/>
      <c r="F207" s="2"/>
      <c r="G207" s="2"/>
      <c r="H207" s="2"/>
      <c r="I207" s="2"/>
      <c r="J207" s="2"/>
      <c r="K207" s="7"/>
      <c r="L207" s="6"/>
      <c r="M207" s="6"/>
    </row>
    <row r="208" spans="1:17">
      <c r="A208" s="9"/>
      <c r="C208" s="2"/>
      <c r="D208" s="2"/>
      <c r="E208" s="3"/>
      <c r="F208" s="2"/>
      <c r="G208" s="2"/>
      <c r="H208" s="2"/>
      <c r="I208" s="2"/>
      <c r="J208" s="2"/>
      <c r="K208" s="7"/>
      <c r="L208" s="6"/>
    </row>
    <row r="209" spans="1:13">
      <c r="A209" s="9"/>
      <c r="C209" s="2" t="s">
        <v>26</v>
      </c>
      <c r="D209" s="73"/>
      <c r="E209" s="4" t="s">
        <v>162</v>
      </c>
      <c r="F209" s="2"/>
      <c r="G209" s="2"/>
      <c r="H209" s="2"/>
      <c r="I209" s="2"/>
      <c r="K209" s="7"/>
      <c r="L209" s="7"/>
    </row>
    <row r="210" spans="1:13">
      <c r="A210" s="9"/>
      <c r="C210" s="2"/>
      <c r="D210" s="8"/>
      <c r="E210" s="55" t="s">
        <v>29</v>
      </c>
      <c r="F210" s="8"/>
      <c r="G210" s="8"/>
      <c r="H210" s="8"/>
      <c r="I210" s="2"/>
      <c r="J210" s="2"/>
      <c r="K210" s="7"/>
      <c r="L210" s="7"/>
    </row>
    <row r="211" spans="1:13">
      <c r="A211" s="9"/>
      <c r="C211" s="7"/>
      <c r="D211" s="7"/>
      <c r="E211" s="7"/>
      <c r="F211" s="7"/>
      <c r="G211" s="7"/>
      <c r="H211" s="7"/>
      <c r="I211" s="7"/>
      <c r="J211" s="7"/>
      <c r="K211" s="209"/>
      <c r="L211" s="210"/>
      <c r="M211" s="208" t="str">
        <f>+M136</f>
        <v>For the 12 months ended 12/31/23</v>
      </c>
    </row>
    <row r="212" spans="1:13" ht="15.6">
      <c r="A212" s="9"/>
      <c r="D212" s="7"/>
      <c r="E212" s="30" t="str">
        <f>E9</f>
        <v>New York Transco LLC</v>
      </c>
      <c r="F212" s="7"/>
      <c r="G212" s="7"/>
      <c r="H212" s="7"/>
      <c r="I212" s="7"/>
      <c r="J212" s="7"/>
      <c r="K212" s="8"/>
      <c r="M212" s="356"/>
    </row>
    <row r="213" spans="1:13" ht="15.6">
      <c r="A213" s="9"/>
      <c r="C213" s="7"/>
      <c r="E213" s="30" t="s">
        <v>163</v>
      </c>
      <c r="F213" s="7"/>
      <c r="G213" s="7"/>
      <c r="H213" s="7"/>
      <c r="I213" s="7"/>
      <c r="J213" s="7"/>
      <c r="K213" s="8"/>
      <c r="L213" s="8"/>
    </row>
    <row r="214" spans="1:13" ht="15.6">
      <c r="A214" s="9"/>
      <c r="C214" s="33"/>
      <c r="D214" s="7"/>
      <c r="E214" s="7"/>
      <c r="F214" s="7"/>
      <c r="G214" s="7"/>
      <c r="H214" s="7"/>
      <c r="I214" s="7"/>
      <c r="J214" s="7"/>
      <c r="K214" s="8"/>
      <c r="L214" s="8"/>
    </row>
    <row r="215" spans="1:13">
      <c r="A215" s="9">
        <f>+A191+1</f>
        <v>75</v>
      </c>
      <c r="C215" s="2" t="s">
        <v>164</v>
      </c>
      <c r="D215" s="7"/>
      <c r="E215" s="7"/>
      <c r="F215" s="7"/>
      <c r="G215" s="7"/>
      <c r="H215" s="7"/>
      <c r="J215" s="51"/>
      <c r="K215" s="47"/>
      <c r="L215" s="47"/>
      <c r="M215" s="51"/>
    </row>
    <row r="216" spans="1:13">
      <c r="A216" s="9"/>
      <c r="C216" s="2"/>
      <c r="D216" s="7"/>
      <c r="E216" s="7"/>
      <c r="F216" s="7"/>
      <c r="G216" s="7"/>
      <c r="H216" s="7"/>
      <c r="I216" s="7"/>
      <c r="J216" s="47"/>
      <c r="K216" s="47"/>
      <c r="L216" s="47"/>
      <c r="M216" s="52"/>
    </row>
    <row r="217" spans="1:13">
      <c r="A217" s="9">
        <f>+A215+1</f>
        <v>76</v>
      </c>
      <c r="C217" s="2" t="str">
        <f>"Total transmission plant    (line "&amp;A80&amp;", column 3)"</f>
        <v>Total transmission plant    (line 7, column 3)</v>
      </c>
      <c r="D217" s="7"/>
      <c r="E217" s="8"/>
      <c r="F217" s="8"/>
      <c r="G217" s="8"/>
      <c r="H217" s="8"/>
      <c r="I217" s="8"/>
      <c r="J217" s="522">
        <f>+E80</f>
        <v>567674325.46153843</v>
      </c>
      <c r="K217" s="8"/>
      <c r="L217" s="8"/>
      <c r="M217" s="8"/>
    </row>
    <row r="218" spans="1:13">
      <c r="A218" s="9">
        <f>+A217+1</f>
        <v>77</v>
      </c>
      <c r="C218" s="2" t="str">
        <f>"Less transmission plant excluded from RTO rates       (Note "&amp;A305&amp;")"</f>
        <v>Less transmission plant excluded from RTO rates       (Note H)</v>
      </c>
      <c r="D218" s="7"/>
      <c r="E218" s="7" t="s">
        <v>165</v>
      </c>
      <c r="F218" s="7"/>
      <c r="G218" s="7"/>
      <c r="H218" s="7"/>
      <c r="I218" s="7"/>
      <c r="J218" s="522">
        <f>+'3 - Cost Support'!G90</f>
        <v>0</v>
      </c>
      <c r="K218" s="8"/>
    </row>
    <row r="219" spans="1:13" ht="15.6" thickBot="1">
      <c r="A219" s="9">
        <f>+A218+1</f>
        <v>78</v>
      </c>
      <c r="C219" s="53" t="str">
        <f>"Less transmission plant included in OATT Ancillary Services    (Note "&amp;A305&amp;")"</f>
        <v>Less transmission plant included in OATT Ancillary Services    (Note H)</v>
      </c>
      <c r="D219" s="54"/>
      <c r="E219" s="7" t="s">
        <v>165</v>
      </c>
      <c r="F219" s="8"/>
      <c r="G219" s="8"/>
      <c r="H219" s="55"/>
      <c r="I219" s="8"/>
      <c r="J219" s="522">
        <f>+'3 - Cost Support'!H90</f>
        <v>0</v>
      </c>
      <c r="K219" s="8"/>
    </row>
    <row r="220" spans="1:13">
      <c r="A220" s="9">
        <f>+A219+1</f>
        <v>79</v>
      </c>
      <c r="C220" s="2" t="str">
        <f>"Transmission plant included in RTO rates  (line "&amp;A217&amp;" less lines "&amp;A218&amp;" &amp; "&amp;A219&amp;")"</f>
        <v>Transmission plant included in RTO rates  (line 76 less lines 77 &amp; 78)</v>
      </c>
      <c r="D220" s="7"/>
      <c r="E220" s="8"/>
      <c r="F220" s="8"/>
      <c r="G220" s="8"/>
      <c r="H220" s="55"/>
      <c r="I220" s="8"/>
      <c r="J220" s="522">
        <f>SUM(J217:J219)</f>
        <v>567674325.46153843</v>
      </c>
      <c r="K220" s="8"/>
    </row>
    <row r="221" spans="1:13">
      <c r="A221" s="9"/>
      <c r="C221" s="7"/>
      <c r="D221" s="7"/>
      <c r="E221" s="8"/>
      <c r="F221" s="8"/>
      <c r="G221" s="8"/>
      <c r="H221" s="55"/>
      <c r="I221" s="8"/>
      <c r="K221" s="8"/>
    </row>
    <row r="222" spans="1:13">
      <c r="A222" s="9">
        <f>+A220+1</f>
        <v>80</v>
      </c>
      <c r="C222" s="2" t="str">
        <f>"Percentage of transmission plant included in RTO Rates (line "&amp;A220&amp;" divided by line "&amp;A217&amp;") [If line "&amp;A217&amp;" equal zero, enter 1)"</f>
        <v>Percentage of transmission plant included in RTO Rates (line 79 divided by line 76) [If line 76 equal zero, enter 1)</v>
      </c>
      <c r="D222" s="11"/>
      <c r="E222" s="11"/>
      <c r="F222" s="11"/>
      <c r="G222" s="11"/>
      <c r="H222" s="26"/>
      <c r="I222" s="8" t="s">
        <v>166</v>
      </c>
      <c r="J222" s="360">
        <f>IF(J217=0,1,J220/J217)</f>
        <v>1</v>
      </c>
      <c r="K222" s="36"/>
    </row>
    <row r="223" spans="1:13">
      <c r="A223" s="9"/>
      <c r="K223" s="8"/>
    </row>
    <row r="224" spans="1:13">
      <c r="A224" s="9">
        <f>+A222+1</f>
        <v>81</v>
      </c>
      <c r="C224" s="7" t="s">
        <v>167</v>
      </c>
      <c r="D224" s="8"/>
      <c r="F224" s="8"/>
      <c r="G224" s="8"/>
      <c r="H224" s="8"/>
      <c r="I224" s="47"/>
      <c r="J224" s="23"/>
    </row>
    <row r="225" spans="1:14" ht="15.6" thickBot="1">
      <c r="A225" s="9">
        <f t="shared" ref="A225:A230" si="6">+A224+1</f>
        <v>82</v>
      </c>
      <c r="C225" s="7"/>
      <c r="D225" s="17" t="s">
        <v>168</v>
      </c>
      <c r="E225" s="56" t="s">
        <v>169</v>
      </c>
      <c r="F225" s="56" t="s">
        <v>65</v>
      </c>
      <c r="G225" s="8"/>
      <c r="H225" s="56" t="s">
        <v>170</v>
      </c>
      <c r="I225" s="8"/>
      <c r="M225" s="23"/>
    </row>
    <row r="226" spans="1:14">
      <c r="A226" s="9">
        <f t="shared" si="6"/>
        <v>83</v>
      </c>
      <c r="C226" s="7" t="s">
        <v>60</v>
      </c>
      <c r="D226" s="8" t="s">
        <v>171</v>
      </c>
      <c r="E226" s="525">
        <v>0</v>
      </c>
      <c r="F226" s="57">
        <v>0</v>
      </c>
      <c r="G226" s="57"/>
      <c r="H226" s="518">
        <f>+F226*E226</f>
        <v>0</v>
      </c>
      <c r="I226" s="8"/>
      <c r="K226" s="8"/>
      <c r="L226" s="8"/>
      <c r="M226" s="23"/>
      <c r="N226" s="34"/>
    </row>
    <row r="227" spans="1:14">
      <c r="A227" s="9">
        <f t="shared" si="6"/>
        <v>84</v>
      </c>
      <c r="C227" s="7" t="s">
        <v>85</v>
      </c>
      <c r="D227" s="8" t="s">
        <v>172</v>
      </c>
      <c r="E227" s="875">
        <v>1</v>
      </c>
      <c r="F227" s="525">
        <f>+J222</f>
        <v>1</v>
      </c>
      <c r="H227" s="518">
        <f>+F227*E227</f>
        <v>1</v>
      </c>
      <c r="I227" s="8"/>
      <c r="K227" s="8"/>
      <c r="L227" s="8"/>
      <c r="M227" s="23"/>
      <c r="N227" s="34"/>
    </row>
    <row r="228" spans="1:14">
      <c r="A228" s="9">
        <f t="shared" si="6"/>
        <v>85</v>
      </c>
      <c r="C228" s="7" t="s">
        <v>67</v>
      </c>
      <c r="D228" s="8" t="s">
        <v>173</v>
      </c>
      <c r="E228" s="525">
        <v>0</v>
      </c>
      <c r="F228" s="57">
        <v>0</v>
      </c>
      <c r="G228" s="57"/>
      <c r="H228" s="518">
        <f>+F228*E228</f>
        <v>0</v>
      </c>
      <c r="I228" s="8"/>
      <c r="J228" s="55" t="s">
        <v>174</v>
      </c>
      <c r="K228" s="8"/>
      <c r="L228" s="8"/>
      <c r="M228" s="23"/>
      <c r="N228" s="34"/>
    </row>
    <row r="229" spans="1:14" ht="15.6" thickBot="1">
      <c r="A229" s="9">
        <f t="shared" si="6"/>
        <v>86</v>
      </c>
      <c r="C229" s="7" t="s">
        <v>175</v>
      </c>
      <c r="D229" s="8" t="s">
        <v>176</v>
      </c>
      <c r="E229" s="526">
        <v>0</v>
      </c>
      <c r="F229" s="57">
        <v>0</v>
      </c>
      <c r="G229" s="57"/>
      <c r="H229" s="527">
        <f>+F229*E229</f>
        <v>0</v>
      </c>
      <c r="I229" s="8"/>
      <c r="J229" s="12" t="s">
        <v>177</v>
      </c>
      <c r="K229" s="8"/>
      <c r="L229" s="8"/>
      <c r="M229" s="23"/>
    </row>
    <row r="230" spans="1:14">
      <c r="A230" s="9">
        <f t="shared" si="6"/>
        <v>87</v>
      </c>
      <c r="C230" s="7" t="str">
        <f>"  Total  (sum lines "&amp;A226&amp;"-"&amp;A229&amp;") [TP equals 1 if there are no wages &amp; salaries]"</f>
        <v xml:space="preserve">  Total  (sum lines 83-86) [TP equals 1 if there are no wages &amp; salaries]</v>
      </c>
      <c r="D230" s="8"/>
      <c r="E230" s="518">
        <f>SUM(E226:E229)</f>
        <v>1</v>
      </c>
      <c r="F230" s="8"/>
      <c r="G230" s="8"/>
      <c r="H230" s="518">
        <f>SUM(H226:H229)</f>
        <v>1</v>
      </c>
      <c r="I230" s="24" t="s">
        <v>178</v>
      </c>
      <c r="J230" s="523">
        <f>IF(E230=0,0,H230/E230)</f>
        <v>1</v>
      </c>
      <c r="K230" s="55" t="s">
        <v>178</v>
      </c>
      <c r="L230" s="55" t="s">
        <v>179</v>
      </c>
      <c r="M230" s="23"/>
    </row>
    <row r="231" spans="1:14">
      <c r="A231" s="9"/>
      <c r="B231" s="37"/>
      <c r="C231" s="2"/>
      <c r="D231" s="8"/>
      <c r="E231" s="8"/>
      <c r="F231" s="8"/>
      <c r="G231" s="8"/>
      <c r="H231" s="8"/>
      <c r="I231" s="8"/>
      <c r="J231" s="8"/>
      <c r="K231" s="8"/>
      <c r="L231" s="86"/>
      <c r="M231" s="83"/>
    </row>
    <row r="232" spans="1:14">
      <c r="A232" s="9">
        <f>+A230+1</f>
        <v>88</v>
      </c>
      <c r="B232" s="37"/>
      <c r="C232" s="2" t="str">
        <f>"RETURN (R)      (Note "&amp;A309&amp;")"</f>
        <v>RETURN (R)      (Note J)</v>
      </c>
      <c r="D232" s="8"/>
      <c r="E232" s="37"/>
      <c r="F232" s="37"/>
      <c r="G232" s="37"/>
      <c r="H232" s="37"/>
      <c r="I232" s="37"/>
      <c r="J232" s="8"/>
      <c r="K232" s="8"/>
      <c r="L232" s="8"/>
      <c r="M232" s="23"/>
    </row>
    <row r="233" spans="1:14">
      <c r="A233" s="9">
        <f t="shared" ref="A233:A238" si="7">+A232+1</f>
        <v>89</v>
      </c>
      <c r="C233" s="7"/>
      <c r="D233" s="8"/>
      <c r="E233" s="8"/>
      <c r="F233" s="8"/>
      <c r="G233" s="8"/>
      <c r="I233" s="8"/>
      <c r="J233" s="8"/>
      <c r="K233" s="8"/>
      <c r="L233" s="8"/>
      <c r="M233" s="23"/>
    </row>
    <row r="234" spans="1:14" ht="15.6" thickBot="1">
      <c r="A234" s="9">
        <f t="shared" si="7"/>
        <v>90</v>
      </c>
      <c r="C234" s="7"/>
      <c r="D234" s="8"/>
      <c r="F234" s="13" t="s">
        <v>169</v>
      </c>
      <c r="G234" s="13" t="s">
        <v>180</v>
      </c>
      <c r="H234" s="8"/>
      <c r="I234" s="56" t="s">
        <v>181</v>
      </c>
      <c r="J234" s="8"/>
      <c r="K234" s="13" t="s">
        <v>182</v>
      </c>
      <c r="L234" s="8"/>
      <c r="M234" s="23"/>
    </row>
    <row r="235" spans="1:14" ht="15.6">
      <c r="A235" s="9">
        <f t="shared" si="7"/>
        <v>91</v>
      </c>
      <c r="C235" s="2" t="s">
        <v>183</v>
      </c>
      <c r="D235" s="8" t="s">
        <v>184</v>
      </c>
      <c r="F235" s="528">
        <f>+'3 - Cost Support (cont.)'!Q14</f>
        <v>370137000</v>
      </c>
      <c r="G235" s="1294">
        <f>F235/F238</f>
        <v>0.470893709110835</v>
      </c>
      <c r="H235" s="22"/>
      <c r="I235" s="1295">
        <f>'3 - Cost Support (cont.)'!P35</f>
        <v>4.7E-2</v>
      </c>
      <c r="K235" s="1099">
        <f>+I235*G235</f>
        <v>2.2132004328209245E-2</v>
      </c>
      <c r="L235" s="58" t="s">
        <v>185</v>
      </c>
      <c r="M235" s="719"/>
      <c r="N235" s="34"/>
    </row>
    <row r="236" spans="1:14">
      <c r="A236" s="9">
        <f t="shared" si="7"/>
        <v>92</v>
      </c>
      <c r="C236" s="2" t="s">
        <v>186</v>
      </c>
      <c r="D236" s="8" t="s">
        <v>187</v>
      </c>
      <c r="F236" s="522">
        <f>+'3 - Cost Support (cont.)'!Q16</f>
        <v>0</v>
      </c>
      <c r="G236" s="875">
        <f>IF(F$238=0,0,F236/F$238)</f>
        <v>0</v>
      </c>
      <c r="H236" s="22"/>
      <c r="I236" s="875">
        <f>+'3 - Cost Support (cont.)'!P40</f>
        <v>0</v>
      </c>
      <c r="K236" s="519">
        <f>+I236*G236</f>
        <v>0</v>
      </c>
      <c r="L236" s="8"/>
      <c r="M236" s="23"/>
    </row>
    <row r="237" spans="1:14" ht="15.6" thickBot="1">
      <c r="A237" s="9">
        <f t="shared" si="7"/>
        <v>93</v>
      </c>
      <c r="C237" s="2" t="str">
        <f>"  Common Stock "</f>
        <v xml:space="preserve">  Common Stock </v>
      </c>
      <c r="D237" s="8" t="s">
        <v>188</v>
      </c>
      <c r="F237" s="529">
        <f>+'3 - Cost Support (cont.)'!Q22</f>
        <v>415893887.30769229</v>
      </c>
      <c r="G237" s="1294">
        <f>1-G235</f>
        <v>0.52910629088916505</v>
      </c>
      <c r="H237" s="22"/>
      <c r="I237" s="823">
        <v>9.5000000000000001E-2</v>
      </c>
      <c r="K237" s="530">
        <f>+I237*G237</f>
        <v>5.0265097634470679E-2</v>
      </c>
      <c r="L237" s="8"/>
      <c r="M237" s="23"/>
      <c r="N237" s="34"/>
    </row>
    <row r="238" spans="1:14">
      <c r="A238" s="9">
        <f t="shared" si="7"/>
        <v>94</v>
      </c>
      <c r="C238" s="7" t="str">
        <f>"Total  (sum lines "&amp;A235&amp;"-"&amp;A237&amp;")"</f>
        <v>Total  (sum lines 91-93)</v>
      </c>
      <c r="F238" s="518">
        <f>SUM(F235:F237)</f>
        <v>786030887.30769229</v>
      </c>
      <c r="G238" s="1096" t="s">
        <v>28</v>
      </c>
      <c r="H238" s="8"/>
      <c r="I238" s="8"/>
      <c r="J238" s="8"/>
      <c r="K238" s="1099">
        <f>SUM(K235:K237)</f>
        <v>7.2397101962679927E-2</v>
      </c>
      <c r="L238" s="58" t="s">
        <v>189</v>
      </c>
      <c r="M238" s="23"/>
      <c r="N238" s="23"/>
    </row>
    <row r="239" spans="1:14">
      <c r="F239" s="8"/>
      <c r="G239" s="8"/>
      <c r="H239" s="8"/>
      <c r="I239" s="8"/>
      <c r="L239" s="937"/>
      <c r="M239" s="23"/>
      <c r="N239" s="23"/>
    </row>
    <row r="240" spans="1:14">
      <c r="F240" s="8"/>
      <c r="G240" s="8"/>
      <c r="H240" s="8"/>
      <c r="I240" s="8"/>
      <c r="M240" s="23"/>
    </row>
    <row r="241" spans="1:14" ht="15.6">
      <c r="C241" s="547" t="s">
        <v>190</v>
      </c>
      <c r="F241" s="8"/>
      <c r="G241" s="8"/>
      <c r="H241" s="55" t="s">
        <v>191</v>
      </c>
      <c r="I241" s="55"/>
      <c r="J241" s="546" t="s">
        <v>192</v>
      </c>
      <c r="K241" s="89"/>
      <c r="M241" s="546" t="s">
        <v>193</v>
      </c>
    </row>
    <row r="242" spans="1:14" ht="60">
      <c r="A242" s="29"/>
      <c r="C242" s="89"/>
      <c r="D242" s="89" t="s">
        <v>194</v>
      </c>
      <c r="F242" s="55"/>
      <c r="G242" s="55"/>
      <c r="H242" s="987" t="s">
        <v>195</v>
      </c>
      <c r="J242" s="493" t="s">
        <v>196</v>
      </c>
      <c r="M242" s="89" t="s">
        <v>43</v>
      </c>
      <c r="N242" s="23"/>
    </row>
    <row r="243" spans="1:14">
      <c r="A243" s="29">
        <f>+A238+1</f>
        <v>95</v>
      </c>
      <c r="C243" s="1" t="s">
        <v>197</v>
      </c>
      <c r="D243" s="1" t="str">
        <f>"(Line "&amp;A94&amp;" and Transmission CIACs)"</f>
        <v>(Line 19 and Transmission CIACs)</v>
      </c>
      <c r="F243" s="8"/>
      <c r="G243" s="8"/>
      <c r="H243" s="1058">
        <v>0</v>
      </c>
      <c r="I243" s="8"/>
      <c r="J243" s="1058">
        <f>'4 - Incentives'!C116+'4 - Incentives'!C119+'4 - Incentives'!C120+'4 - Incentives'!C121+'4 - Incentives'!C122+'4 - Incentives'!C123</f>
        <v>695813566.53846157</v>
      </c>
      <c r="M243" s="106">
        <f>+N97</f>
        <v>695813566.53846145</v>
      </c>
    </row>
    <row r="244" spans="1:14">
      <c r="A244" s="29">
        <f t="shared" ref="A244:A250" si="8">+A243+1</f>
        <v>96</v>
      </c>
      <c r="C244" s="89" t="s">
        <v>198</v>
      </c>
      <c r="D244" s="1" t="str">
        <f>"(Line "&amp;A103&amp;")"</f>
        <v>(Line 26)</v>
      </c>
      <c r="F244" s="8"/>
      <c r="G244" s="8"/>
      <c r="H244" s="1058">
        <v>0</v>
      </c>
      <c r="J244" s="1058">
        <f>+'4 - Incentives'!C117+'4 - Incentives'!C118</f>
        <v>173859424.84615386</v>
      </c>
      <c r="M244" s="106">
        <f>+J103</f>
        <v>173859424.84615386</v>
      </c>
    </row>
    <row r="245" spans="1:14">
      <c r="A245" s="29">
        <f t="shared" si="8"/>
        <v>97</v>
      </c>
      <c r="C245" s="543" t="s">
        <v>199</v>
      </c>
      <c r="D245" s="1" t="str">
        <f>"(Line "&amp;A106&amp;")"</f>
        <v>(Line 29)</v>
      </c>
      <c r="F245" s="8"/>
      <c r="G245" s="8"/>
      <c r="H245" s="1058">
        <v>0</v>
      </c>
      <c r="I245" s="8"/>
      <c r="M245" s="106">
        <f>+J106</f>
        <v>0</v>
      </c>
    </row>
    <row r="246" spans="1:14">
      <c r="A246" s="29">
        <f t="shared" si="8"/>
        <v>98</v>
      </c>
      <c r="C246" s="543" t="s">
        <v>200</v>
      </c>
      <c r="D246" s="1" t="str">
        <f>"(Line "&amp;A105&amp;")"</f>
        <v>(Line 28)</v>
      </c>
      <c r="F246" s="8"/>
      <c r="G246" s="8"/>
      <c r="H246" s="1058">
        <f>+J105</f>
        <v>0</v>
      </c>
      <c r="I246" s="8"/>
      <c r="M246" s="106">
        <f>+J105</f>
        <v>0</v>
      </c>
    </row>
    <row r="247" spans="1:14" ht="27.75" customHeight="1">
      <c r="A247" s="29">
        <f>+A246+1</f>
        <v>99</v>
      </c>
      <c r="C247" s="620" t="str">
        <f>+C241</f>
        <v>Development of Base Carrying charge and Summary of Incentive and Non-Incentive Investments</v>
      </c>
      <c r="F247" s="8"/>
      <c r="G247" s="8"/>
      <c r="H247" s="1059">
        <v>0</v>
      </c>
      <c r="I247" s="8"/>
      <c r="J247" s="1059">
        <v>0</v>
      </c>
      <c r="K247" s="1060"/>
      <c r="L247" s="1060"/>
      <c r="M247" s="106">
        <f>SUM(M243:M246)</f>
        <v>869672991.3846153</v>
      </c>
    </row>
    <row r="248" spans="1:14">
      <c r="A248" s="29">
        <f t="shared" si="8"/>
        <v>100</v>
      </c>
      <c r="C248" s="1" t="s">
        <v>201</v>
      </c>
      <c r="D248" s="1" t="s">
        <v>202</v>
      </c>
      <c r="F248" s="8"/>
      <c r="G248" s="8"/>
      <c r="H248" s="8"/>
      <c r="I248" s="8"/>
      <c r="M248" s="106">
        <f>+J182+J185</f>
        <v>78544038.4555251</v>
      </c>
    </row>
    <row r="249" spans="1:14">
      <c r="A249" s="29">
        <f t="shared" si="8"/>
        <v>101</v>
      </c>
      <c r="C249" s="1" t="str">
        <f>+C19</f>
        <v>Total Revenue Credits</v>
      </c>
      <c r="D249" s="1087" t="s">
        <v>203</v>
      </c>
      <c r="F249" s="8"/>
      <c r="G249" s="8"/>
      <c r="H249" s="8"/>
      <c r="I249" s="8"/>
      <c r="M249" s="106">
        <f>+J19</f>
        <v>0</v>
      </c>
    </row>
    <row r="250" spans="1:14">
      <c r="A250" s="29">
        <f t="shared" si="8"/>
        <v>102</v>
      </c>
      <c r="C250" s="89" t="s">
        <v>204</v>
      </c>
      <c r="D250" s="89" t="s">
        <v>205</v>
      </c>
      <c r="F250" s="8"/>
      <c r="G250" s="8"/>
      <c r="H250" s="8"/>
      <c r="I250" s="8"/>
      <c r="M250" s="534">
        <f>IF(M247=0,0,(M248-M249)/M247)</f>
        <v>9.0314450642504526E-2</v>
      </c>
    </row>
    <row r="251" spans="1:14">
      <c r="C251" s="24"/>
      <c r="D251" s="24"/>
      <c r="E251" s="24"/>
      <c r="F251" s="8"/>
      <c r="G251" s="8"/>
      <c r="H251" s="25"/>
      <c r="I251" s="8"/>
      <c r="J251" s="544"/>
      <c r="M251" s="545"/>
    </row>
    <row r="252" spans="1:14">
      <c r="E252" s="534"/>
      <c r="F252" s="8"/>
      <c r="G252" s="8"/>
      <c r="H252" s="74"/>
      <c r="I252" s="8"/>
      <c r="M252" s="23"/>
    </row>
    <row r="253" spans="1:14">
      <c r="F253" s="8"/>
      <c r="G253" s="8"/>
      <c r="H253" s="8"/>
      <c r="I253" s="8"/>
      <c r="M253" s="23"/>
    </row>
    <row r="254" spans="1:14">
      <c r="A254" s="9"/>
      <c r="C254" s="7"/>
      <c r="E254" s="7"/>
      <c r="F254" s="7"/>
      <c r="G254" s="7"/>
      <c r="H254" s="7"/>
      <c r="I254" s="7"/>
      <c r="J254" s="7"/>
      <c r="K254" s="7"/>
      <c r="L254" s="8"/>
      <c r="M254" s="23"/>
    </row>
    <row r="255" spans="1:14" ht="17.399999999999999">
      <c r="A255" s="61"/>
      <c r="B255" s="61"/>
      <c r="C255" s="61"/>
      <c r="D255" s="49"/>
      <c r="E255" s="49"/>
      <c r="F255" s="49"/>
      <c r="G255" s="49"/>
      <c r="H255" s="49"/>
      <c r="I255" s="49"/>
      <c r="J255" s="49"/>
      <c r="K255" s="49"/>
    </row>
    <row r="256" spans="1:14">
      <c r="C256" s="2"/>
      <c r="D256" s="2"/>
      <c r="E256" s="3"/>
      <c r="F256" s="2"/>
      <c r="G256" s="2"/>
      <c r="H256" s="2"/>
      <c r="I256" s="2"/>
      <c r="J256" s="2"/>
      <c r="K256" s="4"/>
      <c r="L256" s="4"/>
      <c r="M256" s="5"/>
    </row>
    <row r="257" spans="1:13">
      <c r="C257" s="2"/>
      <c r="D257" s="2"/>
      <c r="E257" s="3"/>
      <c r="F257" s="2"/>
      <c r="G257" s="2"/>
      <c r="H257" s="2"/>
      <c r="I257" s="2"/>
      <c r="J257" s="5"/>
      <c r="K257" s="5"/>
      <c r="L257" s="5"/>
      <c r="M257" s="5"/>
    </row>
    <row r="258" spans="1:13">
      <c r="C258" s="2"/>
      <c r="D258" s="2"/>
      <c r="E258" s="3"/>
      <c r="F258" s="2"/>
      <c r="G258" s="2"/>
      <c r="H258" s="2"/>
      <c r="I258" s="2"/>
      <c r="J258" s="6"/>
      <c r="K258" s="6"/>
      <c r="L258" s="6"/>
      <c r="M258" s="5" t="s">
        <v>1</v>
      </c>
    </row>
    <row r="259" spans="1:13">
      <c r="C259" s="2"/>
      <c r="D259" s="2"/>
      <c r="E259" s="3"/>
      <c r="F259" s="2"/>
      <c r="G259" s="2"/>
      <c r="H259" s="2"/>
      <c r="I259" s="2"/>
      <c r="J259" s="2"/>
      <c r="K259" s="7"/>
      <c r="L259" s="6"/>
      <c r="M259" s="6" t="s">
        <v>206</v>
      </c>
    </row>
    <row r="260" spans="1:13" ht="15.6">
      <c r="C260" s="2"/>
      <c r="D260" s="33" t="s">
        <v>207</v>
      </c>
      <c r="F260" s="2"/>
      <c r="G260" s="2"/>
      <c r="H260" s="2"/>
      <c r="I260" s="2"/>
      <c r="J260" s="2"/>
      <c r="K260" s="7"/>
      <c r="L260" s="6"/>
    </row>
    <row r="261" spans="1:13">
      <c r="C261" s="2" t="s">
        <v>26</v>
      </c>
      <c r="D261" s="73"/>
      <c r="E261" s="73" t="s">
        <v>27</v>
      </c>
      <c r="F261" s="2"/>
      <c r="G261" s="2"/>
      <c r="H261" s="2"/>
      <c r="I261" s="2"/>
      <c r="K261" s="7"/>
      <c r="L261" s="7"/>
    </row>
    <row r="262" spans="1:13">
      <c r="C262" s="2"/>
      <c r="D262" s="8" t="s">
        <v>28</v>
      </c>
      <c r="E262" s="8" t="s">
        <v>29</v>
      </c>
      <c r="F262" s="8"/>
      <c r="G262" s="8"/>
      <c r="H262" s="8"/>
      <c r="I262" s="2"/>
      <c r="J262" s="2"/>
      <c r="K262" s="7"/>
      <c r="L262" s="7"/>
    </row>
    <row r="263" spans="1:13">
      <c r="A263" s="9"/>
      <c r="C263" s="7"/>
      <c r="D263" s="7"/>
      <c r="E263" s="7"/>
      <c r="F263" s="7"/>
      <c r="G263" s="7"/>
      <c r="H263" s="7"/>
      <c r="I263" s="7"/>
      <c r="J263" s="7"/>
      <c r="K263" s="209"/>
      <c r="L263" s="210"/>
      <c r="M263" s="208" t="str">
        <f>+M211</f>
        <v>For the 12 months ended 12/31/23</v>
      </c>
    </row>
    <row r="264" spans="1:13" ht="15.6">
      <c r="A264" s="9"/>
      <c r="D264" s="7"/>
      <c r="E264" s="27" t="str">
        <f>E9</f>
        <v>New York Transco LLC</v>
      </c>
      <c r="F264" s="7"/>
      <c r="G264" s="7"/>
      <c r="H264" s="7"/>
      <c r="I264" s="7"/>
      <c r="J264" s="7"/>
      <c r="K264" s="8"/>
      <c r="M264" s="356"/>
    </row>
    <row r="265" spans="1:13">
      <c r="A265" s="9"/>
      <c r="C265" s="7"/>
      <c r="D265" s="4"/>
      <c r="F265" s="7"/>
      <c r="G265" s="7"/>
      <c r="H265" s="7"/>
      <c r="I265" s="7"/>
      <c r="J265" s="7"/>
      <c r="K265" s="8"/>
      <c r="L265" s="8"/>
    </row>
    <row r="266" spans="1:13" ht="15.6">
      <c r="A266" s="9"/>
      <c r="B266" s="37"/>
      <c r="C266" s="60"/>
      <c r="D266" s="4"/>
      <c r="E266" s="8"/>
      <c r="F266" s="8"/>
      <c r="G266" s="8"/>
      <c r="H266" s="8"/>
      <c r="I266" s="2"/>
      <c r="J266" s="73"/>
      <c r="K266" s="59"/>
      <c r="L266" s="62"/>
      <c r="M266" s="63"/>
    </row>
    <row r="267" spans="1:13" s="61" customFormat="1" ht="18">
      <c r="A267" s="64"/>
      <c r="B267" s="65"/>
      <c r="C267" s="886"/>
      <c r="F267" s="887"/>
      <c r="G267" s="887"/>
      <c r="H267" s="887"/>
      <c r="I267" s="888"/>
      <c r="J267" s="889"/>
      <c r="K267" s="890"/>
      <c r="L267" s="891"/>
      <c r="M267" s="67"/>
    </row>
    <row r="268" spans="1:13" s="61" customFormat="1" ht="18">
      <c r="A268" s="64"/>
      <c r="B268" s="65"/>
      <c r="C268" s="886"/>
      <c r="D268" s="892"/>
      <c r="E268" s="887"/>
      <c r="F268" s="887"/>
      <c r="G268" s="887"/>
      <c r="H268" s="887"/>
      <c r="I268" s="888"/>
      <c r="J268" s="889"/>
      <c r="K268" s="890"/>
      <c r="L268" s="891"/>
      <c r="M268" s="67"/>
    </row>
    <row r="269" spans="1:13" s="61" customFormat="1" ht="18">
      <c r="A269" s="64"/>
      <c r="B269" s="65"/>
      <c r="C269" s="65" t="s">
        <v>208</v>
      </c>
      <c r="D269" s="64"/>
      <c r="E269" s="66"/>
      <c r="F269" s="66"/>
      <c r="G269" s="66"/>
      <c r="H269" s="66"/>
      <c r="I269" s="65"/>
      <c r="J269" s="66"/>
      <c r="K269" s="65"/>
      <c r="L269" s="66"/>
      <c r="M269" s="67"/>
    </row>
    <row r="270" spans="1:13" s="61" customFormat="1" ht="18">
      <c r="A270" s="64"/>
      <c r="B270" s="65"/>
      <c r="C270" s="65" t="s">
        <v>209</v>
      </c>
      <c r="D270" s="64"/>
      <c r="E270" s="66"/>
      <c r="F270" s="66"/>
      <c r="G270" s="66"/>
      <c r="H270" s="66"/>
      <c r="I270" s="65"/>
      <c r="J270" s="66"/>
      <c r="K270" s="65"/>
      <c r="L270" s="66"/>
      <c r="M270" s="67"/>
    </row>
    <row r="271" spans="1:13" s="61" customFormat="1" ht="18">
      <c r="A271" s="64" t="s">
        <v>210</v>
      </c>
      <c r="B271" s="65"/>
      <c r="C271" s="65"/>
      <c r="D271" s="65"/>
      <c r="E271" s="66"/>
      <c r="F271" s="66"/>
      <c r="G271" s="66"/>
      <c r="H271" s="66"/>
      <c r="I271" s="65"/>
      <c r="J271" s="66"/>
      <c r="K271" s="65"/>
      <c r="L271" s="66"/>
      <c r="M271" s="67"/>
    </row>
    <row r="272" spans="1:13" s="61" customFormat="1" ht="18.600000000000001" thickBot="1">
      <c r="A272" s="68" t="s">
        <v>211</v>
      </c>
      <c r="B272" s="65"/>
      <c r="C272" s="65"/>
      <c r="D272" s="65"/>
      <c r="E272" s="66"/>
      <c r="F272" s="66"/>
      <c r="G272" s="66"/>
      <c r="H272" s="66"/>
      <c r="I272" s="65"/>
      <c r="J272" s="66"/>
      <c r="K272" s="65"/>
      <c r="L272" s="66"/>
      <c r="M272" s="67"/>
    </row>
    <row r="273" spans="1:14" s="61" customFormat="1" ht="18">
      <c r="A273" s="881" t="s">
        <v>212</v>
      </c>
      <c r="B273" s="467"/>
      <c r="C273" s="467" t="s">
        <v>213</v>
      </c>
      <c r="D273" s="467"/>
      <c r="E273" s="467"/>
      <c r="F273" s="467"/>
      <c r="G273" s="467"/>
      <c r="H273" s="467"/>
      <c r="I273" s="467"/>
      <c r="J273" s="467"/>
      <c r="K273" s="467"/>
      <c r="L273" s="467"/>
      <c r="M273" s="881"/>
    </row>
    <row r="274" spans="1:14" s="61" customFormat="1" ht="18">
      <c r="A274" s="881"/>
      <c r="B274" s="467"/>
      <c r="C274" s="467" t="s">
        <v>214</v>
      </c>
      <c r="D274" s="467"/>
      <c r="E274" s="467"/>
      <c r="F274" s="467"/>
      <c r="G274" s="467"/>
      <c r="H274" s="467"/>
      <c r="I274" s="467"/>
      <c r="J274" s="467"/>
      <c r="K274" s="467"/>
      <c r="L274" s="467"/>
      <c r="M274" s="881"/>
    </row>
    <row r="275" spans="1:14" s="61" customFormat="1" ht="18">
      <c r="A275" s="881"/>
      <c r="B275" s="467"/>
      <c r="C275" s="467" t="str">
        <f>"   is reduced by prior flow throughs and excluded if the utility chose to utilize amortization of tax credits against taxable income as discussed in Note "&amp;A288&amp;".  Account 281 is not allocated."</f>
        <v xml:space="preserve">   is reduced by prior flow throughs and excluded if the utility chose to utilize amortization of tax credits against taxable income as discussed in Note F.  Account 281 is not allocated.</v>
      </c>
      <c r="D275" s="467"/>
      <c r="E275" s="467"/>
      <c r="F275" s="467"/>
      <c r="G275" s="467"/>
      <c r="H275" s="467"/>
      <c r="I275" s="467"/>
      <c r="J275" s="467"/>
      <c r="K275" s="467"/>
      <c r="L275" s="467"/>
      <c r="M275" s="881"/>
    </row>
    <row r="276" spans="1:14" s="61" customFormat="1" ht="18">
      <c r="A276" s="881" t="s">
        <v>215</v>
      </c>
      <c r="B276" s="467"/>
      <c r="C276" s="467" t="s">
        <v>216</v>
      </c>
      <c r="D276" s="467"/>
      <c r="E276" s="467"/>
      <c r="F276" s="467"/>
      <c r="G276" s="467"/>
      <c r="H276" s="467"/>
      <c r="I276" s="467"/>
      <c r="J276" s="467"/>
      <c r="K276" s="467"/>
      <c r="L276" s="467"/>
      <c r="M276" s="881"/>
    </row>
    <row r="277" spans="1:14" s="61" customFormat="1" ht="18">
      <c r="A277" s="881" t="s">
        <v>217</v>
      </c>
      <c r="B277" s="467"/>
      <c r="C277" s="467" t="s">
        <v>218</v>
      </c>
      <c r="D277" s="467"/>
      <c r="E277" s="467"/>
      <c r="F277" s="467"/>
      <c r="G277" s="467"/>
      <c r="H277" s="467"/>
      <c r="I277" s="467"/>
      <c r="J277" s="467"/>
      <c r="K277" s="467"/>
      <c r="L277" s="467"/>
      <c r="M277" s="881"/>
    </row>
    <row r="278" spans="1:14" s="61" customFormat="1" ht="18">
      <c r="A278" s="881"/>
      <c r="B278" s="467"/>
      <c r="C278" s="467" t="s">
        <v>219</v>
      </c>
      <c r="D278" s="467"/>
      <c r="E278" s="467"/>
      <c r="F278" s="467"/>
      <c r="G278" s="467"/>
      <c r="H278" s="467"/>
      <c r="I278" s="467"/>
      <c r="J278" s="467"/>
      <c r="K278" s="467"/>
      <c r="L278" s="467"/>
      <c r="M278" s="881"/>
    </row>
    <row r="279" spans="1:14" s="61" customFormat="1" ht="18">
      <c r="A279" s="881" t="s">
        <v>220</v>
      </c>
      <c r="B279" s="467"/>
      <c r="C279" s="540" t="s">
        <v>221</v>
      </c>
      <c r="D279" s="467"/>
      <c r="E279" s="467"/>
      <c r="F279" s="467"/>
      <c r="G279" s="467"/>
      <c r="H279" s="467"/>
      <c r="I279" s="467"/>
      <c r="J279" s="467"/>
      <c r="K279" s="540"/>
      <c r="L279" s="467"/>
      <c r="M279" s="881"/>
      <c r="N279" s="477"/>
    </row>
    <row r="280" spans="1:14" s="61" customFormat="1" ht="18">
      <c r="A280" s="881"/>
      <c r="B280" s="467"/>
      <c r="C280" s="540" t="s">
        <v>222</v>
      </c>
      <c r="D280" s="467"/>
      <c r="E280" s="467"/>
      <c r="F280" s="467"/>
      <c r="G280" s="467"/>
      <c r="H280" s="467"/>
      <c r="I280" s="467"/>
      <c r="J280" s="467"/>
      <c r="K280" s="540"/>
      <c r="L280" s="467"/>
      <c r="M280" s="881"/>
      <c r="N280" s="477"/>
    </row>
    <row r="281" spans="1:14" s="61" customFormat="1" ht="18">
      <c r="A281" s="881"/>
      <c r="B281" s="467"/>
      <c r="C281" s="540" t="s">
        <v>223</v>
      </c>
      <c r="D281" s="467"/>
      <c r="E281" s="467"/>
      <c r="F281" s="467"/>
      <c r="G281" s="467"/>
      <c r="H281" s="467"/>
      <c r="I281" s="467"/>
      <c r="J281" s="467"/>
      <c r="K281" s="467"/>
      <c r="L281" s="467"/>
      <c r="M281" s="881"/>
      <c r="N281" s="468"/>
    </row>
    <row r="282" spans="1:14" s="61" customFormat="1" ht="18">
      <c r="A282" s="881"/>
      <c r="B282" s="467"/>
      <c r="C282" s="540" t="s">
        <v>224</v>
      </c>
      <c r="D282" s="467"/>
      <c r="E282" s="467"/>
      <c r="F282" s="467"/>
      <c r="G282" s="467"/>
      <c r="H282" s="467"/>
      <c r="I282" s="467"/>
      <c r="J282" s="467"/>
      <c r="K282" s="468"/>
      <c r="L282" s="467"/>
      <c r="M282" s="881"/>
      <c r="N282" s="477"/>
    </row>
    <row r="283" spans="1:14" s="61" customFormat="1" ht="18">
      <c r="A283" s="881"/>
      <c r="B283" s="467"/>
      <c r="C283" s="540" t="s">
        <v>225</v>
      </c>
      <c r="D283" s="467"/>
      <c r="E283" s="467"/>
      <c r="F283" s="467"/>
      <c r="G283" s="467"/>
      <c r="H283" s="467"/>
      <c r="I283" s="467"/>
      <c r="J283" s="467"/>
      <c r="K283" s="467"/>
      <c r="L283" s="467"/>
      <c r="M283" s="881"/>
      <c r="N283" s="477"/>
    </row>
    <row r="284" spans="1:14" s="61" customFormat="1" ht="18">
      <c r="A284" s="881"/>
      <c r="B284" s="467"/>
      <c r="C284" s="540" t="s">
        <v>226</v>
      </c>
      <c r="D284" s="467"/>
      <c r="E284" s="467"/>
      <c r="F284" s="467"/>
      <c r="G284" s="467"/>
      <c r="H284" s="467"/>
      <c r="I284" s="467"/>
      <c r="J284" s="467"/>
      <c r="K284" s="467"/>
      <c r="L284" s="467"/>
      <c r="M284" s="881"/>
      <c r="N284" s="477"/>
    </row>
    <row r="285" spans="1:14" s="61" customFormat="1" ht="18">
      <c r="A285" s="881" t="s">
        <v>227</v>
      </c>
      <c r="B285" s="467"/>
      <c r="C285" s="467" t="s">
        <v>228</v>
      </c>
      <c r="D285" s="467"/>
      <c r="E285" s="467"/>
      <c r="F285" s="467"/>
      <c r="G285" s="467"/>
      <c r="H285" s="467"/>
      <c r="I285" s="467"/>
      <c r="J285" s="467"/>
      <c r="K285" s="467"/>
      <c r="L285" s="467"/>
      <c r="M285" s="881"/>
    </row>
    <row r="286" spans="1:14" s="61" customFormat="1" ht="18">
      <c r="A286" s="881"/>
      <c r="B286" s="467"/>
      <c r="C286" s="467" t="s">
        <v>229</v>
      </c>
      <c r="D286" s="467"/>
      <c r="E286" s="467"/>
      <c r="F286" s="467"/>
      <c r="G286" s="467"/>
      <c r="H286" s="467"/>
      <c r="I286" s="467"/>
      <c r="J286" s="467"/>
      <c r="K286" s="467"/>
      <c r="L286" s="467"/>
      <c r="M286" s="881"/>
    </row>
    <row r="287" spans="1:14" s="61" customFormat="1" ht="18">
      <c r="A287" s="881"/>
      <c r="B287" s="467"/>
      <c r="C287" s="467" t="s">
        <v>230</v>
      </c>
      <c r="D287" s="467"/>
      <c r="E287" s="467"/>
      <c r="F287" s="467"/>
      <c r="G287" s="467"/>
      <c r="H287" s="467"/>
      <c r="I287" s="467"/>
      <c r="J287" s="467"/>
      <c r="K287" s="467"/>
      <c r="L287" s="467"/>
      <c r="M287" s="881"/>
    </row>
    <row r="288" spans="1:14" s="61" customFormat="1" ht="18">
      <c r="A288" s="881" t="s">
        <v>231</v>
      </c>
      <c r="B288" s="467"/>
      <c r="C288" s="467" t="s">
        <v>232</v>
      </c>
      <c r="D288" s="467"/>
      <c r="E288" s="467"/>
      <c r="F288" s="467"/>
      <c r="G288" s="467"/>
      <c r="H288" s="467"/>
      <c r="I288" s="467"/>
      <c r="J288" s="467"/>
      <c r="K288" s="467"/>
      <c r="L288" s="467"/>
      <c r="M288" s="881"/>
    </row>
    <row r="289" spans="1:14" s="61" customFormat="1" ht="18">
      <c r="A289" s="881"/>
      <c r="B289" s="467"/>
      <c r="C289" s="467" t="s">
        <v>233</v>
      </c>
      <c r="D289" s="467"/>
      <c r="E289" s="467"/>
      <c r="F289" s="467"/>
      <c r="G289" s="467"/>
      <c r="H289" s="467"/>
      <c r="I289" s="467"/>
      <c r="J289" s="467"/>
      <c r="K289" s="467"/>
      <c r="L289" s="467"/>
      <c r="M289" s="881"/>
    </row>
    <row r="290" spans="1:14" s="61" customFormat="1" ht="18">
      <c r="A290" s="881"/>
      <c r="B290" s="467"/>
      <c r="C290" s="467" t="s">
        <v>234</v>
      </c>
      <c r="D290" s="467"/>
      <c r="E290" s="467"/>
      <c r="F290" s="467"/>
      <c r="G290" s="467"/>
      <c r="H290" s="467"/>
      <c r="I290" s="467"/>
      <c r="J290" s="467"/>
      <c r="K290" s="467"/>
      <c r="L290" s="467"/>
      <c r="M290" s="881"/>
    </row>
    <row r="291" spans="1:14" s="61" customFormat="1" ht="18">
      <c r="A291" s="881"/>
      <c r="B291" s="467"/>
      <c r="C291" s="467" t="s">
        <v>235</v>
      </c>
      <c r="D291" s="467"/>
      <c r="E291" s="467"/>
      <c r="F291" s="467"/>
      <c r="G291" s="467"/>
      <c r="H291" s="467"/>
      <c r="I291" s="467"/>
      <c r="J291" s="467"/>
      <c r="K291" s="467"/>
      <c r="L291" s="467"/>
      <c r="M291" s="881"/>
    </row>
    <row r="292" spans="1:14" s="61" customFormat="1" ht="18">
      <c r="A292" s="881"/>
      <c r="B292" s="467"/>
      <c r="C292" s="467" t="s">
        <v>236</v>
      </c>
      <c r="D292" s="467"/>
      <c r="E292" s="467"/>
      <c r="F292" s="467"/>
      <c r="G292" s="467"/>
      <c r="H292" s="467"/>
      <c r="I292" s="467"/>
      <c r="J292" s="467"/>
      <c r="K292" s="467"/>
      <c r="L292" s="467"/>
      <c r="M292" s="881"/>
    </row>
    <row r="293" spans="1:14" s="61" customFormat="1" ht="18">
      <c r="A293" s="881"/>
      <c r="B293" s="467"/>
      <c r="C293" s="467" t="s">
        <v>237</v>
      </c>
      <c r="D293" s="467"/>
      <c r="E293" s="468"/>
      <c r="F293" s="468"/>
      <c r="G293" s="468"/>
      <c r="H293" s="468"/>
      <c r="I293" s="468"/>
      <c r="J293" s="1100"/>
      <c r="K293" s="468"/>
      <c r="L293" s="665"/>
      <c r="M293" s="882"/>
    </row>
    <row r="294" spans="1:14" s="61" customFormat="1" ht="18">
      <c r="A294" s="881" t="s">
        <v>28</v>
      </c>
      <c r="B294" s="467"/>
      <c r="C294" s="467" t="s">
        <v>238</v>
      </c>
      <c r="D294" s="467" t="s">
        <v>239</v>
      </c>
      <c r="E294" s="531">
        <v>0.21</v>
      </c>
      <c r="F294" s="467"/>
      <c r="G294" s="467"/>
      <c r="H294" s="467"/>
      <c r="I294" s="467"/>
      <c r="J294" s="1100"/>
      <c r="K294" s="467"/>
      <c r="L294" s="467"/>
      <c r="M294" s="881"/>
    </row>
    <row r="295" spans="1:14" s="61" customFormat="1" ht="18">
      <c r="A295" s="881"/>
      <c r="B295" s="467"/>
      <c r="C295" s="467"/>
      <c r="D295" s="467" t="s">
        <v>240</v>
      </c>
      <c r="E295" s="1098">
        <f>'3 - Cost Support'!M73</f>
        <v>9.0335600000000002E-2</v>
      </c>
      <c r="F295" s="467" t="s">
        <v>241</v>
      </c>
      <c r="G295" s="467"/>
      <c r="H295" s="467"/>
      <c r="I295" s="467"/>
      <c r="J295" s="467"/>
      <c r="K295" s="467"/>
      <c r="L295" s="467"/>
      <c r="M295" s="893"/>
      <c r="N295" s="894"/>
    </row>
    <row r="296" spans="1:14" s="61" customFormat="1" ht="18">
      <c r="A296" s="881"/>
      <c r="B296" s="467"/>
      <c r="C296" s="467"/>
      <c r="D296" s="467" t="s">
        <v>242</v>
      </c>
      <c r="E296" s="531">
        <v>0</v>
      </c>
      <c r="F296" s="467" t="s">
        <v>243</v>
      </c>
      <c r="G296" s="467"/>
      <c r="H296" s="467"/>
      <c r="I296" s="467"/>
      <c r="J296" s="467"/>
      <c r="K296" s="467"/>
      <c r="L296" s="467"/>
      <c r="M296" s="881"/>
    </row>
    <row r="297" spans="1:14" s="61" customFormat="1" ht="18">
      <c r="A297" s="881"/>
      <c r="B297" s="467"/>
      <c r="C297" s="467"/>
      <c r="D297" s="467" t="s">
        <v>244</v>
      </c>
      <c r="E297" s="666">
        <v>0</v>
      </c>
      <c r="F297" s="467" t="s">
        <v>245</v>
      </c>
      <c r="G297" s="467"/>
      <c r="H297" s="467"/>
      <c r="I297" s="467"/>
      <c r="J297" s="467"/>
      <c r="K297" s="665"/>
      <c r="L297" s="467"/>
      <c r="M297" s="468"/>
      <c r="N297" s="467"/>
    </row>
    <row r="298" spans="1:14" s="61" customFormat="1" ht="18">
      <c r="A298" s="881"/>
      <c r="B298" s="467"/>
      <c r="C298" s="540" t="s">
        <v>246</v>
      </c>
      <c r="D298" s="467"/>
      <c r="E298" s="541"/>
      <c r="F298" s="467"/>
      <c r="G298" s="467"/>
      <c r="H298" s="467"/>
      <c r="I298" s="467"/>
      <c r="J298" s="467"/>
      <c r="K298" s="467"/>
      <c r="L298" s="467"/>
      <c r="M298" s="881"/>
    </row>
    <row r="299" spans="1:14" s="61" customFormat="1" ht="18">
      <c r="A299" s="881"/>
      <c r="B299" s="467"/>
      <c r="C299" s="467" t="s">
        <v>247</v>
      </c>
      <c r="D299" s="467"/>
      <c r="E299" s="541"/>
      <c r="F299" s="467"/>
      <c r="G299" s="467"/>
      <c r="H299" s="467"/>
      <c r="I299" s="467"/>
      <c r="J299" s="467"/>
      <c r="K299" s="467"/>
      <c r="L299" s="467"/>
      <c r="M299" s="881"/>
    </row>
    <row r="300" spans="1:14" s="61" customFormat="1" ht="18">
      <c r="A300" s="881"/>
      <c r="B300" s="467"/>
      <c r="C300" s="467" t="s">
        <v>248</v>
      </c>
      <c r="D300" s="467"/>
      <c r="E300" s="541"/>
      <c r="F300" s="467"/>
      <c r="G300" s="467"/>
      <c r="H300" s="467"/>
      <c r="I300" s="467"/>
      <c r="J300" s="467"/>
      <c r="K300" s="467"/>
      <c r="L300" s="467"/>
      <c r="M300" s="881"/>
    </row>
    <row r="301" spans="1:14" s="61" customFormat="1" ht="18">
      <c r="A301" s="881" t="s">
        <v>249</v>
      </c>
      <c r="B301" s="467"/>
      <c r="C301" s="540" t="s">
        <v>250</v>
      </c>
      <c r="D301" s="513"/>
      <c r="E301" s="542"/>
      <c r="F301" s="542"/>
      <c r="G301" s="1051"/>
      <c r="H301" s="1052"/>
      <c r="I301" s="467"/>
      <c r="J301" s="467"/>
      <c r="K301" s="467"/>
      <c r="L301" s="467"/>
      <c r="M301" s="881"/>
    </row>
    <row r="302" spans="1:14" s="61" customFormat="1" ht="18">
      <c r="A302" s="881"/>
      <c r="B302" s="467"/>
      <c r="C302" s="468" t="s">
        <v>251</v>
      </c>
      <c r="D302" s="513"/>
      <c r="E302" s="542"/>
      <c r="F302" s="542"/>
      <c r="G302" s="1051"/>
      <c r="H302" s="1052"/>
      <c r="I302" s="468"/>
      <c r="J302" s="468"/>
      <c r="K302" s="468"/>
      <c r="L302" s="468"/>
      <c r="M302" s="881"/>
    </row>
    <row r="303" spans="1:14" s="61" customFormat="1" ht="18">
      <c r="A303" s="881"/>
      <c r="B303" s="467"/>
      <c r="C303" s="468" t="s">
        <v>252</v>
      </c>
      <c r="D303" s="513"/>
      <c r="E303" s="542"/>
      <c r="F303" s="542"/>
      <c r="G303" s="1051"/>
      <c r="H303" s="1052"/>
      <c r="I303" s="468"/>
      <c r="J303" s="468"/>
      <c r="K303" s="468"/>
      <c r="L303" s="468"/>
      <c r="M303" s="881"/>
    </row>
    <row r="304" spans="1:14" s="61" customFormat="1" ht="18">
      <c r="A304" s="881"/>
      <c r="B304" s="467"/>
      <c r="C304" s="468" t="s">
        <v>253</v>
      </c>
      <c r="D304" s="513"/>
      <c r="E304" s="542"/>
      <c r="F304" s="542"/>
      <c r="G304" s="1051"/>
      <c r="H304" s="1052"/>
      <c r="I304" s="468"/>
      <c r="J304" s="468"/>
      <c r="K304" s="468"/>
      <c r="L304" s="468"/>
      <c r="M304" s="881"/>
    </row>
    <row r="305" spans="1:256" s="61" customFormat="1" ht="18">
      <c r="A305" s="881" t="s">
        <v>254</v>
      </c>
      <c r="B305" s="467"/>
      <c r="C305" s="467" t="s">
        <v>255</v>
      </c>
      <c r="D305" s="467"/>
      <c r="E305" s="467"/>
      <c r="F305" s="467"/>
      <c r="G305" s="467"/>
      <c r="H305" s="467"/>
      <c r="I305" s="467"/>
      <c r="J305" s="467"/>
      <c r="K305" s="467"/>
      <c r="L305" s="467"/>
      <c r="M305" s="881"/>
    </row>
    <row r="306" spans="1:256" s="61" customFormat="1" ht="18">
      <c r="A306" s="881"/>
      <c r="B306" s="467"/>
      <c r="C306" s="467" t="s">
        <v>256</v>
      </c>
      <c r="D306" s="467"/>
      <c r="E306" s="467"/>
      <c r="F306" s="467"/>
      <c r="G306" s="467"/>
      <c r="H306" s="467"/>
      <c r="I306" s="467"/>
      <c r="J306" s="467"/>
      <c r="K306" s="467"/>
      <c r="L306" s="467"/>
      <c r="M306" s="881"/>
    </row>
    <row r="307" spans="1:256" s="61" customFormat="1" ht="18">
      <c r="A307" s="881"/>
      <c r="B307" s="467"/>
      <c r="C307" s="467" t="s">
        <v>257</v>
      </c>
      <c r="D307" s="467"/>
      <c r="E307" s="467"/>
      <c r="F307" s="467"/>
      <c r="G307" s="467"/>
      <c r="H307" s="467"/>
      <c r="I307" s="467"/>
      <c r="J307" s="467"/>
      <c r="K307" s="467"/>
      <c r="L307" s="467"/>
      <c r="M307" s="881"/>
    </row>
    <row r="308" spans="1:256" s="61" customFormat="1" ht="18">
      <c r="A308" s="881" t="s">
        <v>258</v>
      </c>
      <c r="B308" s="467"/>
      <c r="C308" s="467" t="s">
        <v>259</v>
      </c>
      <c r="D308" s="467"/>
      <c r="E308" s="467"/>
      <c r="F308" s="467"/>
      <c r="G308" s="467"/>
      <c r="H308" s="467"/>
      <c r="I308" s="467"/>
      <c r="J308" s="467"/>
      <c r="K308" s="467"/>
      <c r="L308" s="467"/>
      <c r="M308" s="881"/>
    </row>
    <row r="309" spans="1:256" s="61" customFormat="1" ht="18">
      <c r="A309" s="881" t="s">
        <v>260</v>
      </c>
      <c r="B309" s="467"/>
      <c r="C309" s="649" t="s">
        <v>261</v>
      </c>
      <c r="D309" s="467"/>
      <c r="E309" s="467"/>
      <c r="F309" s="467"/>
      <c r="G309" s="467"/>
      <c r="H309" s="467"/>
      <c r="I309" s="467"/>
      <c r="J309" s="467"/>
      <c r="K309" s="467"/>
      <c r="L309" s="467"/>
      <c r="M309" s="881"/>
    </row>
    <row r="310" spans="1:256" s="61" customFormat="1" ht="13.5" customHeight="1">
      <c r="A310" s="513"/>
      <c r="B310" s="513"/>
      <c r="C310" s="1298" t="s">
        <v>262</v>
      </c>
      <c r="D310" s="1298"/>
      <c r="E310" s="1298"/>
      <c r="F310" s="1298"/>
      <c r="G310" s="1298"/>
      <c r="H310" s="1298"/>
      <c r="I310" s="1298"/>
      <c r="J310" s="1298"/>
      <c r="K310" s="1298"/>
      <c r="L310" s="1298"/>
      <c r="M310" s="513"/>
      <c r="N310" s="895"/>
      <c r="O310" s="895"/>
      <c r="P310" s="895"/>
      <c r="Q310" s="895"/>
      <c r="R310" s="895"/>
      <c r="S310" s="895"/>
      <c r="T310" s="895"/>
      <c r="U310" s="895"/>
      <c r="V310" s="895"/>
      <c r="W310" s="895"/>
      <c r="X310" s="895"/>
      <c r="Y310" s="895"/>
      <c r="Z310" s="895"/>
      <c r="AA310" s="895"/>
      <c r="AB310" s="895"/>
      <c r="AC310" s="895"/>
      <c r="AD310" s="895"/>
      <c r="AE310" s="895"/>
      <c r="AF310" s="895"/>
      <c r="AG310" s="895"/>
      <c r="AH310" s="895"/>
      <c r="AI310" s="895"/>
      <c r="AJ310" s="895"/>
      <c r="AK310" s="895"/>
      <c r="AL310" s="895"/>
      <c r="AM310" s="895"/>
      <c r="AN310" s="895"/>
      <c r="AO310" s="895"/>
      <c r="AP310" s="895"/>
      <c r="AQ310" s="895"/>
      <c r="AR310" s="895"/>
      <c r="AS310" s="895"/>
      <c r="AT310" s="895"/>
      <c r="AU310" s="895"/>
      <c r="AV310" s="895"/>
      <c r="AW310" s="895"/>
      <c r="AX310" s="895"/>
      <c r="AY310" s="895"/>
      <c r="AZ310" s="895"/>
      <c r="BA310" s="895"/>
      <c r="BB310" s="895"/>
      <c r="BC310" s="895"/>
      <c r="BD310" s="895"/>
      <c r="BE310" s="895"/>
      <c r="BF310" s="895"/>
      <c r="BG310" s="895"/>
      <c r="BH310" s="895"/>
      <c r="BI310" s="895"/>
      <c r="BJ310" s="895"/>
      <c r="BK310" s="895"/>
      <c r="BL310" s="895"/>
      <c r="BM310" s="895"/>
      <c r="BN310" s="895"/>
      <c r="BO310" s="895"/>
      <c r="BP310" s="895"/>
      <c r="BQ310" s="895"/>
      <c r="BR310" s="895"/>
      <c r="BS310" s="895"/>
      <c r="BT310" s="895"/>
      <c r="BU310" s="895"/>
      <c r="BV310" s="895"/>
      <c r="BW310" s="895"/>
      <c r="BX310" s="895"/>
      <c r="BY310" s="895"/>
      <c r="BZ310" s="895"/>
      <c r="CA310" s="895"/>
      <c r="CB310" s="895"/>
      <c r="CC310" s="895"/>
      <c r="CD310" s="895"/>
      <c r="CE310" s="895"/>
      <c r="CF310" s="895"/>
      <c r="CG310" s="895"/>
      <c r="CH310" s="895"/>
      <c r="CI310" s="895"/>
      <c r="CJ310" s="895"/>
      <c r="CK310" s="895"/>
      <c r="CL310" s="895"/>
      <c r="CM310" s="895"/>
      <c r="CN310" s="895"/>
      <c r="CO310" s="895"/>
      <c r="CP310" s="895"/>
      <c r="CQ310" s="895"/>
      <c r="CR310" s="895"/>
      <c r="CS310" s="895"/>
      <c r="CT310" s="895"/>
      <c r="CU310" s="895"/>
      <c r="CV310" s="895"/>
      <c r="CW310" s="895"/>
      <c r="CX310" s="895"/>
      <c r="CY310" s="895"/>
      <c r="CZ310" s="895"/>
      <c r="DA310" s="895"/>
      <c r="DB310" s="895"/>
      <c r="DC310" s="895"/>
      <c r="DD310" s="895"/>
      <c r="DE310" s="895"/>
      <c r="DF310" s="895"/>
      <c r="DG310" s="895"/>
      <c r="DH310" s="895"/>
      <c r="DI310" s="895"/>
      <c r="DJ310" s="895"/>
      <c r="DK310" s="895"/>
      <c r="DL310" s="895"/>
      <c r="DM310" s="895"/>
      <c r="DN310" s="895"/>
      <c r="DO310" s="895"/>
      <c r="DP310" s="895"/>
      <c r="DQ310" s="895"/>
      <c r="DR310" s="895"/>
      <c r="DS310" s="895"/>
      <c r="DT310" s="895"/>
      <c r="DU310" s="895"/>
      <c r="DV310" s="895"/>
      <c r="DW310" s="895"/>
      <c r="DX310" s="895"/>
      <c r="DY310" s="895"/>
      <c r="DZ310" s="895"/>
      <c r="EA310" s="895"/>
      <c r="EB310" s="895"/>
      <c r="EC310" s="895"/>
      <c r="ED310" s="895"/>
      <c r="EE310" s="895"/>
      <c r="EF310" s="895"/>
      <c r="EG310" s="895"/>
      <c r="EH310" s="895"/>
      <c r="EI310" s="895"/>
      <c r="EJ310" s="895"/>
      <c r="EK310" s="895"/>
      <c r="EL310" s="895"/>
      <c r="EM310" s="895"/>
      <c r="EN310" s="895"/>
      <c r="EO310" s="895"/>
      <c r="EP310" s="895"/>
      <c r="EQ310" s="895"/>
      <c r="ER310" s="895"/>
      <c r="ES310" s="895"/>
      <c r="ET310" s="895"/>
      <c r="EU310" s="895"/>
      <c r="EV310" s="895"/>
      <c r="EW310" s="895"/>
      <c r="EX310" s="895"/>
      <c r="EY310" s="895"/>
      <c r="EZ310" s="895"/>
      <c r="FA310" s="895"/>
      <c r="FB310" s="895"/>
      <c r="FC310" s="895"/>
      <c r="FD310" s="895"/>
      <c r="FE310" s="895"/>
      <c r="FF310" s="895"/>
      <c r="FG310" s="895"/>
      <c r="FH310" s="895"/>
      <c r="FI310" s="895"/>
      <c r="FJ310" s="895"/>
      <c r="FK310" s="895"/>
      <c r="FL310" s="895"/>
      <c r="FM310" s="895"/>
      <c r="FN310" s="895"/>
      <c r="FO310" s="895"/>
      <c r="FP310" s="895"/>
      <c r="FQ310" s="895"/>
      <c r="FR310" s="895"/>
      <c r="FS310" s="895"/>
      <c r="FT310" s="895"/>
      <c r="FU310" s="895"/>
      <c r="FV310" s="895"/>
      <c r="FW310" s="895"/>
      <c r="FX310" s="895"/>
      <c r="FY310" s="895"/>
      <c r="FZ310" s="895"/>
      <c r="GA310" s="895"/>
      <c r="GB310" s="895"/>
      <c r="GC310" s="895"/>
      <c r="GD310" s="895"/>
      <c r="GE310" s="895"/>
      <c r="GF310" s="895"/>
      <c r="GG310" s="895"/>
      <c r="GH310" s="895"/>
      <c r="GI310" s="895"/>
      <c r="GJ310" s="895"/>
      <c r="GK310" s="895"/>
      <c r="GL310" s="895"/>
      <c r="GM310" s="895"/>
      <c r="GN310" s="895"/>
      <c r="GO310" s="895"/>
      <c r="GP310" s="895"/>
      <c r="GQ310" s="895"/>
      <c r="GR310" s="895"/>
      <c r="GS310" s="895"/>
      <c r="GT310" s="895"/>
      <c r="GU310" s="895"/>
      <c r="GV310" s="895"/>
      <c r="GW310" s="895"/>
      <c r="GX310" s="895"/>
      <c r="GY310" s="895"/>
      <c r="GZ310" s="895"/>
      <c r="HA310" s="895"/>
      <c r="HB310" s="895"/>
      <c r="HC310" s="895"/>
      <c r="HD310" s="895"/>
      <c r="HE310" s="895"/>
      <c r="HF310" s="895"/>
      <c r="HG310" s="895"/>
      <c r="HH310" s="895"/>
      <c r="HI310" s="895"/>
      <c r="HJ310" s="895"/>
      <c r="HK310" s="895"/>
      <c r="HL310" s="895"/>
      <c r="HM310" s="895"/>
      <c r="HN310" s="895"/>
      <c r="HO310" s="895"/>
      <c r="HP310" s="895"/>
      <c r="HQ310" s="895"/>
      <c r="HR310" s="895"/>
      <c r="HS310" s="895"/>
      <c r="HT310" s="895"/>
      <c r="HU310" s="895"/>
      <c r="HV310" s="895"/>
      <c r="HW310" s="895"/>
      <c r="HX310" s="895"/>
      <c r="HY310" s="895"/>
      <c r="HZ310" s="895"/>
      <c r="IA310" s="895"/>
      <c r="IB310" s="895"/>
      <c r="IC310" s="895"/>
      <c r="ID310" s="895"/>
      <c r="IE310" s="895"/>
      <c r="IF310" s="895"/>
      <c r="IG310" s="895"/>
      <c r="IH310" s="895"/>
      <c r="II310" s="895"/>
      <c r="IJ310" s="895"/>
      <c r="IK310" s="895"/>
      <c r="IL310" s="895"/>
      <c r="IM310" s="895"/>
      <c r="IN310" s="895"/>
      <c r="IO310" s="895"/>
      <c r="IP310" s="895"/>
      <c r="IQ310" s="895"/>
      <c r="IR310" s="895"/>
      <c r="IS310" s="895"/>
      <c r="IT310" s="895"/>
      <c r="IU310" s="895"/>
      <c r="IV310" s="895"/>
    </row>
    <row r="311" spans="1:256" s="61" customFormat="1" ht="24" customHeight="1">
      <c r="A311" s="513"/>
      <c r="B311" s="513"/>
      <c r="C311" s="1298"/>
      <c r="D311" s="1298"/>
      <c r="E311" s="1298"/>
      <c r="F311" s="1298"/>
      <c r="G311" s="1298"/>
      <c r="H311" s="1298"/>
      <c r="I311" s="1298"/>
      <c r="J311" s="1298"/>
      <c r="K311" s="1298"/>
      <c r="L311" s="1298"/>
      <c r="M311" s="513"/>
      <c r="N311" s="895"/>
      <c r="O311" s="895"/>
      <c r="P311" s="895"/>
      <c r="Q311" s="895"/>
      <c r="R311" s="895"/>
      <c r="S311" s="895"/>
      <c r="T311" s="895"/>
      <c r="U311" s="895"/>
      <c r="V311" s="895"/>
      <c r="W311" s="895"/>
      <c r="X311" s="895"/>
      <c r="Y311" s="895"/>
      <c r="Z311" s="895"/>
      <c r="AA311" s="895"/>
      <c r="AB311" s="895"/>
      <c r="AC311" s="895"/>
      <c r="AD311" s="895"/>
      <c r="AE311" s="895"/>
      <c r="AF311" s="895"/>
      <c r="AG311" s="895"/>
      <c r="AH311" s="895"/>
      <c r="AI311" s="895"/>
      <c r="AJ311" s="895"/>
      <c r="AK311" s="895"/>
      <c r="AL311" s="895"/>
      <c r="AM311" s="895"/>
      <c r="AN311" s="895"/>
      <c r="AO311" s="895"/>
      <c r="AP311" s="895"/>
      <c r="AQ311" s="895"/>
      <c r="AR311" s="895"/>
      <c r="AS311" s="895"/>
      <c r="AT311" s="895"/>
      <c r="AU311" s="895"/>
      <c r="AV311" s="895"/>
      <c r="AW311" s="895"/>
      <c r="AX311" s="895"/>
      <c r="AY311" s="895"/>
      <c r="AZ311" s="895"/>
      <c r="BA311" s="895"/>
      <c r="BB311" s="895"/>
      <c r="BC311" s="895"/>
      <c r="BD311" s="895"/>
      <c r="BE311" s="895"/>
      <c r="BF311" s="895"/>
      <c r="BG311" s="895"/>
      <c r="BH311" s="895"/>
      <c r="BI311" s="895"/>
      <c r="BJ311" s="895"/>
      <c r="BK311" s="895"/>
      <c r="BL311" s="895"/>
      <c r="BM311" s="895"/>
      <c r="BN311" s="895"/>
      <c r="BO311" s="895"/>
      <c r="BP311" s="895"/>
      <c r="BQ311" s="895"/>
      <c r="BR311" s="895"/>
      <c r="BS311" s="895"/>
      <c r="BT311" s="895"/>
      <c r="BU311" s="895"/>
      <c r="BV311" s="895"/>
      <c r="BW311" s="895"/>
      <c r="BX311" s="895"/>
      <c r="BY311" s="895"/>
      <c r="BZ311" s="895"/>
      <c r="CA311" s="895"/>
      <c r="CB311" s="895"/>
      <c r="CC311" s="895"/>
      <c r="CD311" s="895"/>
      <c r="CE311" s="895"/>
      <c r="CF311" s="895"/>
      <c r="CG311" s="895"/>
      <c r="CH311" s="895"/>
      <c r="CI311" s="895"/>
      <c r="CJ311" s="895"/>
      <c r="CK311" s="895"/>
      <c r="CL311" s="895"/>
      <c r="CM311" s="895"/>
      <c r="CN311" s="895"/>
      <c r="CO311" s="895"/>
      <c r="CP311" s="895"/>
      <c r="CQ311" s="895"/>
      <c r="CR311" s="895"/>
      <c r="CS311" s="895"/>
      <c r="CT311" s="895"/>
      <c r="CU311" s="895"/>
      <c r="CV311" s="895"/>
      <c r="CW311" s="895"/>
      <c r="CX311" s="895"/>
      <c r="CY311" s="895"/>
      <c r="CZ311" s="895"/>
      <c r="DA311" s="895"/>
      <c r="DB311" s="895"/>
      <c r="DC311" s="895"/>
      <c r="DD311" s="895"/>
      <c r="DE311" s="895"/>
      <c r="DF311" s="895"/>
      <c r="DG311" s="895"/>
      <c r="DH311" s="895"/>
      <c r="DI311" s="895"/>
      <c r="DJ311" s="895"/>
      <c r="DK311" s="895"/>
      <c r="DL311" s="895"/>
      <c r="DM311" s="895"/>
      <c r="DN311" s="895"/>
      <c r="DO311" s="895"/>
      <c r="DP311" s="895"/>
      <c r="DQ311" s="895"/>
      <c r="DR311" s="895"/>
      <c r="DS311" s="895"/>
      <c r="DT311" s="895"/>
      <c r="DU311" s="895"/>
      <c r="DV311" s="895"/>
      <c r="DW311" s="895"/>
      <c r="DX311" s="895"/>
      <c r="DY311" s="895"/>
      <c r="DZ311" s="895"/>
      <c r="EA311" s="895"/>
      <c r="EB311" s="895"/>
      <c r="EC311" s="895"/>
      <c r="ED311" s="895"/>
      <c r="EE311" s="895"/>
      <c r="EF311" s="895"/>
      <c r="EG311" s="895"/>
      <c r="EH311" s="895"/>
      <c r="EI311" s="895"/>
      <c r="EJ311" s="895"/>
      <c r="EK311" s="895"/>
      <c r="EL311" s="895"/>
      <c r="EM311" s="895"/>
      <c r="EN311" s="895"/>
      <c r="EO311" s="895"/>
      <c r="EP311" s="895"/>
      <c r="EQ311" s="895"/>
      <c r="ER311" s="895"/>
      <c r="ES311" s="895"/>
      <c r="ET311" s="895"/>
      <c r="EU311" s="895"/>
      <c r="EV311" s="895"/>
      <c r="EW311" s="895"/>
      <c r="EX311" s="895"/>
      <c r="EY311" s="895"/>
      <c r="EZ311" s="895"/>
      <c r="FA311" s="895"/>
      <c r="FB311" s="895"/>
      <c r="FC311" s="895"/>
      <c r="FD311" s="895"/>
      <c r="FE311" s="895"/>
      <c r="FF311" s="895"/>
      <c r="FG311" s="895"/>
      <c r="FH311" s="895"/>
      <c r="FI311" s="895"/>
      <c r="FJ311" s="895"/>
      <c r="FK311" s="895"/>
      <c r="FL311" s="895"/>
      <c r="FM311" s="895"/>
      <c r="FN311" s="895"/>
      <c r="FO311" s="895"/>
      <c r="FP311" s="895"/>
      <c r="FQ311" s="895"/>
      <c r="FR311" s="895"/>
      <c r="FS311" s="895"/>
      <c r="FT311" s="895"/>
      <c r="FU311" s="895"/>
      <c r="FV311" s="895"/>
      <c r="FW311" s="895"/>
      <c r="FX311" s="895"/>
      <c r="FY311" s="895"/>
      <c r="FZ311" s="895"/>
      <c r="GA311" s="895"/>
      <c r="GB311" s="895"/>
      <c r="GC311" s="895"/>
      <c r="GD311" s="895"/>
      <c r="GE311" s="895"/>
      <c r="GF311" s="895"/>
      <c r="GG311" s="895"/>
      <c r="GH311" s="895"/>
      <c r="GI311" s="895"/>
      <c r="GJ311" s="895"/>
      <c r="GK311" s="895"/>
      <c r="GL311" s="895"/>
      <c r="GM311" s="895"/>
      <c r="GN311" s="895"/>
      <c r="GO311" s="895"/>
      <c r="GP311" s="895"/>
      <c r="GQ311" s="895"/>
      <c r="GR311" s="895"/>
      <c r="GS311" s="895"/>
      <c r="GT311" s="895"/>
      <c r="GU311" s="895"/>
      <c r="GV311" s="895"/>
      <c r="GW311" s="895"/>
      <c r="GX311" s="895"/>
      <c r="GY311" s="895"/>
      <c r="GZ311" s="895"/>
      <c r="HA311" s="895"/>
      <c r="HB311" s="895"/>
      <c r="HC311" s="895"/>
      <c r="HD311" s="895"/>
      <c r="HE311" s="895"/>
      <c r="HF311" s="895"/>
      <c r="HG311" s="895"/>
      <c r="HH311" s="895"/>
      <c r="HI311" s="895"/>
      <c r="HJ311" s="895"/>
      <c r="HK311" s="895"/>
      <c r="HL311" s="895"/>
      <c r="HM311" s="895"/>
      <c r="HN311" s="895"/>
      <c r="HO311" s="895"/>
      <c r="HP311" s="895"/>
      <c r="HQ311" s="895"/>
      <c r="HR311" s="895"/>
      <c r="HS311" s="895"/>
      <c r="HT311" s="895"/>
      <c r="HU311" s="895"/>
      <c r="HV311" s="895"/>
      <c r="HW311" s="895"/>
      <c r="HX311" s="895"/>
      <c r="HY311" s="895"/>
      <c r="HZ311" s="895"/>
      <c r="IA311" s="895"/>
      <c r="IB311" s="895"/>
      <c r="IC311" s="895"/>
      <c r="ID311" s="895"/>
      <c r="IE311" s="895"/>
      <c r="IF311" s="895"/>
      <c r="IG311" s="895"/>
      <c r="IH311" s="895"/>
      <c r="II311" s="895"/>
      <c r="IJ311" s="895"/>
      <c r="IK311" s="895"/>
      <c r="IL311" s="895"/>
      <c r="IM311" s="895"/>
      <c r="IN311" s="895"/>
      <c r="IO311" s="895"/>
      <c r="IP311" s="895"/>
      <c r="IQ311" s="895"/>
      <c r="IR311" s="895"/>
      <c r="IS311" s="895"/>
      <c r="IT311" s="895"/>
      <c r="IU311" s="895"/>
      <c r="IV311" s="895"/>
    </row>
    <row r="312" spans="1:256" s="61" customFormat="1" ht="15.75" hidden="1" customHeight="1">
      <c r="A312" s="513"/>
      <c r="B312" s="513"/>
      <c r="C312" s="648"/>
      <c r="D312" s="648"/>
      <c r="E312" s="648"/>
      <c r="F312" s="648"/>
      <c r="G312" s="648"/>
      <c r="H312" s="648"/>
      <c r="I312" s="648"/>
      <c r="J312" s="648"/>
      <c r="K312" s="648"/>
      <c r="L312" s="648"/>
      <c r="M312" s="513"/>
      <c r="N312" s="896"/>
      <c r="O312" s="896"/>
      <c r="P312" s="896"/>
      <c r="Q312" s="896"/>
      <c r="R312" s="896"/>
      <c r="S312" s="896"/>
      <c r="T312" s="896"/>
      <c r="U312" s="896"/>
      <c r="V312" s="896"/>
      <c r="W312" s="896"/>
      <c r="X312" s="896"/>
      <c r="Y312" s="896"/>
      <c r="Z312" s="896"/>
      <c r="AA312" s="896"/>
      <c r="AB312" s="896"/>
      <c r="AC312" s="896"/>
      <c r="AD312" s="896"/>
      <c r="AE312" s="896"/>
      <c r="AF312" s="896"/>
      <c r="AG312" s="896"/>
      <c r="AH312" s="896"/>
      <c r="AI312" s="896"/>
      <c r="AJ312" s="896"/>
      <c r="AK312" s="896"/>
      <c r="AL312" s="896"/>
      <c r="AM312" s="896"/>
      <c r="AN312" s="896"/>
      <c r="AO312" s="896"/>
      <c r="AP312" s="896"/>
      <c r="AQ312" s="896"/>
      <c r="AR312" s="896"/>
      <c r="AS312" s="896"/>
      <c r="AT312" s="896"/>
      <c r="AU312" s="896"/>
      <c r="AV312" s="896"/>
      <c r="AW312" s="896"/>
      <c r="AX312" s="896"/>
      <c r="AY312" s="896"/>
      <c r="AZ312" s="896"/>
      <c r="BA312" s="896"/>
      <c r="BB312" s="896"/>
      <c r="BC312" s="896"/>
      <c r="BD312" s="896"/>
      <c r="BE312" s="896"/>
      <c r="BF312" s="896"/>
      <c r="BG312" s="896"/>
      <c r="BH312" s="896"/>
      <c r="BI312" s="896"/>
      <c r="BJ312" s="896"/>
      <c r="BK312" s="896"/>
      <c r="BL312" s="896"/>
      <c r="BM312" s="896"/>
      <c r="BN312" s="896"/>
      <c r="BO312" s="896"/>
      <c r="BP312" s="896"/>
      <c r="BQ312" s="896"/>
      <c r="BR312" s="896"/>
      <c r="BS312" s="896"/>
      <c r="BT312" s="896"/>
      <c r="BU312" s="896"/>
      <c r="BV312" s="896"/>
      <c r="BW312" s="896"/>
      <c r="BX312" s="896"/>
      <c r="BY312" s="896"/>
      <c r="BZ312" s="896"/>
      <c r="CA312" s="896"/>
      <c r="CB312" s="896"/>
      <c r="CC312" s="896"/>
      <c r="CD312" s="896"/>
      <c r="CE312" s="896"/>
      <c r="CF312" s="896"/>
      <c r="CG312" s="896"/>
      <c r="CH312" s="896"/>
      <c r="CI312" s="896"/>
      <c r="CJ312" s="896"/>
      <c r="CK312" s="896"/>
      <c r="CL312" s="896"/>
      <c r="CM312" s="896"/>
      <c r="CN312" s="896"/>
      <c r="CO312" s="896"/>
      <c r="CP312" s="896"/>
      <c r="CQ312" s="896"/>
      <c r="CR312" s="896"/>
      <c r="CS312" s="896"/>
      <c r="CT312" s="896"/>
      <c r="CU312" s="896"/>
      <c r="CV312" s="896"/>
      <c r="CW312" s="896"/>
      <c r="CX312" s="896"/>
      <c r="CY312" s="896"/>
      <c r="CZ312" s="896"/>
      <c r="DA312" s="896"/>
      <c r="DB312" s="896"/>
      <c r="DC312" s="896"/>
      <c r="DD312" s="896"/>
      <c r="DE312" s="896"/>
      <c r="DF312" s="896"/>
      <c r="DG312" s="896"/>
      <c r="DH312" s="896"/>
      <c r="DI312" s="896"/>
      <c r="DJ312" s="896"/>
      <c r="DK312" s="896"/>
      <c r="DL312" s="896"/>
      <c r="DM312" s="896"/>
      <c r="DN312" s="896"/>
      <c r="DO312" s="896"/>
      <c r="DP312" s="896"/>
      <c r="DQ312" s="896"/>
      <c r="DR312" s="896"/>
      <c r="DS312" s="896"/>
      <c r="DT312" s="896"/>
      <c r="DU312" s="896"/>
      <c r="DV312" s="896"/>
      <c r="DW312" s="896"/>
      <c r="DX312" s="896"/>
      <c r="DY312" s="896"/>
      <c r="DZ312" s="896"/>
      <c r="EA312" s="896"/>
      <c r="EB312" s="896"/>
      <c r="EC312" s="896"/>
      <c r="ED312" s="896"/>
      <c r="EE312" s="896"/>
      <c r="EF312" s="896"/>
      <c r="EG312" s="896"/>
      <c r="EH312" s="896"/>
      <c r="EI312" s="896"/>
      <c r="EJ312" s="896"/>
      <c r="EK312" s="896"/>
      <c r="EL312" s="896"/>
      <c r="EM312" s="896"/>
      <c r="EN312" s="896"/>
      <c r="EO312" s="896"/>
      <c r="EP312" s="896"/>
      <c r="EQ312" s="896"/>
      <c r="ER312" s="896"/>
      <c r="ES312" s="896"/>
      <c r="ET312" s="896"/>
      <c r="EU312" s="896"/>
      <c r="EV312" s="896"/>
      <c r="EW312" s="896"/>
      <c r="EX312" s="896"/>
      <c r="EY312" s="896"/>
      <c r="EZ312" s="896"/>
      <c r="FA312" s="896"/>
      <c r="FB312" s="896"/>
      <c r="FC312" s="896"/>
      <c r="FD312" s="896"/>
      <c r="FE312" s="896"/>
      <c r="FF312" s="896"/>
      <c r="FG312" s="896"/>
      <c r="FH312" s="896"/>
      <c r="FI312" s="896"/>
      <c r="FJ312" s="896"/>
      <c r="FK312" s="896"/>
      <c r="FL312" s="896"/>
      <c r="FM312" s="896"/>
      <c r="FN312" s="896"/>
      <c r="FO312" s="896"/>
      <c r="FP312" s="896"/>
      <c r="FQ312" s="896"/>
      <c r="FR312" s="896"/>
      <c r="FS312" s="896"/>
      <c r="FT312" s="896"/>
      <c r="FU312" s="896"/>
      <c r="FV312" s="896"/>
      <c r="FW312" s="896"/>
      <c r="FX312" s="896"/>
      <c r="FY312" s="896"/>
      <c r="FZ312" s="896"/>
      <c r="GA312" s="896"/>
      <c r="GB312" s="896"/>
      <c r="GC312" s="896"/>
      <c r="GD312" s="896"/>
      <c r="GE312" s="896"/>
      <c r="GF312" s="896"/>
      <c r="GG312" s="896"/>
      <c r="GH312" s="896"/>
      <c r="GI312" s="896"/>
      <c r="GJ312" s="896"/>
      <c r="GK312" s="896"/>
      <c r="GL312" s="896"/>
      <c r="GM312" s="896"/>
      <c r="GN312" s="896"/>
      <c r="GO312" s="896"/>
      <c r="GP312" s="896"/>
      <c r="GQ312" s="896"/>
      <c r="GR312" s="896"/>
      <c r="GS312" s="896"/>
      <c r="GT312" s="896"/>
      <c r="GU312" s="896"/>
      <c r="GV312" s="896"/>
      <c r="GW312" s="896"/>
      <c r="GX312" s="896"/>
      <c r="GY312" s="896"/>
      <c r="GZ312" s="896"/>
      <c r="HA312" s="896"/>
      <c r="HB312" s="896"/>
      <c r="HC312" s="896"/>
      <c r="HD312" s="896"/>
      <c r="HE312" s="896"/>
      <c r="HF312" s="896"/>
      <c r="HG312" s="896"/>
      <c r="HH312" s="896"/>
      <c r="HI312" s="896"/>
      <c r="HJ312" s="896"/>
      <c r="HK312" s="896"/>
      <c r="HL312" s="896"/>
      <c r="HM312" s="896"/>
      <c r="HN312" s="896"/>
      <c r="HO312" s="896"/>
      <c r="HP312" s="896"/>
      <c r="HQ312" s="896"/>
      <c r="HR312" s="896"/>
      <c r="HS312" s="896"/>
      <c r="HT312" s="896"/>
      <c r="HU312" s="896"/>
      <c r="HV312" s="896"/>
      <c r="HW312" s="896"/>
      <c r="HX312" s="896"/>
      <c r="HY312" s="896"/>
      <c r="HZ312" s="896"/>
      <c r="IA312" s="896"/>
      <c r="IB312" s="896"/>
      <c r="IC312" s="896"/>
      <c r="ID312" s="896"/>
      <c r="IE312" s="896"/>
      <c r="IF312" s="896"/>
      <c r="IG312" s="896"/>
      <c r="IH312" s="896"/>
      <c r="II312" s="896"/>
      <c r="IJ312" s="896"/>
      <c r="IK312" s="896"/>
      <c r="IL312" s="896"/>
      <c r="IM312" s="896"/>
      <c r="IN312" s="896"/>
      <c r="IO312" s="896"/>
      <c r="IP312" s="896"/>
      <c r="IQ312" s="896"/>
      <c r="IR312" s="896"/>
      <c r="IS312" s="896"/>
      <c r="IT312" s="896"/>
      <c r="IU312" s="896"/>
      <c r="IV312" s="896"/>
    </row>
    <row r="313" spans="1:256" s="61" customFormat="1" ht="58.5" customHeight="1">
      <c r="A313" s="897" t="s">
        <v>263</v>
      </c>
      <c r="B313" s="513"/>
      <c r="C313" s="1297" t="s">
        <v>264</v>
      </c>
      <c r="D313" s="1297"/>
      <c r="E313" s="1297"/>
      <c r="F313" s="1297"/>
      <c r="G313" s="1297"/>
      <c r="H313" s="1297"/>
      <c r="I313" s="1297"/>
      <c r="J313" s="1297"/>
      <c r="K313" s="1297"/>
      <c r="L313" s="1297"/>
      <c r="M313" s="513"/>
      <c r="N313" s="896"/>
      <c r="O313" s="896"/>
      <c r="P313" s="896"/>
      <c r="Q313" s="896"/>
      <c r="R313" s="896"/>
      <c r="S313" s="896"/>
      <c r="T313" s="896"/>
      <c r="U313" s="896"/>
      <c r="V313" s="896"/>
      <c r="W313" s="896"/>
      <c r="X313" s="896"/>
      <c r="Y313" s="896"/>
      <c r="Z313" s="896"/>
      <c r="AA313" s="896"/>
      <c r="AB313" s="896"/>
      <c r="AC313" s="896"/>
      <c r="AD313" s="896"/>
      <c r="AE313" s="896"/>
      <c r="AF313" s="896"/>
      <c r="AG313" s="896"/>
      <c r="AH313" s="896"/>
      <c r="AI313" s="896"/>
      <c r="AJ313" s="896"/>
      <c r="AK313" s="896"/>
      <c r="AL313" s="896"/>
      <c r="AM313" s="896"/>
      <c r="AN313" s="896"/>
      <c r="AO313" s="896"/>
      <c r="AP313" s="896"/>
      <c r="AQ313" s="896"/>
      <c r="AR313" s="896"/>
      <c r="AS313" s="896"/>
      <c r="AT313" s="896"/>
      <c r="AU313" s="896"/>
      <c r="AV313" s="896"/>
      <c r="AW313" s="896"/>
      <c r="AX313" s="896"/>
      <c r="AY313" s="896"/>
      <c r="AZ313" s="896"/>
      <c r="BA313" s="896"/>
      <c r="BB313" s="896"/>
      <c r="BC313" s="896"/>
      <c r="BD313" s="896"/>
      <c r="BE313" s="896"/>
      <c r="BF313" s="896"/>
      <c r="BG313" s="896"/>
      <c r="BH313" s="896"/>
      <c r="BI313" s="896"/>
      <c r="BJ313" s="896"/>
      <c r="BK313" s="896"/>
      <c r="BL313" s="896"/>
      <c r="BM313" s="896"/>
      <c r="BN313" s="896"/>
      <c r="BO313" s="896"/>
      <c r="BP313" s="896"/>
      <c r="BQ313" s="896"/>
      <c r="BR313" s="896"/>
      <c r="BS313" s="896"/>
      <c r="BT313" s="896"/>
      <c r="BU313" s="896"/>
      <c r="BV313" s="896"/>
      <c r="BW313" s="896"/>
      <c r="BX313" s="896"/>
      <c r="BY313" s="896"/>
      <c r="BZ313" s="896"/>
      <c r="CA313" s="896"/>
      <c r="CB313" s="896"/>
      <c r="CC313" s="896"/>
      <c r="CD313" s="896"/>
      <c r="CE313" s="896"/>
      <c r="CF313" s="896"/>
      <c r="CG313" s="896"/>
      <c r="CH313" s="896"/>
      <c r="CI313" s="896"/>
      <c r="CJ313" s="896"/>
      <c r="CK313" s="896"/>
      <c r="CL313" s="896"/>
      <c r="CM313" s="896"/>
      <c r="CN313" s="896"/>
      <c r="CO313" s="896"/>
      <c r="CP313" s="896"/>
      <c r="CQ313" s="896"/>
      <c r="CR313" s="896"/>
      <c r="CS313" s="896"/>
      <c r="CT313" s="896"/>
      <c r="CU313" s="896"/>
      <c r="CV313" s="896"/>
      <c r="CW313" s="896"/>
      <c r="CX313" s="896"/>
      <c r="CY313" s="896"/>
      <c r="CZ313" s="896"/>
      <c r="DA313" s="896"/>
      <c r="DB313" s="896"/>
      <c r="DC313" s="896"/>
      <c r="DD313" s="896"/>
      <c r="DE313" s="896"/>
      <c r="DF313" s="896"/>
      <c r="DG313" s="896"/>
      <c r="DH313" s="896"/>
      <c r="DI313" s="896"/>
      <c r="DJ313" s="896"/>
      <c r="DK313" s="896"/>
      <c r="DL313" s="896"/>
      <c r="DM313" s="896"/>
      <c r="DN313" s="896"/>
      <c r="DO313" s="896"/>
      <c r="DP313" s="896"/>
      <c r="DQ313" s="896"/>
      <c r="DR313" s="896"/>
      <c r="DS313" s="896"/>
      <c r="DT313" s="896"/>
      <c r="DU313" s="896"/>
      <c r="DV313" s="896"/>
      <c r="DW313" s="896"/>
      <c r="DX313" s="896"/>
      <c r="DY313" s="896"/>
      <c r="DZ313" s="896"/>
      <c r="EA313" s="896"/>
      <c r="EB313" s="896"/>
      <c r="EC313" s="896"/>
      <c r="ED313" s="896"/>
      <c r="EE313" s="896"/>
      <c r="EF313" s="896"/>
      <c r="EG313" s="896"/>
      <c r="EH313" s="896"/>
      <c r="EI313" s="896"/>
      <c r="EJ313" s="896"/>
      <c r="EK313" s="896"/>
      <c r="EL313" s="896"/>
      <c r="EM313" s="896"/>
      <c r="EN313" s="896"/>
      <c r="EO313" s="896"/>
      <c r="EP313" s="896"/>
      <c r="EQ313" s="896"/>
      <c r="ER313" s="896"/>
      <c r="ES313" s="896"/>
      <c r="ET313" s="896"/>
      <c r="EU313" s="896"/>
      <c r="EV313" s="896"/>
      <c r="EW313" s="896"/>
      <c r="EX313" s="896"/>
      <c r="EY313" s="896"/>
      <c r="EZ313" s="896"/>
      <c r="FA313" s="896"/>
      <c r="FB313" s="896"/>
      <c r="FC313" s="896"/>
      <c r="FD313" s="896"/>
      <c r="FE313" s="896"/>
      <c r="FF313" s="896"/>
      <c r="FG313" s="896"/>
      <c r="FH313" s="896"/>
      <c r="FI313" s="896"/>
      <c r="FJ313" s="896"/>
      <c r="FK313" s="896"/>
      <c r="FL313" s="896"/>
      <c r="FM313" s="896"/>
      <c r="FN313" s="896"/>
      <c r="FO313" s="896"/>
      <c r="FP313" s="896"/>
      <c r="FQ313" s="896"/>
      <c r="FR313" s="896"/>
      <c r="FS313" s="896"/>
      <c r="FT313" s="896"/>
      <c r="FU313" s="896"/>
      <c r="FV313" s="896"/>
      <c r="FW313" s="896"/>
      <c r="FX313" s="896"/>
      <c r="FY313" s="896"/>
      <c r="FZ313" s="896"/>
      <c r="GA313" s="896"/>
      <c r="GB313" s="896"/>
      <c r="GC313" s="896"/>
      <c r="GD313" s="896"/>
      <c r="GE313" s="896"/>
      <c r="GF313" s="896"/>
      <c r="GG313" s="896"/>
      <c r="GH313" s="896"/>
      <c r="GI313" s="896"/>
      <c r="GJ313" s="896"/>
      <c r="GK313" s="896"/>
      <c r="GL313" s="896"/>
      <c r="GM313" s="896"/>
      <c r="GN313" s="896"/>
      <c r="GO313" s="896"/>
      <c r="GP313" s="896"/>
      <c r="GQ313" s="896"/>
      <c r="GR313" s="896"/>
      <c r="GS313" s="896"/>
      <c r="GT313" s="896"/>
      <c r="GU313" s="896"/>
      <c r="GV313" s="896"/>
      <c r="GW313" s="896"/>
      <c r="GX313" s="896"/>
      <c r="GY313" s="896"/>
      <c r="GZ313" s="896"/>
      <c r="HA313" s="896"/>
      <c r="HB313" s="896"/>
      <c r="HC313" s="896"/>
      <c r="HD313" s="896"/>
      <c r="HE313" s="896"/>
      <c r="HF313" s="896"/>
      <c r="HG313" s="896"/>
      <c r="HH313" s="896"/>
      <c r="HI313" s="896"/>
      <c r="HJ313" s="896"/>
      <c r="HK313" s="896"/>
      <c r="HL313" s="896"/>
      <c r="HM313" s="896"/>
      <c r="HN313" s="896"/>
      <c r="HO313" s="896"/>
      <c r="HP313" s="896"/>
      <c r="HQ313" s="896"/>
      <c r="HR313" s="896"/>
      <c r="HS313" s="896"/>
      <c r="HT313" s="896"/>
      <c r="HU313" s="896"/>
      <c r="HV313" s="896"/>
      <c r="HW313" s="896"/>
      <c r="HX313" s="896"/>
      <c r="HY313" s="896"/>
      <c r="HZ313" s="896"/>
      <c r="IA313" s="896"/>
      <c r="IB313" s="896"/>
      <c r="IC313" s="896"/>
      <c r="ID313" s="896"/>
      <c r="IE313" s="896"/>
      <c r="IF313" s="896"/>
      <c r="IG313" s="896"/>
      <c r="IH313" s="896"/>
      <c r="II313" s="896"/>
      <c r="IJ313" s="896"/>
      <c r="IK313" s="896"/>
      <c r="IL313" s="896"/>
      <c r="IM313" s="896"/>
      <c r="IN313" s="896"/>
      <c r="IO313" s="896"/>
      <c r="IP313" s="896"/>
      <c r="IQ313" s="896"/>
      <c r="IR313" s="896"/>
      <c r="IS313" s="896"/>
      <c r="IT313" s="896"/>
      <c r="IU313" s="896"/>
      <c r="IV313" s="896"/>
    </row>
    <row r="314" spans="1:256" s="61" customFormat="1" ht="18">
      <c r="A314" s="898" t="s">
        <v>265</v>
      </c>
      <c r="B314" s="513"/>
      <c r="C314" s="540" t="s">
        <v>266</v>
      </c>
      <c r="D314" s="513"/>
      <c r="E314" s="513"/>
      <c r="F314" s="513"/>
      <c r="G314" s="513"/>
      <c r="H314" s="513"/>
      <c r="I314" s="513"/>
      <c r="J314" s="513"/>
      <c r="K314" s="513"/>
      <c r="L314" s="513"/>
      <c r="M314" s="513"/>
      <c r="N314" s="896"/>
      <c r="O314" s="896"/>
      <c r="P314" s="896"/>
      <c r="Q314" s="896"/>
      <c r="R314" s="896"/>
      <c r="S314" s="896"/>
      <c r="T314" s="896"/>
      <c r="U314" s="896"/>
      <c r="V314" s="896"/>
      <c r="W314" s="896"/>
      <c r="X314" s="896"/>
      <c r="Y314" s="896"/>
      <c r="Z314" s="896"/>
      <c r="AA314" s="896"/>
      <c r="AB314" s="896"/>
      <c r="AC314" s="896"/>
      <c r="AD314" s="896"/>
      <c r="AE314" s="896"/>
      <c r="AF314" s="896"/>
      <c r="AG314" s="896"/>
      <c r="AH314" s="896"/>
      <c r="AI314" s="896"/>
      <c r="AJ314" s="896"/>
      <c r="AK314" s="896"/>
      <c r="AL314" s="896"/>
      <c r="AM314" s="896"/>
      <c r="AN314" s="896"/>
      <c r="AO314" s="896"/>
      <c r="AP314" s="896"/>
      <c r="AQ314" s="896"/>
      <c r="AR314" s="896"/>
      <c r="AS314" s="896"/>
      <c r="AT314" s="896"/>
      <c r="AU314" s="896"/>
      <c r="AV314" s="896"/>
      <c r="AW314" s="896"/>
      <c r="AX314" s="896"/>
      <c r="AY314" s="896"/>
      <c r="AZ314" s="896"/>
      <c r="BA314" s="896"/>
      <c r="BB314" s="896"/>
      <c r="BC314" s="896"/>
      <c r="BD314" s="896"/>
      <c r="BE314" s="896"/>
      <c r="BF314" s="896"/>
      <c r="BG314" s="896"/>
      <c r="BH314" s="896"/>
      <c r="BI314" s="896"/>
      <c r="BJ314" s="896"/>
      <c r="BK314" s="896"/>
      <c r="BL314" s="896"/>
      <c r="BM314" s="896"/>
      <c r="BN314" s="896"/>
      <c r="BO314" s="896"/>
      <c r="BP314" s="896"/>
      <c r="BQ314" s="896"/>
      <c r="BR314" s="896"/>
      <c r="BS314" s="896"/>
      <c r="BT314" s="896"/>
      <c r="BU314" s="896"/>
      <c r="BV314" s="896"/>
      <c r="BW314" s="896"/>
      <c r="BX314" s="896"/>
      <c r="BY314" s="896"/>
      <c r="BZ314" s="896"/>
      <c r="CA314" s="896"/>
      <c r="CB314" s="896"/>
      <c r="CC314" s="896"/>
      <c r="CD314" s="896"/>
      <c r="CE314" s="896"/>
      <c r="CF314" s="896"/>
      <c r="CG314" s="896"/>
      <c r="CH314" s="896"/>
      <c r="CI314" s="896"/>
      <c r="CJ314" s="896"/>
      <c r="CK314" s="896"/>
      <c r="CL314" s="896"/>
      <c r="CM314" s="896"/>
      <c r="CN314" s="896"/>
      <c r="CO314" s="896"/>
      <c r="CP314" s="896"/>
      <c r="CQ314" s="896"/>
      <c r="CR314" s="896"/>
      <c r="CS314" s="896"/>
      <c r="CT314" s="896"/>
      <c r="CU314" s="896"/>
      <c r="CV314" s="896"/>
      <c r="CW314" s="896"/>
      <c r="CX314" s="896"/>
      <c r="CY314" s="896"/>
      <c r="CZ314" s="896"/>
      <c r="DA314" s="896"/>
      <c r="DB314" s="896"/>
      <c r="DC314" s="896"/>
      <c r="DD314" s="896"/>
      <c r="DE314" s="896"/>
      <c r="DF314" s="896"/>
      <c r="DG314" s="896"/>
      <c r="DH314" s="896"/>
      <c r="DI314" s="896"/>
      <c r="DJ314" s="896"/>
      <c r="DK314" s="896"/>
      <c r="DL314" s="896"/>
      <c r="DM314" s="896"/>
      <c r="DN314" s="896"/>
      <c r="DO314" s="896"/>
      <c r="DP314" s="896"/>
      <c r="DQ314" s="896"/>
      <c r="DR314" s="896"/>
      <c r="DS314" s="896"/>
      <c r="DT314" s="896"/>
      <c r="DU314" s="896"/>
      <c r="DV314" s="896"/>
      <c r="DW314" s="896"/>
      <c r="DX314" s="896"/>
      <c r="DY314" s="896"/>
      <c r="DZ314" s="896"/>
      <c r="EA314" s="896"/>
      <c r="EB314" s="896"/>
      <c r="EC314" s="896"/>
      <c r="ED314" s="896"/>
      <c r="EE314" s="896"/>
      <c r="EF314" s="896"/>
      <c r="EG314" s="896"/>
      <c r="EH314" s="896"/>
      <c r="EI314" s="896"/>
      <c r="EJ314" s="896"/>
      <c r="EK314" s="896"/>
      <c r="EL314" s="896"/>
      <c r="EM314" s="896"/>
      <c r="EN314" s="896"/>
      <c r="EO314" s="896"/>
      <c r="EP314" s="896"/>
      <c r="EQ314" s="896"/>
      <c r="ER314" s="896"/>
      <c r="ES314" s="896"/>
      <c r="ET314" s="896"/>
      <c r="EU314" s="896"/>
      <c r="EV314" s="896"/>
      <c r="EW314" s="896"/>
      <c r="EX314" s="896"/>
      <c r="EY314" s="896"/>
      <c r="EZ314" s="896"/>
      <c r="FA314" s="896"/>
      <c r="FB314" s="896"/>
      <c r="FC314" s="896"/>
      <c r="FD314" s="896"/>
      <c r="FE314" s="896"/>
      <c r="FF314" s="896"/>
      <c r="FG314" s="896"/>
      <c r="FH314" s="896"/>
      <c r="FI314" s="896"/>
      <c r="FJ314" s="896"/>
      <c r="FK314" s="896"/>
      <c r="FL314" s="896"/>
      <c r="FM314" s="896"/>
      <c r="FN314" s="896"/>
      <c r="FO314" s="896"/>
      <c r="FP314" s="896"/>
      <c r="FQ314" s="896"/>
      <c r="FR314" s="896"/>
      <c r="FS314" s="896"/>
      <c r="FT314" s="896"/>
      <c r="FU314" s="896"/>
      <c r="FV314" s="896"/>
      <c r="FW314" s="896"/>
      <c r="FX314" s="896"/>
      <c r="FY314" s="896"/>
      <c r="FZ314" s="896"/>
      <c r="GA314" s="896"/>
      <c r="GB314" s="896"/>
      <c r="GC314" s="896"/>
      <c r="GD314" s="896"/>
      <c r="GE314" s="896"/>
      <c r="GF314" s="896"/>
      <c r="GG314" s="896"/>
      <c r="GH314" s="896"/>
      <c r="GI314" s="896"/>
      <c r="GJ314" s="896"/>
      <c r="GK314" s="896"/>
      <c r="GL314" s="896"/>
      <c r="GM314" s="896"/>
      <c r="GN314" s="896"/>
      <c r="GO314" s="896"/>
      <c r="GP314" s="896"/>
      <c r="GQ314" s="896"/>
      <c r="GR314" s="896"/>
      <c r="GS314" s="896"/>
      <c r="GT314" s="896"/>
      <c r="GU314" s="896"/>
      <c r="GV314" s="896"/>
      <c r="GW314" s="896"/>
      <c r="GX314" s="896"/>
      <c r="GY314" s="896"/>
      <c r="GZ314" s="896"/>
      <c r="HA314" s="896"/>
      <c r="HB314" s="896"/>
      <c r="HC314" s="896"/>
      <c r="HD314" s="896"/>
      <c r="HE314" s="896"/>
      <c r="HF314" s="896"/>
      <c r="HG314" s="896"/>
      <c r="HH314" s="896"/>
      <c r="HI314" s="896"/>
      <c r="HJ314" s="896"/>
      <c r="HK314" s="896"/>
      <c r="HL314" s="896"/>
      <c r="HM314" s="896"/>
      <c r="HN314" s="896"/>
      <c r="HO314" s="896"/>
      <c r="HP314" s="896"/>
      <c r="HQ314" s="896"/>
      <c r="HR314" s="896"/>
      <c r="HS314" s="896"/>
      <c r="HT314" s="896"/>
      <c r="HU314" s="896"/>
      <c r="HV314" s="896"/>
      <c r="HW314" s="896"/>
      <c r="HX314" s="896"/>
      <c r="HY314" s="896"/>
      <c r="HZ314" s="896"/>
      <c r="IA314" s="896"/>
      <c r="IB314" s="896"/>
      <c r="IC314" s="896"/>
      <c r="ID314" s="896"/>
      <c r="IE314" s="896"/>
      <c r="IF314" s="896"/>
      <c r="IG314" s="896"/>
      <c r="IH314" s="896"/>
      <c r="II314" s="896"/>
      <c r="IJ314" s="896"/>
      <c r="IK314" s="896"/>
      <c r="IL314" s="896"/>
      <c r="IM314" s="896"/>
      <c r="IN314" s="896"/>
      <c r="IO314" s="896"/>
      <c r="IP314" s="896"/>
      <c r="IQ314" s="896"/>
      <c r="IR314" s="896"/>
      <c r="IS314" s="896"/>
      <c r="IT314" s="896"/>
      <c r="IU314" s="896"/>
      <c r="IV314" s="896"/>
    </row>
    <row r="315" spans="1:256" s="61" customFormat="1" ht="18">
      <c r="A315" s="881"/>
      <c r="B315" s="467"/>
      <c r="C315" s="540" t="s">
        <v>267</v>
      </c>
      <c r="D315" s="467"/>
      <c r="E315" s="467"/>
      <c r="F315" s="467"/>
      <c r="G315" s="467"/>
      <c r="H315" s="467"/>
      <c r="I315" s="467"/>
      <c r="J315" s="467"/>
      <c r="K315" s="467"/>
      <c r="L315" s="467"/>
      <c r="M315" s="881"/>
    </row>
    <row r="316" spans="1:256" s="61" customFormat="1" ht="18">
      <c r="A316" s="881" t="s">
        <v>268</v>
      </c>
      <c r="B316" s="467"/>
      <c r="C316" s="468" t="s">
        <v>269</v>
      </c>
      <c r="D316" s="540"/>
      <c r="E316" s="540"/>
      <c r="F316" s="540"/>
      <c r="G316" s="540"/>
      <c r="H316" s="540"/>
      <c r="I316" s="540"/>
      <c r="J316" s="540"/>
      <c r="K316" s="540"/>
      <c r="L316" s="540"/>
      <c r="M316" s="881"/>
    </row>
    <row r="317" spans="1:256" s="61" customFormat="1" ht="18" customHeight="1">
      <c r="A317" s="883" t="s">
        <v>270</v>
      </c>
      <c r="B317" s="468"/>
      <c r="C317" s="540" t="s">
        <v>271</v>
      </c>
      <c r="D317" s="540"/>
      <c r="E317" s="540"/>
      <c r="F317" s="540"/>
      <c r="G317" s="540"/>
      <c r="H317" s="540"/>
      <c r="I317" s="540"/>
      <c r="J317" s="540"/>
      <c r="K317" s="540"/>
      <c r="L317" s="540"/>
      <c r="M317" s="468"/>
    </row>
    <row r="318" spans="1:256" s="61" customFormat="1" ht="58.5" customHeight="1">
      <c r="A318" s="1105" t="s">
        <v>272</v>
      </c>
      <c r="B318" s="468"/>
      <c r="C318" s="1299" t="s">
        <v>273</v>
      </c>
      <c r="D318" s="1300"/>
      <c r="E318" s="1300"/>
      <c r="F318" s="1300"/>
      <c r="G318" s="1300"/>
      <c r="H318" s="1300"/>
      <c r="I318" s="1300"/>
      <c r="J318" s="1300"/>
      <c r="K318" s="1300"/>
      <c r="L318" s="1300"/>
      <c r="M318" s="1300"/>
    </row>
    <row r="319" spans="1:256" s="61" customFormat="1" ht="18">
      <c r="A319" s="468"/>
      <c r="B319" s="468"/>
      <c r="C319" s="540"/>
      <c r="D319" s="540"/>
      <c r="E319" s="540"/>
      <c r="F319" s="540"/>
      <c r="G319" s="540"/>
      <c r="H319" s="540"/>
      <c r="I319" s="540"/>
      <c r="J319" s="540"/>
      <c r="K319" s="540"/>
      <c r="L319" s="540"/>
      <c r="M319" s="468"/>
    </row>
    <row r="320" spans="1:256" s="61" customFormat="1" ht="21.75" customHeight="1">
      <c r="A320" s="468"/>
      <c r="B320" s="468"/>
      <c r="C320" s="540"/>
      <c r="D320" s="540"/>
      <c r="E320" s="540"/>
      <c r="F320" s="540"/>
      <c r="G320" s="540"/>
      <c r="H320" s="540"/>
      <c r="I320" s="540"/>
      <c r="J320" s="540"/>
      <c r="K320" s="540"/>
      <c r="L320" s="540"/>
      <c r="M320" s="468"/>
    </row>
    <row r="321" spans="1:13" s="61" customFormat="1" ht="18">
      <c r="A321" s="468"/>
      <c r="B321" s="468"/>
      <c r="C321" s="513"/>
      <c r="D321" s="513"/>
      <c r="E321" s="542"/>
      <c r="F321" s="542"/>
      <c r="G321" s="513"/>
      <c r="H321" s="513"/>
      <c r="I321" s="468"/>
      <c r="J321" s="468"/>
      <c r="K321" s="468"/>
      <c r="L321" s="468"/>
      <c r="M321" s="468"/>
    </row>
    <row r="322" spans="1:13" s="61" customFormat="1" ht="18">
      <c r="A322" s="468"/>
      <c r="B322" s="468"/>
      <c r="C322" s="513"/>
      <c r="D322" s="513"/>
      <c r="E322" s="542"/>
      <c r="F322" s="542"/>
      <c r="G322" s="513"/>
      <c r="H322" s="619"/>
      <c r="I322" s="468"/>
      <c r="J322" s="468"/>
      <c r="K322" s="468"/>
      <c r="L322" s="468"/>
      <c r="M322" s="468"/>
    </row>
    <row r="323" spans="1:13" s="61" customFormat="1" ht="18">
      <c r="A323" s="468"/>
      <c r="B323" s="468"/>
      <c r="C323" s="513"/>
      <c r="D323" s="513"/>
      <c r="E323" s="542"/>
      <c r="F323" s="542"/>
      <c r="G323" s="513"/>
      <c r="H323" s="884"/>
      <c r="I323" s="468"/>
      <c r="J323" s="468"/>
      <c r="K323" s="468"/>
      <c r="L323" s="468"/>
      <c r="M323" s="468"/>
    </row>
    <row r="324" spans="1:13" s="61" customFormat="1" ht="18">
      <c r="A324" s="468"/>
      <c r="B324" s="468"/>
      <c r="C324" s="513"/>
      <c r="D324" s="513"/>
      <c r="E324" s="542"/>
      <c r="F324" s="542"/>
      <c r="G324" s="513"/>
      <c r="H324" s="885"/>
      <c r="I324" s="468"/>
      <c r="J324" s="468"/>
      <c r="K324" s="468"/>
      <c r="L324" s="468"/>
      <c r="M324" s="468"/>
    </row>
    <row r="325" spans="1:13" s="61" customFormat="1" ht="18">
      <c r="A325" s="468"/>
      <c r="B325" s="468"/>
      <c r="C325" s="468"/>
      <c r="D325" s="468"/>
      <c r="E325" s="468"/>
      <c r="F325" s="468"/>
      <c r="G325" s="468"/>
      <c r="H325" s="468"/>
      <c r="I325" s="468"/>
      <c r="J325" s="468"/>
      <c r="K325" s="468"/>
      <c r="L325" s="468"/>
      <c r="M325" s="468"/>
    </row>
    <row r="326" spans="1:13" s="61" customFormat="1" ht="18">
      <c r="A326" s="468"/>
      <c r="B326" s="468"/>
      <c r="C326" s="468"/>
      <c r="D326" s="468"/>
      <c r="E326" s="468"/>
      <c r="F326" s="468"/>
      <c r="G326" s="468"/>
      <c r="H326" s="468"/>
      <c r="I326" s="468"/>
      <c r="J326" s="468"/>
      <c r="K326" s="468"/>
      <c r="L326" s="468"/>
      <c r="M326" s="468"/>
    </row>
    <row r="327" spans="1:13" s="61" customFormat="1" ht="18">
      <c r="A327" s="468"/>
      <c r="B327" s="468"/>
      <c r="C327" s="468"/>
      <c r="D327" s="468"/>
      <c r="E327" s="468"/>
      <c r="F327" s="468"/>
      <c r="G327" s="468"/>
      <c r="H327" s="468"/>
      <c r="I327" s="468"/>
      <c r="J327" s="468"/>
      <c r="K327" s="468"/>
      <c r="L327" s="468"/>
      <c r="M327" s="468"/>
    </row>
    <row r="328" spans="1:13" s="61" customFormat="1" ht="18">
      <c r="A328" s="468"/>
      <c r="B328" s="468"/>
      <c r="C328" s="468"/>
      <c r="D328" s="468"/>
      <c r="E328" s="468"/>
      <c r="F328" s="468"/>
      <c r="G328" s="468"/>
      <c r="H328" s="468"/>
      <c r="I328" s="468"/>
      <c r="J328" s="468"/>
      <c r="K328" s="468"/>
      <c r="L328" s="468"/>
      <c r="M328" s="468"/>
    </row>
    <row r="329" spans="1:13" s="61" customFormat="1" ht="18">
      <c r="A329" s="468"/>
      <c r="B329" s="468"/>
      <c r="C329" s="468"/>
      <c r="D329" s="468"/>
      <c r="E329" s="468"/>
      <c r="F329" s="468"/>
      <c r="G329" s="468"/>
      <c r="H329" s="468"/>
      <c r="I329" s="468"/>
      <c r="J329" s="468"/>
      <c r="K329" s="468"/>
      <c r="L329" s="468"/>
      <c r="M329" s="468"/>
    </row>
    <row r="330" spans="1:13" s="61" customFormat="1" ht="18">
      <c r="A330" s="468"/>
      <c r="B330" s="468"/>
      <c r="C330" s="468"/>
      <c r="D330" s="468"/>
      <c r="E330" s="468"/>
      <c r="F330" s="468"/>
      <c r="G330" s="468"/>
      <c r="H330" s="468"/>
      <c r="I330" s="468"/>
      <c r="J330" s="468"/>
      <c r="K330" s="468"/>
      <c r="L330" s="468"/>
      <c r="M330" s="468"/>
    </row>
    <row r="331" spans="1:13" s="61" customFormat="1" ht="18">
      <c r="A331" s="468"/>
      <c r="B331" s="468"/>
      <c r="C331" s="468"/>
      <c r="D331" s="468"/>
      <c r="E331" s="468"/>
      <c r="F331" s="468"/>
      <c r="G331" s="468"/>
      <c r="H331" s="468"/>
      <c r="I331" s="468"/>
      <c r="J331" s="468"/>
      <c r="K331" s="468"/>
      <c r="L331" s="468"/>
      <c r="M331" s="468"/>
    </row>
    <row r="332" spans="1:13" s="61" customFormat="1" ht="18">
      <c r="A332" s="468"/>
      <c r="B332" s="468"/>
      <c r="C332" s="468"/>
      <c r="D332" s="468"/>
      <c r="E332" s="468"/>
      <c r="F332" s="468"/>
      <c r="G332" s="468"/>
      <c r="H332" s="468"/>
      <c r="I332" s="468"/>
      <c r="J332" s="468"/>
      <c r="K332" s="468"/>
      <c r="L332" s="468"/>
      <c r="M332" s="468"/>
    </row>
    <row r="333" spans="1:13" s="61" customFormat="1" ht="18">
      <c r="A333" s="468"/>
      <c r="B333" s="468"/>
      <c r="C333" s="468"/>
      <c r="D333" s="468"/>
      <c r="E333" s="468"/>
      <c r="F333" s="468"/>
      <c r="G333" s="468"/>
      <c r="H333" s="468"/>
      <c r="I333" s="468"/>
      <c r="J333" s="468"/>
      <c r="K333" s="468"/>
      <c r="L333" s="468"/>
      <c r="M333" s="468"/>
    </row>
    <row r="334" spans="1:13" s="61" customFormat="1" ht="18">
      <c r="A334" s="468"/>
      <c r="B334" s="468"/>
      <c r="C334" s="468"/>
      <c r="D334" s="468"/>
      <c r="E334" s="468"/>
      <c r="F334" s="468"/>
      <c r="G334" s="468"/>
      <c r="H334" s="468"/>
      <c r="I334" s="468"/>
      <c r="J334" s="468"/>
      <c r="K334" s="468"/>
      <c r="L334" s="468"/>
      <c r="M334" s="468"/>
    </row>
    <row r="335" spans="1:13" s="61" customFormat="1" ht="18">
      <c r="A335" s="468"/>
      <c r="B335" s="468"/>
      <c r="C335" s="468"/>
      <c r="D335" s="468"/>
      <c r="E335" s="468"/>
      <c r="F335" s="468"/>
      <c r="G335" s="468"/>
      <c r="H335" s="468"/>
      <c r="I335" s="468"/>
      <c r="J335" s="468"/>
      <c r="K335" s="468"/>
      <c r="L335" s="468"/>
      <c r="M335" s="468"/>
    </row>
    <row r="336" spans="1:13" s="61" customFormat="1" ht="18">
      <c r="A336" s="468"/>
      <c r="B336" s="468"/>
      <c r="C336" s="468"/>
      <c r="D336" s="468"/>
      <c r="E336" s="468"/>
      <c r="F336" s="468"/>
      <c r="G336" s="468"/>
      <c r="H336" s="468"/>
      <c r="I336" s="468"/>
      <c r="J336" s="468"/>
      <c r="K336" s="468"/>
      <c r="L336" s="468"/>
      <c r="M336" s="468"/>
    </row>
    <row r="337" spans="1:13" s="61" customFormat="1" ht="18">
      <c r="A337" s="468"/>
      <c r="B337" s="468"/>
      <c r="C337" s="468"/>
      <c r="D337" s="468"/>
      <c r="E337" s="468"/>
      <c r="F337" s="468"/>
      <c r="G337" s="468"/>
      <c r="H337" s="468"/>
      <c r="I337" s="468"/>
      <c r="J337" s="468"/>
      <c r="K337" s="468"/>
      <c r="L337" s="468"/>
      <c r="M337" s="468"/>
    </row>
    <row r="338" spans="1:13" s="61" customFormat="1" ht="18">
      <c r="A338" s="468"/>
      <c r="B338" s="468"/>
      <c r="C338" s="468"/>
      <c r="D338" s="468"/>
      <c r="E338" s="468"/>
      <c r="F338" s="468"/>
      <c r="G338" s="468"/>
      <c r="H338" s="468"/>
      <c r="I338" s="468"/>
      <c r="J338" s="468"/>
      <c r="K338" s="468"/>
      <c r="L338" s="468"/>
      <c r="M338" s="468"/>
    </row>
    <row r="339" spans="1:13" s="61" customFormat="1" ht="18">
      <c r="A339" s="468"/>
      <c r="B339" s="468"/>
      <c r="C339" s="468"/>
      <c r="D339" s="468"/>
      <c r="E339" s="468"/>
      <c r="F339" s="468"/>
      <c r="G339" s="468"/>
      <c r="H339" s="468"/>
      <c r="I339" s="468"/>
      <c r="J339" s="468"/>
      <c r="K339" s="468"/>
      <c r="L339" s="468"/>
      <c r="M339" s="468"/>
    </row>
    <row r="340" spans="1:13" s="61" customFormat="1" ht="18">
      <c r="A340" s="468"/>
      <c r="B340" s="468"/>
      <c r="C340" s="468"/>
      <c r="D340" s="468"/>
      <c r="E340" s="468"/>
      <c r="F340" s="468"/>
      <c r="G340" s="468"/>
      <c r="H340" s="468"/>
      <c r="I340" s="468"/>
      <c r="J340" s="468"/>
      <c r="K340" s="468"/>
      <c r="L340" s="468"/>
      <c r="M340" s="468"/>
    </row>
    <row r="341" spans="1:13" s="61" customFormat="1" ht="18">
      <c r="A341" s="468"/>
      <c r="B341" s="468"/>
      <c r="C341" s="468"/>
      <c r="D341" s="468"/>
      <c r="E341" s="468"/>
      <c r="F341" s="468"/>
      <c r="G341" s="468"/>
      <c r="H341" s="468"/>
      <c r="I341" s="468"/>
      <c r="J341" s="468"/>
      <c r="K341" s="468"/>
      <c r="L341" s="468"/>
      <c r="M341" s="468"/>
    </row>
    <row r="342" spans="1:13" s="61" customFormat="1" ht="18">
      <c r="A342" s="468"/>
      <c r="B342" s="468"/>
      <c r="C342" s="468"/>
      <c r="D342" s="468"/>
      <c r="E342" s="468"/>
      <c r="F342" s="468"/>
      <c r="G342" s="468"/>
      <c r="H342" s="468"/>
      <c r="I342" s="468"/>
      <c r="J342" s="468"/>
      <c r="K342" s="468"/>
      <c r="L342" s="468"/>
      <c r="M342" s="468"/>
    </row>
    <row r="343" spans="1:13" s="61" customFormat="1" ht="18">
      <c r="A343" s="468"/>
      <c r="B343" s="468"/>
      <c r="C343" s="468"/>
      <c r="D343" s="468"/>
      <c r="E343" s="468"/>
      <c r="F343" s="468"/>
      <c r="G343" s="468"/>
      <c r="H343" s="468"/>
      <c r="I343" s="468"/>
      <c r="J343" s="468"/>
      <c r="K343" s="468"/>
      <c r="L343" s="468"/>
      <c r="M343" s="468"/>
    </row>
    <row r="344" spans="1:13" s="61" customFormat="1" ht="18">
      <c r="A344" s="468"/>
      <c r="B344" s="468"/>
      <c r="C344" s="468"/>
      <c r="D344" s="468"/>
      <c r="E344" s="468"/>
      <c r="F344" s="468"/>
      <c r="G344" s="468"/>
      <c r="H344" s="468"/>
      <c r="I344" s="468"/>
      <c r="J344" s="468"/>
      <c r="K344" s="468"/>
      <c r="L344" s="468"/>
      <c r="M344" s="468"/>
    </row>
    <row r="345" spans="1:13" s="61" customFormat="1" ht="18">
      <c r="A345" s="468"/>
      <c r="B345" s="468"/>
      <c r="C345" s="468"/>
      <c r="D345" s="468"/>
      <c r="E345" s="468"/>
      <c r="F345" s="468"/>
      <c r="G345" s="468"/>
      <c r="H345" s="468"/>
      <c r="I345" s="468"/>
      <c r="J345" s="468"/>
      <c r="K345" s="468"/>
      <c r="L345" s="468"/>
      <c r="M345" s="468"/>
    </row>
    <row r="346" spans="1:13" s="61" customFormat="1" ht="18">
      <c r="A346" s="468"/>
      <c r="B346" s="468"/>
      <c r="C346" s="468"/>
      <c r="D346" s="468"/>
      <c r="E346" s="468"/>
      <c r="F346" s="468"/>
      <c r="G346" s="468"/>
      <c r="H346" s="468"/>
      <c r="I346" s="468"/>
      <c r="J346" s="468"/>
      <c r="K346" s="468"/>
      <c r="L346" s="468"/>
      <c r="M346" s="468"/>
    </row>
    <row r="347" spans="1:13" s="61" customFormat="1" ht="18">
      <c r="A347" s="468"/>
      <c r="B347" s="468"/>
      <c r="C347" s="468"/>
      <c r="D347" s="468"/>
      <c r="E347" s="468"/>
      <c r="F347" s="468"/>
      <c r="G347" s="468"/>
      <c r="H347" s="468"/>
      <c r="I347" s="468"/>
      <c r="J347" s="468"/>
      <c r="K347" s="468"/>
      <c r="L347" s="468"/>
      <c r="M347" s="468"/>
    </row>
    <row r="348" spans="1:13" s="61" customFormat="1" ht="18">
      <c r="A348" s="468"/>
      <c r="B348" s="468"/>
      <c r="C348" s="468"/>
      <c r="D348" s="468"/>
      <c r="E348" s="468"/>
      <c r="F348" s="468"/>
      <c r="G348" s="468"/>
      <c r="H348" s="468"/>
      <c r="I348" s="468"/>
      <c r="J348" s="468"/>
      <c r="K348" s="468"/>
      <c r="L348" s="468"/>
      <c r="M348" s="468"/>
    </row>
    <row r="349" spans="1:13" s="61" customFormat="1" ht="18">
      <c r="A349" s="468"/>
      <c r="B349" s="468"/>
      <c r="C349" s="468"/>
      <c r="D349" s="468"/>
      <c r="E349" s="468"/>
      <c r="F349" s="468"/>
      <c r="G349" s="468"/>
      <c r="H349" s="468"/>
      <c r="I349" s="468"/>
      <c r="J349" s="468"/>
      <c r="K349" s="468"/>
      <c r="L349" s="468"/>
      <c r="M349" s="468"/>
    </row>
    <row r="350" spans="1:13" s="61" customFormat="1" ht="18">
      <c r="A350" s="468"/>
      <c r="B350" s="468"/>
      <c r="C350" s="468"/>
      <c r="D350" s="468"/>
      <c r="E350" s="468"/>
      <c r="F350" s="468"/>
      <c r="G350" s="468"/>
      <c r="H350" s="468"/>
      <c r="I350" s="468"/>
      <c r="J350" s="468"/>
      <c r="K350" s="468"/>
      <c r="L350" s="468"/>
      <c r="M350" s="468"/>
    </row>
    <row r="351" spans="1:13" s="61" customFormat="1" ht="18">
      <c r="A351" s="468"/>
      <c r="B351" s="468"/>
      <c r="C351" s="468"/>
      <c r="D351" s="468"/>
      <c r="E351" s="468"/>
      <c r="F351" s="468"/>
      <c r="G351" s="468"/>
      <c r="H351" s="468"/>
      <c r="I351" s="468"/>
      <c r="J351" s="468"/>
      <c r="K351" s="468"/>
      <c r="L351" s="468"/>
      <c r="M351" s="468"/>
    </row>
    <row r="352" spans="1:13" s="61" customFormat="1" ht="18">
      <c r="A352" s="468"/>
      <c r="B352" s="468"/>
      <c r="C352" s="468"/>
      <c r="D352" s="468"/>
      <c r="E352" s="468"/>
      <c r="F352" s="468"/>
      <c r="G352" s="468"/>
      <c r="H352" s="468"/>
      <c r="I352" s="468"/>
      <c r="J352" s="468"/>
      <c r="K352" s="468"/>
      <c r="L352" s="468"/>
      <c r="M352" s="468"/>
    </row>
    <row r="353" spans="1:13" s="61" customFormat="1" ht="18">
      <c r="A353" s="468"/>
      <c r="B353" s="468"/>
      <c r="C353" s="468"/>
      <c r="D353" s="468"/>
      <c r="E353" s="468"/>
      <c r="F353" s="468"/>
      <c r="G353" s="468"/>
      <c r="H353" s="468"/>
      <c r="I353" s="468"/>
      <c r="J353" s="468"/>
      <c r="K353" s="468"/>
      <c r="L353" s="468"/>
      <c r="M353" s="468"/>
    </row>
    <row r="354" spans="1:13" s="61" customFormat="1" ht="18">
      <c r="A354" s="468"/>
      <c r="B354" s="468"/>
      <c r="C354" s="468"/>
      <c r="D354" s="468"/>
      <c r="E354" s="468"/>
      <c r="F354" s="468"/>
      <c r="G354" s="468"/>
      <c r="H354" s="468"/>
      <c r="I354" s="468"/>
      <c r="J354" s="468"/>
      <c r="K354" s="468"/>
      <c r="L354" s="468"/>
      <c r="M354" s="468"/>
    </row>
    <row r="355" spans="1:13" s="61" customFormat="1" ht="18">
      <c r="A355" s="468"/>
      <c r="B355" s="468"/>
      <c r="C355" s="468"/>
      <c r="D355" s="468"/>
      <c r="E355" s="468"/>
      <c r="F355" s="468"/>
      <c r="G355" s="468"/>
      <c r="H355" s="468"/>
      <c r="I355" s="468"/>
      <c r="J355" s="468"/>
      <c r="K355" s="468"/>
      <c r="L355" s="468"/>
      <c r="M355" s="468"/>
    </row>
    <row r="356" spans="1:13" s="61" customFormat="1" ht="18">
      <c r="A356" s="468"/>
      <c r="B356" s="468"/>
      <c r="C356" s="468"/>
      <c r="D356" s="468"/>
      <c r="E356" s="468"/>
      <c r="F356" s="468"/>
      <c r="G356" s="468"/>
      <c r="H356" s="468"/>
      <c r="I356" s="468"/>
      <c r="J356" s="468"/>
      <c r="K356" s="468"/>
      <c r="L356" s="468"/>
      <c r="M356" s="468"/>
    </row>
    <row r="357" spans="1:13" s="61" customFormat="1" ht="18">
      <c r="A357" s="468"/>
      <c r="B357" s="468"/>
      <c r="C357" s="468"/>
      <c r="D357" s="468"/>
      <c r="E357" s="468"/>
      <c r="F357" s="468"/>
      <c r="G357" s="468"/>
      <c r="H357" s="468"/>
      <c r="I357" s="468"/>
      <c r="J357" s="468"/>
      <c r="K357" s="468"/>
      <c r="L357" s="468"/>
      <c r="M357" s="468"/>
    </row>
    <row r="358" spans="1:13" s="61" customFormat="1" ht="18">
      <c r="A358" s="468"/>
      <c r="B358" s="468"/>
      <c r="C358" s="468"/>
      <c r="D358" s="468"/>
      <c r="E358" s="468"/>
      <c r="F358" s="468"/>
      <c r="G358" s="468"/>
      <c r="H358" s="468"/>
      <c r="I358" s="468"/>
      <c r="J358" s="468"/>
      <c r="K358" s="468"/>
      <c r="L358" s="468"/>
      <c r="M358" s="468"/>
    </row>
    <row r="359" spans="1:13" s="61" customFormat="1" ht="18">
      <c r="A359" s="468"/>
      <c r="B359" s="468"/>
      <c r="C359" s="468"/>
      <c r="D359" s="468"/>
      <c r="E359" s="468"/>
      <c r="F359" s="468"/>
      <c r="G359" s="468"/>
      <c r="H359" s="468"/>
      <c r="I359" s="468"/>
      <c r="J359" s="468"/>
      <c r="K359" s="468"/>
      <c r="L359" s="468"/>
      <c r="M359" s="468"/>
    </row>
    <row r="360" spans="1:13" s="61" customFormat="1" ht="18">
      <c r="A360" s="468"/>
      <c r="B360" s="468"/>
      <c r="C360" s="468"/>
      <c r="D360" s="468"/>
      <c r="E360" s="468"/>
      <c r="F360" s="468"/>
      <c r="G360" s="468"/>
      <c r="H360" s="468"/>
      <c r="I360" s="468"/>
      <c r="J360" s="468"/>
      <c r="K360" s="468"/>
      <c r="L360" s="468"/>
      <c r="M360" s="468"/>
    </row>
    <row r="361" spans="1:13" s="61" customFormat="1" ht="18">
      <c r="A361" s="468"/>
      <c r="B361" s="468"/>
      <c r="C361" s="468"/>
      <c r="D361" s="468"/>
      <c r="E361" s="468"/>
      <c r="F361" s="468"/>
      <c r="G361" s="468"/>
      <c r="H361" s="468"/>
      <c r="I361" s="468"/>
      <c r="J361" s="468"/>
      <c r="K361" s="468"/>
      <c r="L361" s="468"/>
      <c r="M361" s="468"/>
    </row>
    <row r="362" spans="1:13" s="61" customFormat="1" ht="18">
      <c r="A362" s="468"/>
      <c r="B362" s="468"/>
      <c r="C362" s="468"/>
      <c r="D362" s="468"/>
      <c r="E362" s="468"/>
      <c r="F362" s="468"/>
      <c r="G362" s="468"/>
      <c r="H362" s="468"/>
      <c r="I362" s="468"/>
      <c r="J362" s="468"/>
      <c r="K362" s="468"/>
      <c r="L362" s="468"/>
      <c r="M362" s="468"/>
    </row>
    <row r="363" spans="1:13" s="61" customFormat="1" ht="18">
      <c r="A363" s="468"/>
      <c r="B363" s="468"/>
      <c r="C363" s="468"/>
      <c r="D363" s="468"/>
      <c r="E363" s="468"/>
      <c r="F363" s="468"/>
      <c r="G363" s="468"/>
      <c r="H363" s="468"/>
      <c r="I363" s="468"/>
      <c r="J363" s="468"/>
      <c r="K363" s="468"/>
      <c r="L363" s="468"/>
      <c r="M363" s="468"/>
    </row>
    <row r="364" spans="1:13" s="61" customFormat="1" ht="18">
      <c r="A364" s="468"/>
      <c r="B364" s="468"/>
      <c r="C364" s="468"/>
      <c r="D364" s="468"/>
      <c r="E364" s="468"/>
      <c r="F364" s="468"/>
      <c r="G364" s="468"/>
      <c r="H364" s="468"/>
      <c r="I364" s="468"/>
      <c r="J364" s="468"/>
      <c r="K364" s="468"/>
      <c r="L364" s="468"/>
      <c r="M364" s="468"/>
    </row>
    <row r="365" spans="1:13" s="61" customFormat="1" ht="18">
      <c r="A365" s="468"/>
      <c r="B365" s="468"/>
      <c r="C365" s="468"/>
      <c r="D365" s="468"/>
      <c r="E365" s="468"/>
      <c r="F365" s="468"/>
      <c r="G365" s="468"/>
      <c r="H365" s="468"/>
      <c r="I365" s="468"/>
      <c r="J365" s="468"/>
      <c r="K365" s="468"/>
      <c r="L365" s="468"/>
      <c r="M365" s="468"/>
    </row>
    <row r="366" spans="1:13" s="61" customFormat="1" ht="18">
      <c r="A366" s="468"/>
      <c r="B366" s="468"/>
      <c r="C366" s="468"/>
      <c r="D366" s="468"/>
      <c r="E366" s="468"/>
      <c r="F366" s="468"/>
      <c r="G366" s="468"/>
      <c r="H366" s="468"/>
      <c r="I366" s="468"/>
      <c r="J366" s="468"/>
      <c r="K366" s="468"/>
      <c r="L366" s="468"/>
      <c r="M366" s="468"/>
    </row>
    <row r="367" spans="1:13" s="61" customFormat="1" ht="18">
      <c r="A367" s="468"/>
      <c r="B367" s="468"/>
      <c r="C367" s="468"/>
      <c r="D367" s="468"/>
      <c r="E367" s="468"/>
      <c r="F367" s="468"/>
      <c r="G367" s="468"/>
      <c r="H367" s="468"/>
      <c r="I367" s="468"/>
      <c r="J367" s="468"/>
      <c r="K367" s="468"/>
      <c r="L367" s="468"/>
      <c r="M367" s="468"/>
    </row>
    <row r="368" spans="1:13" s="61" customFormat="1" ht="18">
      <c r="A368" s="468"/>
      <c r="B368" s="468"/>
      <c r="C368" s="468"/>
      <c r="D368" s="468"/>
      <c r="E368" s="468"/>
      <c r="F368" s="468"/>
      <c r="G368" s="468"/>
      <c r="H368" s="468"/>
      <c r="I368" s="468"/>
      <c r="J368" s="468"/>
      <c r="K368" s="468"/>
      <c r="L368" s="468"/>
      <c r="M368" s="468"/>
    </row>
    <row r="369" spans="1:13" s="61" customFormat="1" ht="18">
      <c r="A369" s="468"/>
      <c r="B369" s="468"/>
      <c r="C369" s="468"/>
      <c r="D369" s="468"/>
      <c r="E369" s="468"/>
      <c r="F369" s="468"/>
      <c r="G369" s="468"/>
      <c r="H369" s="468"/>
      <c r="I369" s="468"/>
      <c r="J369" s="468"/>
      <c r="K369" s="468"/>
      <c r="L369" s="468"/>
      <c r="M369" s="468"/>
    </row>
    <row r="370" spans="1:13" s="61" customFormat="1" ht="18">
      <c r="A370" s="468"/>
      <c r="B370" s="468"/>
      <c r="C370" s="468"/>
      <c r="D370" s="468"/>
      <c r="E370" s="468"/>
      <c r="F370" s="468"/>
      <c r="G370" s="468"/>
      <c r="H370" s="468"/>
      <c r="I370" s="468"/>
      <c r="J370" s="468"/>
      <c r="K370" s="468"/>
      <c r="L370" s="468"/>
      <c r="M370" s="468"/>
    </row>
    <row r="371" spans="1:13" s="61" customFormat="1" ht="18">
      <c r="A371" s="468"/>
      <c r="B371" s="468"/>
      <c r="C371" s="468"/>
      <c r="D371" s="468"/>
      <c r="E371" s="468"/>
      <c r="F371" s="468"/>
      <c r="G371" s="468"/>
      <c r="H371" s="468"/>
      <c r="I371" s="468"/>
      <c r="J371" s="468"/>
      <c r="K371" s="468"/>
      <c r="L371" s="468"/>
      <c r="M371" s="468"/>
    </row>
    <row r="372" spans="1:13" s="61" customFormat="1" ht="18">
      <c r="A372" s="468"/>
      <c r="B372" s="468"/>
      <c r="C372" s="468"/>
      <c r="D372" s="468"/>
      <c r="E372" s="468"/>
      <c r="F372" s="468"/>
      <c r="G372" s="468"/>
      <c r="H372" s="468"/>
      <c r="I372" s="468"/>
      <c r="J372" s="468"/>
      <c r="K372" s="468"/>
      <c r="L372" s="468"/>
      <c r="M372" s="468"/>
    </row>
    <row r="373" spans="1:13" s="61" customFormat="1" ht="18">
      <c r="A373" s="468"/>
      <c r="B373" s="468"/>
      <c r="C373" s="468"/>
      <c r="D373" s="468"/>
      <c r="E373" s="468"/>
      <c r="F373" s="468"/>
      <c r="G373" s="468"/>
      <c r="H373" s="468"/>
      <c r="I373" s="468"/>
      <c r="J373" s="468"/>
      <c r="K373" s="468"/>
      <c r="L373" s="468"/>
      <c r="M373" s="468"/>
    </row>
    <row r="374" spans="1:13" s="61" customFormat="1" ht="18">
      <c r="A374" s="468"/>
      <c r="B374" s="468"/>
      <c r="C374" s="468"/>
      <c r="D374" s="468"/>
      <c r="E374" s="468"/>
      <c r="F374" s="468"/>
      <c r="G374" s="468"/>
      <c r="H374" s="468"/>
      <c r="I374" s="468"/>
      <c r="J374" s="468"/>
      <c r="K374" s="468"/>
      <c r="L374" s="468"/>
      <c r="M374" s="468"/>
    </row>
    <row r="375" spans="1:13" s="61" customFormat="1" ht="18">
      <c r="A375" s="468"/>
      <c r="B375" s="468"/>
      <c r="C375" s="468"/>
      <c r="D375" s="468"/>
      <c r="E375" s="468"/>
      <c r="F375" s="468"/>
      <c r="G375" s="468"/>
      <c r="H375" s="468"/>
      <c r="I375" s="468"/>
      <c r="J375" s="468"/>
      <c r="K375" s="468"/>
      <c r="L375" s="468"/>
      <c r="M375" s="468"/>
    </row>
    <row r="376" spans="1:13" s="61" customFormat="1" ht="18">
      <c r="A376" s="468"/>
      <c r="B376" s="468"/>
      <c r="C376" s="468"/>
      <c r="D376" s="468"/>
      <c r="E376" s="468"/>
      <c r="F376" s="468"/>
      <c r="G376" s="468"/>
      <c r="H376" s="468"/>
      <c r="I376" s="468"/>
      <c r="J376" s="468"/>
      <c r="K376" s="468"/>
      <c r="L376" s="468"/>
      <c r="M376" s="468"/>
    </row>
    <row r="377" spans="1:13" s="61" customFormat="1" ht="18">
      <c r="A377" s="468"/>
      <c r="B377" s="468"/>
      <c r="C377" s="468"/>
      <c r="D377" s="468"/>
      <c r="E377" s="468"/>
      <c r="F377" s="468"/>
      <c r="G377" s="468"/>
      <c r="H377" s="468"/>
      <c r="I377" s="468"/>
      <c r="J377" s="468"/>
      <c r="K377" s="468"/>
      <c r="L377" s="468"/>
      <c r="M377" s="468"/>
    </row>
    <row r="378" spans="1:13" s="61" customFormat="1" ht="18">
      <c r="A378" s="468"/>
      <c r="B378" s="468"/>
      <c r="C378" s="468"/>
      <c r="D378" s="468"/>
      <c r="E378" s="468"/>
      <c r="F378" s="468"/>
      <c r="G378" s="468"/>
      <c r="H378" s="468"/>
      <c r="I378" s="468"/>
      <c r="J378" s="468"/>
      <c r="K378" s="468"/>
      <c r="L378" s="468"/>
      <c r="M378" s="468"/>
    </row>
    <row r="379" spans="1:13" s="61" customFormat="1" ht="18">
      <c r="A379" s="468"/>
      <c r="B379" s="468"/>
      <c r="C379" s="468"/>
      <c r="D379" s="468"/>
      <c r="E379" s="468"/>
      <c r="F379" s="468"/>
      <c r="G379" s="468"/>
      <c r="H379" s="468"/>
      <c r="I379" s="468"/>
      <c r="J379" s="468"/>
      <c r="K379" s="468"/>
      <c r="L379" s="468"/>
      <c r="M379" s="468"/>
    </row>
    <row r="380" spans="1:13" s="61" customFormat="1" ht="18">
      <c r="A380" s="468"/>
      <c r="B380" s="468"/>
      <c r="C380" s="468"/>
      <c r="D380" s="468"/>
      <c r="E380" s="468"/>
      <c r="F380" s="468"/>
      <c r="G380" s="468"/>
      <c r="H380" s="468"/>
      <c r="I380" s="468"/>
      <c r="J380" s="468"/>
      <c r="K380" s="468"/>
      <c r="L380" s="468"/>
      <c r="M380" s="468"/>
    </row>
    <row r="381" spans="1:13" s="61" customFormat="1" ht="18">
      <c r="A381" s="468"/>
      <c r="B381" s="468"/>
      <c r="C381" s="468"/>
      <c r="D381" s="468"/>
      <c r="E381" s="468"/>
      <c r="F381" s="468"/>
      <c r="G381" s="468"/>
      <c r="H381" s="468"/>
      <c r="I381" s="468"/>
      <c r="J381" s="468"/>
      <c r="K381" s="468"/>
      <c r="L381" s="468"/>
      <c r="M381" s="468"/>
    </row>
    <row r="382" spans="1:13" s="61" customFormat="1" ht="18">
      <c r="A382" s="468"/>
      <c r="B382" s="468"/>
      <c r="C382" s="468"/>
      <c r="D382" s="468"/>
      <c r="E382" s="468"/>
      <c r="F382" s="468"/>
      <c r="G382" s="468"/>
      <c r="H382" s="468"/>
      <c r="I382" s="468"/>
      <c r="J382" s="468"/>
      <c r="K382" s="468"/>
      <c r="L382" s="468"/>
      <c r="M382" s="468"/>
    </row>
    <row r="383" spans="1:13" s="61" customFormat="1" ht="18">
      <c r="A383" s="468"/>
      <c r="B383" s="468"/>
      <c r="C383" s="468"/>
      <c r="D383" s="468"/>
      <c r="E383" s="468"/>
      <c r="F383" s="468"/>
      <c r="G383" s="468"/>
      <c r="H383" s="468"/>
      <c r="I383" s="468"/>
      <c r="J383" s="468"/>
      <c r="K383" s="468"/>
      <c r="L383" s="468"/>
      <c r="M383" s="468"/>
    </row>
    <row r="384" spans="1:13" s="61" customFormat="1" ht="17.399999999999999"/>
    <row r="385" s="61" customFormat="1" ht="17.399999999999999"/>
    <row r="386" s="61" customFormat="1" ht="17.399999999999999"/>
    <row r="387" s="61" customFormat="1" ht="17.399999999999999"/>
    <row r="388" s="61" customFormat="1" ht="17.399999999999999"/>
    <row r="389" s="61" customFormat="1" ht="17.399999999999999"/>
    <row r="390" s="61" customFormat="1" ht="17.399999999999999"/>
    <row r="391" s="61" customFormat="1" ht="17.399999999999999"/>
    <row r="392" s="61" customFormat="1" ht="17.399999999999999"/>
    <row r="393" s="61" customFormat="1" ht="17.399999999999999"/>
    <row r="394" s="61" customFormat="1" ht="17.399999999999999"/>
    <row r="395" s="61" customFormat="1" ht="17.399999999999999"/>
    <row r="396" s="61" customFormat="1" ht="17.399999999999999"/>
    <row r="397" s="61" customFormat="1" ht="17.399999999999999"/>
    <row r="398" s="61" customFormat="1" ht="17.399999999999999"/>
    <row r="399" s="61" customFormat="1" ht="17.399999999999999"/>
    <row r="400" s="61" customFormat="1" ht="17.399999999999999"/>
    <row r="401" s="61" customFormat="1" ht="17.399999999999999"/>
    <row r="402" s="61" customFormat="1" ht="17.399999999999999"/>
    <row r="403" s="61" customFormat="1" ht="17.399999999999999"/>
    <row r="404" s="61" customFormat="1" ht="17.399999999999999"/>
    <row r="405" s="61" customFormat="1" ht="17.399999999999999"/>
    <row r="406" s="61" customFormat="1" ht="17.399999999999999"/>
    <row r="407" s="61" customFormat="1" ht="17.399999999999999"/>
    <row r="408" s="61" customFormat="1" ht="17.399999999999999"/>
    <row r="409" s="61" customFormat="1" ht="17.399999999999999"/>
    <row r="410" s="61" customFormat="1" ht="17.399999999999999"/>
    <row r="411" s="61" customFormat="1" ht="17.399999999999999"/>
    <row r="412" s="61" customFormat="1" ht="17.399999999999999"/>
    <row r="413" s="61" customFormat="1" ht="17.399999999999999"/>
    <row r="414" s="61" customFormat="1" ht="17.399999999999999"/>
    <row r="415" s="61" customFormat="1" ht="17.399999999999999"/>
    <row r="416" s="61" customFormat="1" ht="17.399999999999999"/>
    <row r="417" s="61" customFormat="1" ht="17.399999999999999"/>
    <row r="418" s="61" customFormat="1" ht="17.399999999999999"/>
    <row r="419" s="61" customFormat="1" ht="17.399999999999999"/>
    <row r="420" s="61" customFormat="1" ht="17.399999999999999"/>
    <row r="421" s="61" customFormat="1" ht="17.399999999999999"/>
    <row r="422" s="61" customFormat="1" ht="17.399999999999999"/>
    <row r="423" s="61" customFormat="1" ht="17.399999999999999"/>
    <row r="424" s="61" customFormat="1" ht="17.399999999999999"/>
    <row r="425" s="61" customFormat="1" ht="17.399999999999999"/>
    <row r="426" s="61" customFormat="1" ht="17.399999999999999"/>
    <row r="427" s="61" customFormat="1" ht="17.399999999999999"/>
    <row r="428" s="61" customFormat="1" ht="17.399999999999999"/>
    <row r="429" s="61" customFormat="1" ht="17.399999999999999"/>
    <row r="430" s="61" customFormat="1" ht="17.399999999999999"/>
    <row r="431" s="61" customFormat="1" ht="17.399999999999999"/>
    <row r="432" s="61" customFormat="1" ht="17.399999999999999"/>
    <row r="433" spans="3:17" s="61" customFormat="1" ht="17.399999999999999"/>
    <row r="434" spans="3:17" s="61" customFormat="1" ht="17.399999999999999"/>
    <row r="435" spans="3:17" s="61" customFormat="1" ht="17.399999999999999"/>
    <row r="436" spans="3:17" s="61" customFormat="1" ht="17.399999999999999"/>
    <row r="437" spans="3:17" s="61" customFormat="1" ht="17.399999999999999"/>
    <row r="438" spans="3:17" s="61" customFormat="1" ht="17.399999999999999"/>
    <row r="439" spans="3:17" s="61" customFormat="1" ht="17.399999999999999"/>
    <row r="440" spans="3:17" s="61" customFormat="1" ht="17.399999999999999"/>
    <row r="441" spans="3:17">
      <c r="C441" s="49"/>
      <c r="D441" s="49"/>
      <c r="E441" s="49"/>
      <c r="F441" s="49"/>
      <c r="G441" s="49"/>
      <c r="H441" s="49"/>
      <c r="I441" s="49"/>
      <c r="J441" s="49"/>
      <c r="K441" s="49"/>
      <c r="L441" s="49"/>
      <c r="M441" s="49"/>
      <c r="N441" s="49"/>
      <c r="O441" s="49"/>
      <c r="P441" s="49"/>
      <c r="Q441" s="49"/>
    </row>
    <row r="442" spans="3:17">
      <c r="C442" s="49"/>
      <c r="D442" s="49"/>
      <c r="E442" s="49"/>
      <c r="F442" s="49"/>
      <c r="G442" s="49"/>
      <c r="H442" s="49"/>
      <c r="I442" s="49"/>
      <c r="J442" s="49"/>
      <c r="K442" s="49"/>
      <c r="L442" s="49"/>
      <c r="M442" s="49"/>
      <c r="N442" s="49"/>
      <c r="O442" s="49"/>
      <c r="P442" s="49"/>
      <c r="Q442" s="49"/>
    </row>
    <row r="443" spans="3:17">
      <c r="C443" s="49"/>
      <c r="D443" s="49"/>
      <c r="E443" s="49"/>
      <c r="F443" s="49"/>
      <c r="G443" s="49"/>
      <c r="H443" s="49"/>
      <c r="I443" s="49"/>
      <c r="J443" s="49"/>
      <c r="K443" s="49"/>
      <c r="L443" s="49"/>
      <c r="M443" s="49"/>
      <c r="N443" s="49"/>
      <c r="O443" s="49"/>
      <c r="P443" s="49"/>
      <c r="Q443" s="49"/>
    </row>
    <row r="444" spans="3:17">
      <c r="C444" s="49"/>
      <c r="D444" s="49"/>
      <c r="E444" s="49"/>
      <c r="F444" s="49"/>
      <c r="G444" s="49"/>
      <c r="H444" s="49"/>
      <c r="I444" s="49"/>
      <c r="J444" s="49"/>
      <c r="K444" s="49"/>
      <c r="L444" s="49"/>
      <c r="M444" s="49"/>
      <c r="N444" s="49"/>
      <c r="O444" s="49"/>
      <c r="P444" s="49"/>
      <c r="Q444" s="49"/>
    </row>
    <row r="445" spans="3:17">
      <c r="C445" s="49"/>
      <c r="D445" s="49"/>
      <c r="E445" s="49"/>
      <c r="F445" s="49"/>
      <c r="G445" s="49"/>
      <c r="H445" s="49"/>
      <c r="I445" s="49"/>
      <c r="J445" s="49"/>
      <c r="K445" s="49"/>
      <c r="L445" s="49"/>
      <c r="M445" s="49"/>
      <c r="N445" s="49"/>
      <c r="O445" s="49"/>
      <c r="P445" s="49"/>
      <c r="Q445" s="49"/>
    </row>
    <row r="446" spans="3:17">
      <c r="C446" s="49"/>
      <c r="D446" s="49"/>
      <c r="E446" s="49"/>
      <c r="F446" s="49"/>
      <c r="G446" s="49"/>
      <c r="H446" s="49"/>
      <c r="I446" s="49"/>
      <c r="J446" s="49"/>
      <c r="K446" s="49"/>
      <c r="L446" s="49"/>
      <c r="M446" s="49"/>
      <c r="N446" s="49"/>
      <c r="O446" s="49"/>
      <c r="P446" s="49"/>
      <c r="Q446" s="49"/>
    </row>
    <row r="447" spans="3:17">
      <c r="C447" s="49"/>
      <c r="D447" s="49"/>
      <c r="E447" s="49"/>
      <c r="F447" s="49"/>
      <c r="G447" s="49"/>
      <c r="H447" s="49"/>
      <c r="I447" s="49"/>
      <c r="J447" s="49"/>
      <c r="K447" s="49"/>
      <c r="L447" s="49"/>
      <c r="M447" s="49"/>
      <c r="N447" s="49"/>
      <c r="O447" s="49"/>
      <c r="P447" s="49"/>
      <c r="Q447" s="49"/>
    </row>
    <row r="448" spans="3:17">
      <c r="C448" s="49"/>
      <c r="D448" s="49"/>
      <c r="E448" s="49"/>
      <c r="F448" s="49"/>
      <c r="G448" s="49"/>
      <c r="H448" s="49"/>
      <c r="I448" s="49"/>
      <c r="J448" s="49"/>
      <c r="K448" s="49"/>
      <c r="L448" s="49"/>
      <c r="M448" s="49"/>
      <c r="N448" s="49"/>
      <c r="O448" s="49"/>
      <c r="P448" s="49"/>
      <c r="Q448" s="49"/>
    </row>
    <row r="449" spans="3:17">
      <c r="C449" s="49"/>
      <c r="D449" s="49"/>
      <c r="E449" s="49"/>
      <c r="F449" s="49"/>
      <c r="G449" s="49"/>
      <c r="H449" s="49"/>
      <c r="I449" s="49"/>
      <c r="J449" s="49"/>
      <c r="K449" s="49"/>
      <c r="L449" s="49"/>
      <c r="M449" s="49"/>
      <c r="N449" s="49"/>
      <c r="O449" s="49"/>
      <c r="P449" s="49"/>
      <c r="Q449" s="49"/>
    </row>
    <row r="450" spans="3:17">
      <c r="C450" s="49"/>
      <c r="D450" s="49"/>
      <c r="E450" s="49"/>
      <c r="F450" s="49"/>
      <c r="G450" s="49"/>
      <c r="H450" s="49"/>
      <c r="I450" s="49"/>
      <c r="J450" s="49"/>
      <c r="K450" s="49"/>
      <c r="L450" s="49"/>
      <c r="M450" s="49"/>
      <c r="N450" s="49"/>
      <c r="O450" s="49"/>
      <c r="P450" s="49"/>
      <c r="Q450" s="49"/>
    </row>
    <row r="451" spans="3:17">
      <c r="C451" s="49"/>
      <c r="D451" s="49"/>
      <c r="E451" s="49"/>
      <c r="F451" s="49"/>
      <c r="G451" s="49"/>
      <c r="H451" s="49"/>
      <c r="I451" s="49"/>
      <c r="J451" s="49"/>
      <c r="K451" s="49"/>
      <c r="L451" s="49"/>
      <c r="M451" s="49"/>
      <c r="N451" s="49"/>
      <c r="O451" s="49"/>
      <c r="P451" s="49"/>
      <c r="Q451" s="49"/>
    </row>
    <row r="452" spans="3:17">
      <c r="C452" s="49"/>
      <c r="D452" s="49"/>
      <c r="E452" s="49"/>
      <c r="F452" s="49"/>
      <c r="G452" s="49"/>
      <c r="H452" s="49"/>
      <c r="I452" s="49"/>
      <c r="J452" s="49"/>
      <c r="K452" s="49"/>
      <c r="L452" s="49"/>
      <c r="M452" s="49"/>
      <c r="N452" s="49"/>
      <c r="O452" s="49"/>
      <c r="P452" s="49"/>
      <c r="Q452" s="49"/>
    </row>
    <row r="453" spans="3:17">
      <c r="C453" s="49"/>
      <c r="D453" s="49"/>
      <c r="E453" s="49"/>
      <c r="F453" s="49"/>
      <c r="G453" s="49"/>
      <c r="H453" s="49"/>
      <c r="I453" s="49"/>
      <c r="J453" s="49"/>
      <c r="K453" s="49"/>
      <c r="L453" s="49"/>
      <c r="M453" s="49"/>
      <c r="N453" s="49"/>
      <c r="O453" s="49"/>
      <c r="P453" s="49"/>
      <c r="Q453" s="49"/>
    </row>
    <row r="454" spans="3:17">
      <c r="C454" s="49"/>
      <c r="D454" s="49"/>
      <c r="E454" s="49"/>
      <c r="F454" s="49"/>
      <c r="G454" s="49"/>
      <c r="H454" s="49"/>
      <c r="I454" s="49"/>
      <c r="J454" s="49"/>
      <c r="K454" s="49"/>
      <c r="L454" s="49"/>
      <c r="M454" s="49"/>
      <c r="N454" s="49"/>
      <c r="O454" s="49"/>
      <c r="P454" s="49"/>
      <c r="Q454" s="49"/>
    </row>
    <row r="455" spans="3:17">
      <c r="C455" s="49"/>
      <c r="D455" s="49"/>
      <c r="E455" s="49"/>
      <c r="F455" s="49"/>
      <c r="G455" s="49"/>
      <c r="H455" s="49"/>
      <c r="I455" s="49"/>
      <c r="J455" s="49"/>
      <c r="K455" s="49"/>
      <c r="L455" s="49"/>
      <c r="M455" s="49"/>
      <c r="N455" s="49"/>
      <c r="O455" s="49"/>
      <c r="P455" s="49"/>
      <c r="Q455" s="49"/>
    </row>
    <row r="456" spans="3:17">
      <c r="C456" s="49"/>
      <c r="D456" s="49"/>
      <c r="E456" s="49"/>
      <c r="F456" s="49"/>
      <c r="G456" s="49"/>
      <c r="H456" s="49"/>
      <c r="I456" s="49"/>
      <c r="J456" s="49"/>
      <c r="K456" s="49"/>
      <c r="L456" s="49"/>
      <c r="M456" s="49"/>
      <c r="N456" s="49"/>
      <c r="O456" s="49"/>
      <c r="P456" s="49"/>
      <c r="Q456" s="49"/>
    </row>
    <row r="457" spans="3:17">
      <c r="C457" s="49"/>
      <c r="D457" s="49"/>
      <c r="E457" s="49"/>
      <c r="F457" s="49"/>
      <c r="G457" s="49"/>
      <c r="H457" s="49"/>
      <c r="I457" s="49"/>
      <c r="J457" s="49"/>
      <c r="K457" s="49"/>
      <c r="L457" s="49"/>
      <c r="M457" s="49"/>
      <c r="N457" s="49"/>
      <c r="O457" s="49"/>
      <c r="P457" s="49"/>
      <c r="Q457" s="49"/>
    </row>
    <row r="458" spans="3:17">
      <c r="C458" s="49"/>
      <c r="D458" s="49"/>
      <c r="E458" s="49"/>
      <c r="F458" s="49"/>
      <c r="G458" s="49"/>
      <c r="H458" s="49"/>
      <c r="I458" s="49"/>
      <c r="J458" s="49"/>
      <c r="K458" s="49"/>
      <c r="L458" s="49"/>
      <c r="M458" s="49"/>
      <c r="N458" s="49"/>
      <c r="O458" s="49"/>
      <c r="P458" s="49"/>
      <c r="Q458" s="49"/>
    </row>
    <row r="459" spans="3:17">
      <c r="C459" s="49"/>
      <c r="D459" s="49"/>
      <c r="E459" s="49"/>
      <c r="F459" s="49"/>
      <c r="G459" s="49"/>
      <c r="H459" s="49"/>
      <c r="I459" s="49"/>
      <c r="J459" s="49"/>
      <c r="K459" s="49"/>
      <c r="L459" s="49"/>
      <c r="M459" s="49"/>
      <c r="N459" s="49"/>
      <c r="O459" s="49"/>
      <c r="P459" s="49"/>
      <c r="Q459" s="49"/>
    </row>
    <row r="460" spans="3:17">
      <c r="C460" s="49"/>
      <c r="D460" s="49"/>
      <c r="E460" s="49"/>
      <c r="F460" s="49"/>
      <c r="G460" s="49"/>
      <c r="H460" s="49"/>
      <c r="I460" s="49"/>
      <c r="J460" s="49"/>
      <c r="K460" s="49"/>
      <c r="L460" s="49"/>
      <c r="M460" s="49"/>
      <c r="N460" s="49"/>
      <c r="O460" s="49"/>
      <c r="P460" s="49"/>
      <c r="Q460" s="49"/>
    </row>
    <row r="461" spans="3:17">
      <c r="C461" s="49"/>
      <c r="D461" s="49"/>
      <c r="E461" s="49"/>
      <c r="F461" s="49"/>
      <c r="G461" s="49"/>
      <c r="H461" s="49"/>
      <c r="I461" s="49"/>
      <c r="J461" s="49"/>
      <c r="K461" s="49"/>
      <c r="L461" s="49"/>
      <c r="M461" s="49"/>
      <c r="N461" s="49"/>
      <c r="O461" s="49"/>
      <c r="P461" s="49"/>
      <c r="Q461" s="49"/>
    </row>
    <row r="462" spans="3:17">
      <c r="C462" s="49"/>
      <c r="D462" s="49"/>
      <c r="E462" s="49"/>
      <c r="F462" s="49"/>
      <c r="G462" s="49"/>
      <c r="H462" s="49"/>
      <c r="I462" s="49"/>
      <c r="J462" s="49"/>
      <c r="K462" s="49"/>
      <c r="L462" s="49"/>
      <c r="M462" s="49"/>
      <c r="N462" s="49"/>
      <c r="O462" s="49"/>
      <c r="P462" s="49"/>
      <c r="Q462" s="49"/>
    </row>
    <row r="463" spans="3:17">
      <c r="C463" s="49"/>
      <c r="D463" s="49"/>
      <c r="E463" s="49"/>
      <c r="F463" s="49"/>
      <c r="G463" s="49"/>
      <c r="H463" s="49"/>
      <c r="I463" s="49"/>
      <c r="J463" s="49"/>
      <c r="K463" s="49"/>
      <c r="L463" s="49"/>
      <c r="M463" s="49"/>
      <c r="N463" s="49"/>
      <c r="O463" s="49"/>
      <c r="P463" s="49"/>
      <c r="Q463" s="49"/>
    </row>
    <row r="464" spans="3:17">
      <c r="C464" s="49"/>
      <c r="D464" s="49"/>
      <c r="E464" s="49"/>
      <c r="F464" s="49"/>
      <c r="G464" s="49"/>
      <c r="H464" s="49"/>
      <c r="I464" s="49"/>
      <c r="J464" s="49"/>
      <c r="K464" s="49"/>
      <c r="L464" s="49"/>
      <c r="M464" s="49"/>
      <c r="N464" s="49"/>
      <c r="O464" s="49"/>
      <c r="P464" s="49"/>
      <c r="Q464" s="49"/>
    </row>
    <row r="465" spans="3:17">
      <c r="C465" s="49"/>
      <c r="D465" s="49"/>
      <c r="E465" s="49"/>
      <c r="F465" s="49"/>
      <c r="G465" s="49"/>
      <c r="H465" s="49"/>
      <c r="I465" s="49"/>
      <c r="J465" s="49"/>
      <c r="K465" s="49"/>
      <c r="L465" s="49"/>
      <c r="M465" s="49"/>
      <c r="N465" s="49"/>
      <c r="O465" s="49"/>
      <c r="P465" s="49"/>
      <c r="Q465" s="49"/>
    </row>
    <row r="466" spans="3:17">
      <c r="C466" s="49"/>
      <c r="D466" s="49"/>
      <c r="E466" s="49"/>
      <c r="F466" s="49"/>
      <c r="G466" s="49"/>
      <c r="H466" s="49"/>
      <c r="I466" s="49"/>
      <c r="J466" s="49"/>
      <c r="K466" s="49"/>
      <c r="L466" s="49"/>
      <c r="M466" s="49"/>
      <c r="N466" s="49"/>
      <c r="O466" s="49"/>
      <c r="P466" s="49"/>
      <c r="Q466" s="49"/>
    </row>
    <row r="467" spans="3:17">
      <c r="C467" s="49"/>
      <c r="D467" s="49"/>
      <c r="E467" s="49"/>
      <c r="F467" s="49"/>
      <c r="G467" s="49"/>
      <c r="H467" s="49"/>
      <c r="I467" s="49"/>
      <c r="J467" s="49"/>
      <c r="K467" s="49"/>
      <c r="L467" s="49"/>
      <c r="M467" s="49"/>
      <c r="N467" s="49"/>
      <c r="O467" s="49"/>
      <c r="P467" s="49"/>
      <c r="Q467" s="49"/>
    </row>
    <row r="468" spans="3:17">
      <c r="C468" s="49"/>
      <c r="D468" s="49"/>
      <c r="E468" s="49"/>
      <c r="F468" s="49"/>
      <c r="G468" s="49"/>
      <c r="H468" s="49"/>
      <c r="I468" s="49"/>
      <c r="J468" s="49"/>
      <c r="K468" s="49"/>
      <c r="L468" s="49"/>
      <c r="M468" s="49"/>
      <c r="N468" s="49"/>
      <c r="O468" s="49"/>
      <c r="P468" s="49"/>
      <c r="Q468" s="49"/>
    </row>
    <row r="469" spans="3:17">
      <c r="C469" s="49"/>
      <c r="D469" s="49"/>
      <c r="E469" s="49"/>
      <c r="F469" s="49"/>
      <c r="G469" s="49"/>
      <c r="H469" s="49"/>
      <c r="I469" s="49"/>
      <c r="J469" s="49"/>
      <c r="K469" s="49"/>
      <c r="L469" s="49"/>
      <c r="M469" s="49"/>
      <c r="N469" s="49"/>
      <c r="O469" s="49"/>
      <c r="P469" s="49"/>
      <c r="Q469" s="49"/>
    </row>
    <row r="470" spans="3:17">
      <c r="C470" s="49"/>
      <c r="D470" s="49"/>
      <c r="E470" s="49"/>
      <c r="F470" s="49"/>
      <c r="G470" s="49"/>
      <c r="H470" s="49"/>
      <c r="I470" s="49"/>
      <c r="J470" s="49"/>
      <c r="K470" s="49"/>
      <c r="L470" s="49"/>
      <c r="M470" s="49"/>
      <c r="N470" s="49"/>
      <c r="O470" s="49"/>
      <c r="P470" s="49"/>
      <c r="Q470" s="49"/>
    </row>
    <row r="471" spans="3:17">
      <c r="C471" s="49"/>
      <c r="D471" s="49"/>
      <c r="E471" s="49"/>
      <c r="F471" s="49"/>
      <c r="G471" s="49"/>
      <c r="H471" s="49"/>
      <c r="I471" s="49"/>
      <c r="J471" s="49"/>
      <c r="K471" s="49"/>
      <c r="L471" s="49"/>
      <c r="M471" s="49"/>
      <c r="N471" s="49"/>
      <c r="O471" s="49"/>
      <c r="P471" s="49"/>
      <c r="Q471" s="49"/>
    </row>
    <row r="472" spans="3:17">
      <c r="C472" s="49"/>
      <c r="D472" s="49"/>
      <c r="E472" s="49"/>
      <c r="F472" s="49"/>
      <c r="G472" s="49"/>
      <c r="H472" s="49"/>
      <c r="I472" s="49"/>
      <c r="J472" s="49"/>
      <c r="K472" s="49"/>
      <c r="L472" s="49"/>
      <c r="M472" s="49"/>
      <c r="N472" s="49"/>
      <c r="O472" s="49"/>
      <c r="P472" s="49"/>
      <c r="Q472" s="49"/>
    </row>
    <row r="473" spans="3:17">
      <c r="C473" s="49"/>
      <c r="D473" s="49"/>
      <c r="E473" s="49"/>
      <c r="F473" s="49"/>
      <c r="G473" s="49"/>
      <c r="H473" s="49"/>
      <c r="I473" s="49"/>
      <c r="J473" s="49"/>
      <c r="K473" s="49"/>
      <c r="L473" s="49"/>
      <c r="M473" s="49"/>
      <c r="N473" s="49"/>
      <c r="O473" s="49"/>
      <c r="P473" s="49"/>
      <c r="Q473" s="49"/>
    </row>
    <row r="474" spans="3:17">
      <c r="C474" s="49"/>
      <c r="D474" s="49"/>
      <c r="E474" s="49"/>
      <c r="F474" s="49"/>
      <c r="G474" s="49"/>
      <c r="H474" s="49"/>
      <c r="I474" s="49"/>
      <c r="J474" s="49"/>
      <c r="K474" s="49"/>
      <c r="L474" s="49"/>
      <c r="M474" s="49"/>
      <c r="N474" s="49"/>
      <c r="O474" s="49"/>
      <c r="P474" s="49"/>
      <c r="Q474" s="49"/>
    </row>
    <row r="475" spans="3:17">
      <c r="C475" s="49"/>
      <c r="D475" s="49"/>
      <c r="E475" s="49"/>
      <c r="F475" s="49"/>
      <c r="G475" s="49"/>
      <c r="H475" s="49"/>
      <c r="I475" s="49"/>
      <c r="J475" s="49"/>
      <c r="K475" s="49"/>
      <c r="L475" s="49"/>
      <c r="M475" s="49"/>
      <c r="N475" s="49"/>
      <c r="O475" s="49"/>
      <c r="P475" s="49"/>
      <c r="Q475" s="49"/>
    </row>
    <row r="476" spans="3:17">
      <c r="C476" s="49"/>
      <c r="D476" s="49"/>
      <c r="E476" s="49"/>
      <c r="F476" s="49"/>
      <c r="G476" s="49"/>
      <c r="H476" s="49"/>
      <c r="I476" s="49"/>
      <c r="J476" s="49"/>
      <c r="K476" s="49"/>
      <c r="L476" s="49"/>
      <c r="M476" s="49"/>
      <c r="N476" s="49"/>
      <c r="O476" s="49"/>
      <c r="P476" s="49"/>
      <c r="Q476" s="49"/>
    </row>
    <row r="477" spans="3:17">
      <c r="C477" s="49"/>
      <c r="D477" s="49"/>
      <c r="E477" s="49"/>
      <c r="F477" s="49"/>
      <c r="G477" s="49"/>
      <c r="H477" s="49"/>
      <c r="I477" s="49"/>
      <c r="J477" s="49"/>
      <c r="K477" s="49"/>
      <c r="L477" s="49"/>
      <c r="M477" s="49"/>
      <c r="N477" s="49"/>
      <c r="O477" s="49"/>
      <c r="P477" s="49"/>
      <c r="Q477" s="49"/>
    </row>
    <row r="478" spans="3:17">
      <c r="C478" s="49"/>
      <c r="D478" s="49"/>
      <c r="E478" s="49"/>
      <c r="F478" s="49"/>
      <c r="G478" s="49"/>
      <c r="H478" s="49"/>
      <c r="I478" s="49"/>
      <c r="J478" s="49"/>
      <c r="K478" s="49"/>
      <c r="L478" s="49"/>
      <c r="M478" s="49"/>
      <c r="N478" s="49"/>
      <c r="O478" s="49"/>
      <c r="P478" s="49"/>
      <c r="Q478" s="49"/>
    </row>
    <row r="479" spans="3:17">
      <c r="C479" s="49"/>
      <c r="D479" s="49"/>
      <c r="E479" s="49"/>
      <c r="F479" s="49"/>
      <c r="G479" s="49"/>
      <c r="H479" s="49"/>
      <c r="I479" s="49"/>
      <c r="J479" s="49"/>
      <c r="K479" s="49"/>
      <c r="L479" s="49"/>
      <c r="M479" s="49"/>
      <c r="N479" s="49"/>
      <c r="O479" s="49"/>
      <c r="P479" s="49"/>
      <c r="Q479" s="49"/>
    </row>
    <row r="480" spans="3:17">
      <c r="C480" s="49"/>
      <c r="D480" s="49"/>
      <c r="E480" s="49"/>
      <c r="F480" s="49"/>
      <c r="G480" s="49"/>
      <c r="H480" s="49"/>
      <c r="I480" s="49"/>
      <c r="J480" s="49"/>
      <c r="K480" s="49"/>
      <c r="L480" s="49"/>
      <c r="M480" s="49"/>
      <c r="N480" s="49"/>
      <c r="O480" s="49"/>
      <c r="P480" s="49"/>
      <c r="Q480" s="49"/>
    </row>
    <row r="481" spans="3:17">
      <c r="C481" s="49"/>
      <c r="D481" s="49"/>
      <c r="E481" s="49"/>
      <c r="F481" s="49"/>
      <c r="G481" s="49"/>
      <c r="H481" s="49"/>
      <c r="I481" s="49"/>
      <c r="J481" s="49"/>
      <c r="K481" s="49"/>
      <c r="L481" s="49"/>
      <c r="M481" s="49"/>
      <c r="N481" s="49"/>
      <c r="O481" s="49"/>
      <c r="P481" s="49"/>
      <c r="Q481" s="49"/>
    </row>
    <row r="482" spans="3:17">
      <c r="C482" s="49"/>
      <c r="D482" s="49"/>
      <c r="E482" s="49"/>
      <c r="F482" s="49"/>
      <c r="G482" s="49"/>
      <c r="H482" s="49"/>
      <c r="I482" s="49"/>
      <c r="J482" s="49"/>
      <c r="K482" s="49"/>
      <c r="L482" s="49"/>
      <c r="M482" s="49"/>
      <c r="N482" s="49"/>
      <c r="O482" s="49"/>
      <c r="P482" s="49"/>
      <c r="Q482" s="49"/>
    </row>
    <row r="483" spans="3:17">
      <c r="C483" s="49"/>
      <c r="D483" s="49"/>
      <c r="E483" s="49"/>
      <c r="F483" s="49"/>
      <c r="G483" s="49"/>
      <c r="H483" s="49"/>
      <c r="I483" s="49"/>
      <c r="J483" s="49"/>
      <c r="K483" s="49"/>
      <c r="L483" s="49"/>
      <c r="M483" s="49"/>
      <c r="N483" s="49"/>
      <c r="O483" s="49"/>
      <c r="P483" s="49"/>
      <c r="Q483" s="49"/>
    </row>
    <row r="484" spans="3:17">
      <c r="C484" s="49"/>
      <c r="D484" s="49"/>
      <c r="E484" s="49"/>
      <c r="F484" s="49"/>
      <c r="G484" s="49"/>
      <c r="H484" s="49"/>
      <c r="I484" s="49"/>
      <c r="J484" s="49"/>
      <c r="K484" s="49"/>
      <c r="L484" s="49"/>
      <c r="M484" s="49"/>
      <c r="N484" s="49"/>
      <c r="O484" s="49"/>
      <c r="P484" s="49"/>
      <c r="Q484" s="49"/>
    </row>
    <row r="485" spans="3:17">
      <c r="C485" s="49"/>
      <c r="D485" s="49"/>
      <c r="E485" s="49"/>
      <c r="F485" s="49"/>
      <c r="G485" s="49"/>
      <c r="H485" s="49"/>
      <c r="I485" s="49"/>
      <c r="J485" s="49"/>
      <c r="K485" s="49"/>
      <c r="L485" s="49"/>
      <c r="M485" s="49"/>
      <c r="N485" s="49"/>
      <c r="O485" s="49"/>
      <c r="P485" s="49"/>
      <c r="Q485" s="49"/>
    </row>
    <row r="486" spans="3:17">
      <c r="C486" s="49"/>
      <c r="D486" s="49"/>
      <c r="E486" s="49"/>
      <c r="F486" s="49"/>
      <c r="G486" s="49"/>
      <c r="H486" s="49"/>
      <c r="I486" s="49"/>
      <c r="J486" s="49"/>
      <c r="K486" s="49"/>
      <c r="L486" s="49"/>
      <c r="M486" s="49"/>
      <c r="N486" s="49"/>
      <c r="O486" s="49"/>
      <c r="P486" s="49"/>
      <c r="Q486" s="49"/>
    </row>
    <row r="487" spans="3:17">
      <c r="C487" s="49"/>
      <c r="D487" s="49"/>
      <c r="E487" s="49"/>
      <c r="F487" s="49"/>
      <c r="G487" s="49"/>
      <c r="H487" s="49"/>
      <c r="I487" s="49"/>
      <c r="J487" s="49"/>
      <c r="K487" s="49"/>
      <c r="L487" s="49"/>
      <c r="M487" s="49"/>
      <c r="N487" s="49"/>
      <c r="O487" s="49"/>
      <c r="P487" s="49"/>
      <c r="Q487" s="49"/>
    </row>
    <row r="488" spans="3:17">
      <c r="C488" s="49"/>
      <c r="D488" s="49"/>
      <c r="E488" s="49"/>
      <c r="F488" s="49"/>
      <c r="G488" s="49"/>
      <c r="H488" s="49"/>
      <c r="I488" s="49"/>
      <c r="J488" s="49"/>
      <c r="K488" s="49"/>
      <c r="L488" s="49"/>
      <c r="M488" s="49"/>
      <c r="N488" s="49"/>
      <c r="O488" s="49"/>
      <c r="P488" s="49"/>
      <c r="Q488" s="49"/>
    </row>
    <row r="489" spans="3:17">
      <c r="C489" s="49"/>
      <c r="D489" s="49"/>
      <c r="E489" s="49"/>
      <c r="F489" s="49"/>
      <c r="G489" s="49"/>
      <c r="H489" s="49"/>
      <c r="I489" s="49"/>
      <c r="J489" s="49"/>
      <c r="K489" s="49"/>
      <c r="L489" s="49"/>
      <c r="M489" s="49"/>
      <c r="N489" s="49"/>
      <c r="O489" s="49"/>
      <c r="P489" s="49"/>
      <c r="Q489" s="49"/>
    </row>
    <row r="490" spans="3:17">
      <c r="C490" s="49"/>
      <c r="D490" s="49"/>
      <c r="E490" s="49"/>
      <c r="F490" s="49"/>
      <c r="G490" s="49"/>
      <c r="H490" s="49"/>
      <c r="I490" s="49"/>
      <c r="J490" s="49"/>
      <c r="K490" s="49"/>
      <c r="L490" s="49"/>
      <c r="M490" s="49"/>
      <c r="N490" s="49"/>
      <c r="O490" s="49"/>
      <c r="P490" s="49"/>
      <c r="Q490" s="49"/>
    </row>
    <row r="491" spans="3:17">
      <c r="C491" s="49"/>
      <c r="D491" s="49"/>
      <c r="E491" s="49"/>
      <c r="F491" s="49"/>
      <c r="G491" s="49"/>
      <c r="H491" s="49"/>
      <c r="I491" s="49"/>
      <c r="J491" s="49"/>
      <c r="K491" s="49"/>
      <c r="L491" s="49"/>
      <c r="M491" s="49"/>
      <c r="N491" s="49"/>
      <c r="O491" s="49"/>
      <c r="P491" s="49"/>
      <c r="Q491" s="49"/>
    </row>
    <row r="492" spans="3:17">
      <c r="C492" s="49"/>
      <c r="D492" s="49"/>
      <c r="E492" s="49"/>
      <c r="F492" s="49"/>
      <c r="G492" s="49"/>
      <c r="H492" s="49"/>
      <c r="I492" s="49"/>
      <c r="J492" s="49"/>
      <c r="K492" s="49"/>
      <c r="L492" s="49"/>
      <c r="M492" s="49"/>
      <c r="N492" s="49"/>
      <c r="O492" s="49"/>
      <c r="P492" s="49"/>
      <c r="Q492" s="49"/>
    </row>
    <row r="493" spans="3:17">
      <c r="C493" s="49"/>
      <c r="D493" s="49"/>
      <c r="E493" s="49"/>
      <c r="F493" s="49"/>
      <c r="G493" s="49"/>
      <c r="H493" s="49"/>
      <c r="I493" s="49"/>
      <c r="J493" s="49"/>
      <c r="K493" s="49"/>
      <c r="L493" s="49"/>
      <c r="M493" s="49"/>
      <c r="N493" s="49"/>
      <c r="O493" s="49"/>
      <c r="P493" s="49"/>
      <c r="Q493" s="49"/>
    </row>
    <row r="494" spans="3:17">
      <c r="C494" s="49"/>
      <c r="D494" s="49"/>
      <c r="E494" s="49"/>
      <c r="F494" s="49"/>
      <c r="G494" s="49"/>
      <c r="H494" s="49"/>
      <c r="I494" s="49"/>
      <c r="J494" s="49"/>
      <c r="K494" s="49"/>
      <c r="L494" s="49"/>
      <c r="M494" s="49"/>
      <c r="N494" s="49"/>
      <c r="O494" s="49"/>
      <c r="P494" s="49"/>
      <c r="Q494" s="49"/>
    </row>
    <row r="495" spans="3:17">
      <c r="C495" s="49"/>
      <c r="D495" s="49"/>
      <c r="E495" s="49"/>
      <c r="F495" s="49"/>
      <c r="G495" s="49"/>
      <c r="H495" s="49"/>
      <c r="I495" s="49"/>
      <c r="J495" s="49"/>
      <c r="K495" s="49"/>
      <c r="L495" s="49"/>
      <c r="M495" s="49"/>
      <c r="N495" s="49"/>
      <c r="O495" s="49"/>
      <c r="P495" s="49"/>
      <c r="Q495" s="49"/>
    </row>
    <row r="496" spans="3:17">
      <c r="C496" s="49"/>
      <c r="D496" s="49"/>
      <c r="E496" s="49"/>
      <c r="F496" s="49"/>
      <c r="G496" s="49"/>
      <c r="H496" s="49"/>
      <c r="I496" s="49"/>
      <c r="J496" s="49"/>
      <c r="K496" s="49"/>
      <c r="L496" s="49"/>
      <c r="M496" s="49"/>
      <c r="N496" s="49"/>
      <c r="O496" s="49"/>
      <c r="P496" s="49"/>
      <c r="Q496" s="49"/>
    </row>
    <row r="497" spans="3:17">
      <c r="C497" s="49"/>
      <c r="D497" s="49"/>
      <c r="E497" s="49"/>
      <c r="F497" s="49"/>
      <c r="G497" s="49"/>
      <c r="H497" s="49"/>
      <c r="I497" s="49"/>
      <c r="J497" s="49"/>
      <c r="K497" s="49"/>
      <c r="L497" s="49"/>
      <c r="M497" s="49"/>
      <c r="N497" s="49"/>
      <c r="O497" s="49"/>
      <c r="P497" s="49"/>
      <c r="Q497" s="49"/>
    </row>
    <row r="498" spans="3:17">
      <c r="C498" s="49"/>
      <c r="D498" s="49"/>
      <c r="E498" s="49"/>
      <c r="F498" s="49"/>
      <c r="G498" s="49"/>
      <c r="H498" s="49"/>
      <c r="I498" s="49"/>
      <c r="J498" s="49"/>
      <c r="K498" s="49"/>
      <c r="L498" s="49"/>
      <c r="M498" s="49"/>
      <c r="N498" s="49"/>
      <c r="O498" s="49"/>
      <c r="P498" s="49"/>
      <c r="Q498" s="49"/>
    </row>
    <row r="499" spans="3:17">
      <c r="C499" s="49"/>
      <c r="D499" s="49"/>
      <c r="E499" s="49"/>
      <c r="F499" s="49"/>
      <c r="G499" s="49"/>
      <c r="H499" s="49"/>
      <c r="I499" s="49"/>
      <c r="J499" s="49"/>
      <c r="K499" s="49"/>
      <c r="L499" s="49"/>
      <c r="M499" s="49"/>
      <c r="N499" s="49"/>
      <c r="O499" s="49"/>
      <c r="P499" s="49"/>
      <c r="Q499" s="49"/>
    </row>
    <row r="500" spans="3:17">
      <c r="C500" s="49"/>
      <c r="D500" s="49"/>
      <c r="E500" s="49"/>
      <c r="F500" s="49"/>
      <c r="G500" s="49"/>
      <c r="H500" s="49"/>
      <c r="I500" s="49"/>
      <c r="J500" s="49"/>
      <c r="K500" s="49"/>
      <c r="L500" s="49"/>
      <c r="M500" s="49"/>
      <c r="N500" s="49"/>
      <c r="O500" s="49"/>
      <c r="P500" s="49"/>
      <c r="Q500" s="49"/>
    </row>
    <row r="501" spans="3:17">
      <c r="C501" s="49"/>
      <c r="D501" s="49"/>
      <c r="E501" s="49"/>
      <c r="F501" s="49"/>
      <c r="G501" s="49"/>
      <c r="H501" s="49"/>
      <c r="I501" s="49"/>
      <c r="J501" s="49"/>
      <c r="K501" s="49"/>
      <c r="L501" s="49"/>
      <c r="M501" s="49"/>
      <c r="N501" s="49"/>
      <c r="O501" s="49"/>
      <c r="P501" s="49"/>
      <c r="Q501" s="49"/>
    </row>
    <row r="502" spans="3:17">
      <c r="C502" s="49"/>
      <c r="D502" s="49"/>
      <c r="E502" s="49"/>
      <c r="F502" s="49"/>
      <c r="G502" s="49"/>
      <c r="H502" s="49"/>
      <c r="I502" s="49"/>
      <c r="J502" s="49"/>
      <c r="K502" s="49"/>
      <c r="L502" s="49"/>
      <c r="M502" s="49"/>
      <c r="N502" s="49"/>
      <c r="O502" s="49"/>
      <c r="P502" s="49"/>
      <c r="Q502" s="49"/>
    </row>
    <row r="503" spans="3:17">
      <c r="C503" s="49"/>
      <c r="D503" s="49"/>
      <c r="E503" s="49"/>
      <c r="F503" s="49"/>
      <c r="G503" s="49"/>
      <c r="H503" s="49"/>
      <c r="I503" s="49"/>
      <c r="J503" s="49"/>
      <c r="K503" s="49"/>
      <c r="L503" s="49"/>
      <c r="M503" s="49"/>
      <c r="N503" s="49"/>
      <c r="O503" s="49"/>
      <c r="P503" s="49"/>
      <c r="Q503" s="49"/>
    </row>
    <row r="504" spans="3:17">
      <c r="C504" s="49"/>
      <c r="D504" s="49"/>
      <c r="E504" s="49"/>
      <c r="F504" s="49"/>
      <c r="G504" s="49"/>
      <c r="H504" s="49"/>
      <c r="I504" s="49"/>
      <c r="J504" s="49"/>
      <c r="K504" s="49"/>
      <c r="L504" s="49"/>
      <c r="M504" s="49"/>
      <c r="N504" s="49"/>
      <c r="O504" s="49"/>
      <c r="P504" s="49"/>
      <c r="Q504" s="49"/>
    </row>
    <row r="505" spans="3:17">
      <c r="C505" s="49"/>
      <c r="D505" s="49"/>
      <c r="E505" s="49"/>
      <c r="F505" s="49"/>
      <c r="G505" s="49"/>
      <c r="H505" s="49"/>
      <c r="I505" s="49"/>
      <c r="J505" s="49"/>
      <c r="K505" s="49"/>
      <c r="L505" s="49"/>
      <c r="M505" s="49"/>
      <c r="N505" s="49"/>
      <c r="O505" s="49"/>
      <c r="P505" s="49"/>
      <c r="Q505" s="49"/>
    </row>
    <row r="506" spans="3:17">
      <c r="C506" s="49"/>
      <c r="D506" s="49"/>
      <c r="E506" s="49"/>
      <c r="F506" s="49"/>
      <c r="G506" s="49"/>
      <c r="H506" s="49"/>
      <c r="I506" s="49"/>
      <c r="J506" s="49"/>
      <c r="K506" s="49"/>
      <c r="L506" s="49"/>
      <c r="M506" s="49"/>
      <c r="N506" s="49"/>
      <c r="O506" s="49"/>
      <c r="P506" s="49"/>
      <c r="Q506" s="49"/>
    </row>
    <row r="507" spans="3:17">
      <c r="C507" s="49"/>
      <c r="D507" s="49"/>
      <c r="E507" s="49"/>
      <c r="F507" s="49"/>
      <c r="G507" s="49"/>
      <c r="H507" s="49"/>
      <c r="I507" s="49"/>
      <c r="J507" s="49"/>
      <c r="K507" s="49"/>
      <c r="L507" s="49"/>
      <c r="M507" s="49"/>
      <c r="N507" s="49"/>
      <c r="O507" s="49"/>
      <c r="P507" s="49"/>
      <c r="Q507" s="49"/>
    </row>
    <row r="508" spans="3:17">
      <c r="C508" s="49"/>
      <c r="D508" s="49"/>
      <c r="E508" s="49"/>
      <c r="F508" s="49"/>
      <c r="G508" s="49"/>
      <c r="H508" s="49"/>
      <c r="I508" s="49"/>
      <c r="J508" s="49"/>
      <c r="K508" s="49"/>
      <c r="L508" s="49"/>
      <c r="M508" s="49"/>
      <c r="N508" s="49"/>
      <c r="O508" s="49"/>
      <c r="P508" s="49"/>
      <c r="Q508" s="49"/>
    </row>
    <row r="509" spans="3:17">
      <c r="C509" s="49"/>
      <c r="D509" s="49"/>
      <c r="E509" s="49"/>
      <c r="F509" s="49"/>
      <c r="G509" s="49"/>
      <c r="H509" s="49"/>
      <c r="I509" s="49"/>
      <c r="J509" s="49"/>
      <c r="K509" s="49"/>
      <c r="L509" s="49"/>
      <c r="M509" s="49"/>
      <c r="N509" s="49"/>
      <c r="O509" s="49"/>
      <c r="P509" s="49"/>
      <c r="Q509" s="49"/>
    </row>
    <row r="510" spans="3:17">
      <c r="C510" s="49"/>
      <c r="D510" s="49"/>
      <c r="E510" s="49"/>
      <c r="F510" s="49"/>
      <c r="G510" s="49"/>
      <c r="H510" s="49"/>
      <c r="I510" s="49"/>
      <c r="J510" s="49"/>
      <c r="K510" s="49"/>
      <c r="L510" s="49"/>
      <c r="M510" s="49"/>
      <c r="N510" s="49"/>
      <c r="O510" s="49"/>
      <c r="P510" s="49"/>
      <c r="Q510" s="49"/>
    </row>
    <row r="511" spans="3:17">
      <c r="C511" s="49"/>
      <c r="D511" s="49"/>
      <c r="E511" s="49"/>
      <c r="F511" s="49"/>
      <c r="G511" s="49"/>
      <c r="H511" s="49"/>
      <c r="I511" s="49"/>
      <c r="J511" s="49"/>
      <c r="K511" s="49"/>
      <c r="L511" s="49"/>
      <c r="M511" s="49"/>
      <c r="N511" s="49"/>
      <c r="O511" s="49"/>
      <c r="P511" s="49"/>
      <c r="Q511" s="49"/>
    </row>
    <row r="512" spans="3:17">
      <c r="C512" s="49"/>
      <c r="D512" s="49"/>
      <c r="E512" s="49"/>
      <c r="F512" s="49"/>
      <c r="G512" s="49"/>
      <c r="H512" s="49"/>
      <c r="I512" s="49"/>
      <c r="J512" s="49"/>
      <c r="K512" s="49"/>
      <c r="L512" s="49"/>
      <c r="M512" s="49"/>
      <c r="N512" s="49"/>
      <c r="O512" s="49"/>
      <c r="P512" s="49"/>
      <c r="Q512" s="49"/>
    </row>
    <row r="513" spans="3:17">
      <c r="C513" s="49"/>
      <c r="D513" s="49"/>
      <c r="E513" s="49"/>
      <c r="F513" s="49"/>
      <c r="G513" s="49"/>
      <c r="H513" s="49"/>
      <c r="I513" s="49"/>
      <c r="J513" s="49"/>
      <c r="K513" s="49"/>
      <c r="L513" s="49"/>
      <c r="M513" s="49"/>
      <c r="N513" s="49"/>
      <c r="O513" s="49"/>
      <c r="P513" s="49"/>
      <c r="Q513" s="49"/>
    </row>
    <row r="514" spans="3:17">
      <c r="C514" s="49"/>
      <c r="D514" s="49"/>
      <c r="E514" s="49"/>
      <c r="F514" s="49"/>
      <c r="G514" s="49"/>
      <c r="H514" s="49"/>
      <c r="I514" s="49"/>
      <c r="J514" s="49"/>
      <c r="K514" s="49"/>
      <c r="L514" s="49"/>
      <c r="M514" s="49"/>
      <c r="N514" s="49"/>
      <c r="O514" s="49"/>
      <c r="P514" s="49"/>
      <c r="Q514" s="49"/>
    </row>
    <row r="515" spans="3:17">
      <c r="C515" s="49"/>
      <c r="D515" s="49"/>
      <c r="E515" s="49"/>
      <c r="F515" s="49"/>
      <c r="G515" s="49"/>
      <c r="H515" s="49"/>
      <c r="I515" s="49"/>
      <c r="J515" s="49"/>
      <c r="K515" s="49"/>
      <c r="L515" s="49"/>
      <c r="M515" s="49"/>
      <c r="N515" s="49"/>
      <c r="O515" s="49"/>
      <c r="P515" s="49"/>
      <c r="Q515" s="49"/>
    </row>
    <row r="516" spans="3:17">
      <c r="C516" s="49"/>
      <c r="D516" s="49"/>
      <c r="E516" s="49"/>
      <c r="F516" s="49"/>
      <c r="G516" s="49"/>
      <c r="H516" s="49"/>
      <c r="I516" s="49"/>
      <c r="J516" s="49"/>
      <c r="K516" s="49"/>
      <c r="L516" s="49"/>
      <c r="M516" s="49"/>
      <c r="N516" s="49"/>
      <c r="O516" s="49"/>
      <c r="P516" s="49"/>
      <c r="Q516" s="49"/>
    </row>
    <row r="517" spans="3:17">
      <c r="C517" s="49"/>
      <c r="D517" s="49"/>
      <c r="E517" s="49"/>
      <c r="F517" s="49"/>
      <c r="G517" s="49"/>
      <c r="H517" s="49"/>
      <c r="I517" s="49"/>
      <c r="J517" s="49"/>
      <c r="K517" s="49"/>
      <c r="L517" s="49"/>
      <c r="M517" s="49"/>
      <c r="N517" s="49"/>
      <c r="O517" s="49"/>
      <c r="P517" s="49"/>
      <c r="Q517" s="49"/>
    </row>
    <row r="518" spans="3:17">
      <c r="C518" s="49"/>
      <c r="D518" s="49"/>
      <c r="E518" s="49"/>
      <c r="F518" s="49"/>
      <c r="G518" s="49"/>
      <c r="H518" s="49"/>
      <c r="I518" s="49"/>
      <c r="J518" s="49"/>
      <c r="K518" s="49"/>
      <c r="L518" s="49"/>
      <c r="M518" s="49"/>
      <c r="N518" s="49"/>
      <c r="O518" s="49"/>
      <c r="P518" s="49"/>
      <c r="Q518" s="49"/>
    </row>
    <row r="519" spans="3:17">
      <c r="C519" s="49"/>
      <c r="D519" s="49"/>
      <c r="E519" s="49"/>
      <c r="F519" s="49"/>
      <c r="G519" s="49"/>
      <c r="H519" s="49"/>
      <c r="I519" s="49"/>
      <c r="J519" s="49"/>
      <c r="K519" s="49"/>
      <c r="L519" s="49"/>
      <c r="M519" s="49"/>
      <c r="N519" s="49"/>
      <c r="O519" s="49"/>
      <c r="P519" s="49"/>
      <c r="Q519" s="49"/>
    </row>
    <row r="520" spans="3:17">
      <c r="C520" s="49"/>
      <c r="D520" s="49"/>
      <c r="E520" s="49"/>
      <c r="F520" s="49"/>
      <c r="G520" s="49"/>
      <c r="H520" s="49"/>
      <c r="I520" s="49"/>
      <c r="J520" s="49"/>
      <c r="K520" s="49"/>
      <c r="L520" s="49"/>
      <c r="M520" s="49"/>
      <c r="N520" s="49"/>
      <c r="O520" s="49"/>
      <c r="P520" s="49"/>
      <c r="Q520" s="49"/>
    </row>
    <row r="521" spans="3:17">
      <c r="C521" s="49"/>
      <c r="D521" s="49"/>
      <c r="E521" s="49"/>
      <c r="F521" s="49"/>
      <c r="G521" s="49"/>
      <c r="H521" s="49"/>
      <c r="I521" s="49"/>
      <c r="J521" s="49"/>
      <c r="K521" s="49"/>
      <c r="L521" s="49"/>
      <c r="M521" s="49"/>
      <c r="N521" s="49"/>
      <c r="O521" s="49"/>
      <c r="P521" s="49"/>
      <c r="Q521" s="49"/>
    </row>
    <row r="522" spans="3:17">
      <c r="C522" s="49"/>
      <c r="D522" s="49"/>
      <c r="E522" s="49"/>
      <c r="F522" s="49"/>
      <c r="G522" s="49"/>
      <c r="H522" s="49"/>
      <c r="I522" s="49"/>
      <c r="J522" s="49"/>
      <c r="K522" s="49"/>
      <c r="L522" s="49"/>
      <c r="M522" s="49"/>
      <c r="N522" s="49"/>
      <c r="O522" s="49"/>
      <c r="P522" s="49"/>
      <c r="Q522" s="49"/>
    </row>
    <row r="523" spans="3:17">
      <c r="C523" s="49"/>
      <c r="D523" s="49"/>
      <c r="E523" s="49"/>
      <c r="F523" s="49"/>
      <c r="G523" s="49"/>
      <c r="H523" s="49"/>
      <c r="I523" s="49"/>
      <c r="J523" s="49"/>
      <c r="K523" s="49"/>
      <c r="L523" s="49"/>
      <c r="M523" s="49"/>
      <c r="N523" s="49"/>
      <c r="O523" s="49"/>
      <c r="P523" s="49"/>
      <c r="Q523" s="49"/>
    </row>
    <row r="524" spans="3:17">
      <c r="C524" s="49"/>
      <c r="D524" s="49"/>
      <c r="E524" s="49"/>
      <c r="F524" s="49"/>
      <c r="G524" s="49"/>
      <c r="H524" s="49"/>
      <c r="I524" s="49"/>
      <c r="J524" s="49"/>
      <c r="K524" s="49"/>
      <c r="L524" s="49"/>
      <c r="M524" s="49"/>
      <c r="N524" s="49"/>
      <c r="O524" s="49"/>
      <c r="P524" s="49"/>
      <c r="Q524" s="49"/>
    </row>
    <row r="525" spans="3:17">
      <c r="C525" s="49"/>
      <c r="D525" s="49"/>
      <c r="E525" s="49"/>
      <c r="F525" s="49"/>
      <c r="G525" s="49"/>
      <c r="H525" s="49"/>
      <c r="I525" s="49"/>
      <c r="J525" s="49"/>
      <c r="K525" s="49"/>
      <c r="L525" s="49"/>
      <c r="M525" s="49"/>
      <c r="N525" s="49"/>
      <c r="O525" s="49"/>
      <c r="P525" s="49"/>
      <c r="Q525" s="49"/>
    </row>
    <row r="526" spans="3:17">
      <c r="C526" s="49"/>
      <c r="D526" s="49"/>
      <c r="E526" s="49"/>
      <c r="F526" s="49"/>
      <c r="G526" s="49"/>
      <c r="H526" s="49"/>
      <c r="I526" s="49"/>
      <c r="J526" s="49"/>
      <c r="K526" s="49"/>
      <c r="L526" s="49"/>
      <c r="M526" s="49"/>
      <c r="N526" s="49"/>
      <c r="O526" s="49"/>
      <c r="P526" s="49"/>
      <c r="Q526" s="49"/>
    </row>
    <row r="527" spans="3:17">
      <c r="C527" s="49"/>
      <c r="D527" s="49"/>
      <c r="E527" s="49"/>
      <c r="F527" s="49"/>
      <c r="G527" s="49"/>
      <c r="H527" s="49"/>
      <c r="I527" s="49"/>
      <c r="J527" s="49"/>
      <c r="K527" s="49"/>
      <c r="L527" s="49"/>
      <c r="M527" s="49"/>
      <c r="N527" s="49"/>
      <c r="O527" s="49"/>
      <c r="P527" s="49"/>
      <c r="Q527" s="49"/>
    </row>
    <row r="528" spans="3:17">
      <c r="C528" s="49"/>
      <c r="D528" s="49"/>
      <c r="E528" s="49"/>
      <c r="F528" s="49"/>
      <c r="G528" s="49"/>
      <c r="H528" s="49"/>
      <c r="I528" s="49"/>
      <c r="J528" s="49"/>
      <c r="K528" s="49"/>
      <c r="L528" s="49"/>
      <c r="M528" s="49"/>
      <c r="N528" s="49"/>
      <c r="O528" s="49"/>
      <c r="P528" s="49"/>
      <c r="Q528" s="49"/>
    </row>
    <row r="529" spans="3:17">
      <c r="C529" s="49"/>
      <c r="D529" s="49"/>
      <c r="E529" s="49"/>
      <c r="F529" s="49"/>
      <c r="G529" s="49"/>
      <c r="H529" s="49"/>
      <c r="I529" s="49"/>
      <c r="J529" s="49"/>
      <c r="K529" s="49"/>
      <c r="L529" s="49"/>
      <c r="M529" s="49"/>
      <c r="N529" s="49"/>
      <c r="O529" s="49"/>
      <c r="P529" s="49"/>
      <c r="Q529" s="49"/>
    </row>
    <row r="530" spans="3:17">
      <c r="C530" s="49"/>
      <c r="D530" s="49"/>
      <c r="E530" s="49"/>
      <c r="F530" s="49"/>
      <c r="G530" s="49"/>
      <c r="H530" s="49"/>
      <c r="I530" s="49"/>
      <c r="J530" s="49"/>
      <c r="K530" s="49"/>
      <c r="L530" s="49"/>
      <c r="M530" s="49"/>
      <c r="N530" s="49"/>
      <c r="O530" s="49"/>
      <c r="P530" s="49"/>
      <c r="Q530" s="49"/>
    </row>
    <row r="531" spans="3:17">
      <c r="C531" s="49"/>
      <c r="D531" s="49"/>
      <c r="E531" s="49"/>
      <c r="F531" s="49"/>
      <c r="G531" s="49"/>
      <c r="H531" s="49"/>
      <c r="I531" s="49"/>
      <c r="J531" s="49"/>
      <c r="K531" s="49"/>
      <c r="L531" s="49"/>
      <c r="M531" s="49"/>
      <c r="N531" s="49"/>
      <c r="O531" s="49"/>
      <c r="P531" s="49"/>
      <c r="Q531" s="49"/>
    </row>
    <row r="532" spans="3:17">
      <c r="C532" s="49"/>
      <c r="D532" s="49"/>
      <c r="E532" s="49"/>
      <c r="F532" s="49"/>
      <c r="G532" s="49"/>
      <c r="H532" s="49"/>
      <c r="I532" s="49"/>
      <c r="J532" s="49"/>
      <c r="K532" s="49"/>
      <c r="L532" s="49"/>
      <c r="M532" s="49"/>
      <c r="N532" s="49"/>
      <c r="O532" s="49"/>
      <c r="P532" s="49"/>
      <c r="Q532" s="49"/>
    </row>
    <row r="533" spans="3:17">
      <c r="C533" s="49"/>
      <c r="D533" s="49"/>
      <c r="E533" s="49"/>
      <c r="F533" s="49"/>
      <c r="G533" s="49"/>
      <c r="H533" s="49"/>
      <c r="I533" s="49"/>
      <c r="J533" s="49"/>
      <c r="K533" s="49"/>
      <c r="L533" s="49"/>
      <c r="M533" s="49"/>
      <c r="N533" s="49"/>
      <c r="O533" s="49"/>
      <c r="P533" s="49"/>
      <c r="Q533" s="49"/>
    </row>
    <row r="534" spans="3:17">
      <c r="C534" s="49"/>
      <c r="D534" s="49"/>
      <c r="E534" s="49"/>
      <c r="F534" s="49"/>
      <c r="G534" s="49"/>
      <c r="H534" s="49"/>
      <c r="I534" s="49"/>
      <c r="J534" s="49"/>
      <c r="K534" s="49"/>
      <c r="L534" s="49"/>
      <c r="M534" s="49"/>
      <c r="N534" s="49"/>
      <c r="O534" s="49"/>
      <c r="P534" s="49"/>
      <c r="Q534" s="49"/>
    </row>
    <row r="535" spans="3:17">
      <c r="C535" s="49"/>
      <c r="D535" s="49"/>
      <c r="E535" s="49"/>
      <c r="F535" s="49"/>
      <c r="G535" s="49"/>
      <c r="H535" s="49"/>
      <c r="I535" s="49"/>
      <c r="J535" s="49"/>
      <c r="K535" s="49"/>
      <c r="L535" s="49"/>
      <c r="M535" s="49"/>
      <c r="N535" s="49"/>
      <c r="O535" s="49"/>
      <c r="P535" s="49"/>
      <c r="Q535" s="49"/>
    </row>
    <row r="536" spans="3:17">
      <c r="C536" s="49"/>
      <c r="D536" s="49"/>
      <c r="E536" s="49"/>
      <c r="F536" s="49"/>
      <c r="G536" s="49"/>
      <c r="H536" s="49"/>
      <c r="I536" s="49"/>
      <c r="J536" s="49"/>
      <c r="K536" s="49"/>
      <c r="L536" s="49"/>
      <c r="M536" s="49"/>
      <c r="N536" s="49"/>
      <c r="O536" s="49"/>
      <c r="P536" s="49"/>
      <c r="Q536" s="49"/>
    </row>
    <row r="537" spans="3:17">
      <c r="C537" s="49"/>
      <c r="D537" s="49"/>
      <c r="E537" s="49"/>
      <c r="F537" s="49"/>
      <c r="G537" s="49"/>
      <c r="H537" s="49"/>
      <c r="I537" s="49"/>
      <c r="J537" s="49"/>
      <c r="K537" s="49"/>
      <c r="L537" s="49"/>
      <c r="M537" s="49"/>
      <c r="N537" s="49"/>
      <c r="O537" s="49"/>
      <c r="P537" s="49"/>
      <c r="Q537" s="49"/>
    </row>
    <row r="538" spans="3:17">
      <c r="C538" s="49"/>
      <c r="D538" s="49"/>
      <c r="E538" s="49"/>
      <c r="F538" s="49"/>
      <c r="G538" s="49"/>
      <c r="H538" s="49"/>
      <c r="I538" s="49"/>
      <c r="J538" s="49"/>
      <c r="K538" s="49"/>
      <c r="L538" s="49"/>
      <c r="M538" s="49"/>
      <c r="N538" s="49"/>
      <c r="O538" s="49"/>
      <c r="P538" s="49"/>
      <c r="Q538" s="49"/>
    </row>
    <row r="539" spans="3:17">
      <c r="C539" s="49"/>
      <c r="D539" s="49"/>
      <c r="E539" s="49"/>
      <c r="F539" s="49"/>
      <c r="G539" s="49"/>
      <c r="H539" s="49"/>
      <c r="I539" s="49"/>
      <c r="J539" s="49"/>
      <c r="K539" s="49"/>
      <c r="L539" s="49"/>
      <c r="M539" s="49"/>
      <c r="N539" s="49"/>
      <c r="O539" s="49"/>
      <c r="P539" s="49"/>
      <c r="Q539" s="49"/>
    </row>
    <row r="540" spans="3:17">
      <c r="C540" s="49"/>
      <c r="D540" s="49"/>
      <c r="E540" s="49"/>
      <c r="F540" s="49"/>
      <c r="G540" s="49"/>
      <c r="H540" s="49"/>
      <c r="I540" s="49"/>
      <c r="J540" s="49"/>
      <c r="K540" s="49"/>
      <c r="L540" s="49"/>
      <c r="M540" s="49"/>
      <c r="N540" s="49"/>
      <c r="O540" s="49"/>
      <c r="P540" s="49"/>
      <c r="Q540" s="49"/>
    </row>
    <row r="541" spans="3:17">
      <c r="C541" s="49"/>
      <c r="D541" s="49"/>
      <c r="E541" s="49"/>
      <c r="F541" s="49"/>
      <c r="G541" s="49"/>
      <c r="H541" s="49"/>
      <c r="I541" s="49"/>
      <c r="J541" s="49"/>
      <c r="K541" s="49"/>
      <c r="L541" s="49"/>
      <c r="M541" s="49"/>
      <c r="N541" s="49"/>
      <c r="O541" s="49"/>
      <c r="P541" s="49"/>
      <c r="Q541" s="49"/>
    </row>
    <row r="542" spans="3:17">
      <c r="C542" s="49"/>
      <c r="D542" s="49"/>
      <c r="E542" s="49"/>
      <c r="F542" s="49"/>
      <c r="G542" s="49"/>
      <c r="H542" s="49"/>
      <c r="I542" s="49"/>
      <c r="J542" s="49"/>
      <c r="K542" s="49"/>
      <c r="L542" s="49"/>
      <c r="M542" s="49"/>
      <c r="N542" s="49"/>
      <c r="O542" s="49"/>
      <c r="P542" s="49"/>
      <c r="Q542" s="49"/>
    </row>
    <row r="543" spans="3:17">
      <c r="C543" s="49"/>
      <c r="D543" s="49"/>
      <c r="E543" s="49"/>
      <c r="F543" s="49"/>
      <c r="G543" s="49"/>
      <c r="H543" s="49"/>
      <c r="I543" s="49"/>
      <c r="J543" s="49"/>
      <c r="K543" s="49"/>
      <c r="L543" s="49"/>
      <c r="M543" s="49"/>
      <c r="N543" s="49"/>
      <c r="O543" s="49"/>
      <c r="P543" s="49"/>
      <c r="Q543" s="49"/>
    </row>
  </sheetData>
  <mergeCells count="4">
    <mergeCell ref="L4:M4"/>
    <mergeCell ref="C313:L313"/>
    <mergeCell ref="C310:L311"/>
    <mergeCell ref="C318:M318"/>
  </mergeCells>
  <phoneticPr fontId="0" type="noConversion"/>
  <pageMargins left="0.52" right="0.25" top="0.77" bottom="0.75" header="0.5" footer="0.5"/>
  <pageSetup scale="43" fitToHeight="6" orientation="portrait" r:id="rId1"/>
  <headerFooter alignWithMargins="0">
    <oddHeader xml:space="preserve">&amp;R&amp;"Times New Roman,Regular"
</oddHeader>
  </headerFooter>
  <rowBreaks count="4" manualBreakCount="4">
    <brk id="62" max="16383" man="1"/>
    <brk id="127" max="16383" man="1"/>
    <brk id="203" max="12" man="1"/>
    <brk id="2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H265"/>
  <sheetViews>
    <sheetView view="pageBreakPreview" zoomScale="75" zoomScaleNormal="100" zoomScaleSheetLayoutView="75" workbookViewId="0">
      <selection sqref="A1:D1"/>
    </sheetView>
  </sheetViews>
  <sheetFormatPr defaultColWidth="8.81640625" defaultRowHeight="15.6"/>
  <cols>
    <col min="1" max="1" width="7.1796875" style="124" customWidth="1"/>
    <col min="2" max="2" width="57.81640625" style="124" customWidth="1"/>
    <col min="3" max="3" width="28.1796875" style="124" customWidth="1"/>
    <col min="4" max="4" width="10.81640625" style="125" bestFit="1" customWidth="1"/>
    <col min="5" max="5" width="9.1796875" style="124" bestFit="1" customWidth="1"/>
    <col min="6" max="6" width="8.81640625" style="124"/>
    <col min="7" max="16384" width="8.81640625" style="98"/>
  </cols>
  <sheetData>
    <row r="1" spans="1:7">
      <c r="A1" s="1302" t="s">
        <v>274</v>
      </c>
      <c r="B1" s="1302"/>
      <c r="C1" s="1302"/>
      <c r="D1" s="1302"/>
    </row>
    <row r="2" spans="1:7">
      <c r="A2" s="1302" t="str">
        <f>'Appendix A'!$E$9</f>
        <v>New York Transco LLC</v>
      </c>
      <c r="B2" s="1302"/>
      <c r="C2" s="1302"/>
      <c r="D2" s="1302"/>
    </row>
    <row r="5" spans="1:7">
      <c r="B5" s="133" t="s">
        <v>275</v>
      </c>
      <c r="C5" s="124" t="s">
        <v>276</v>
      </c>
    </row>
    <row r="6" spans="1:7">
      <c r="A6" s="124">
        <v>1</v>
      </c>
      <c r="B6" s="124" t="s">
        <v>277</v>
      </c>
      <c r="D6" s="129">
        <v>0</v>
      </c>
    </row>
    <row r="7" spans="1:7">
      <c r="D7" s="134"/>
    </row>
    <row r="8" spans="1:7">
      <c r="B8" s="133" t="s">
        <v>278</v>
      </c>
      <c r="C8" s="124" t="s">
        <v>276</v>
      </c>
      <c r="G8" s="132"/>
    </row>
    <row r="9" spans="1:7">
      <c r="A9" s="359">
        <f>+A6+1</f>
        <v>2</v>
      </c>
      <c r="B9" s="124" t="s">
        <v>279</v>
      </c>
      <c r="D9" s="129">
        <v>0</v>
      </c>
      <c r="G9" s="132"/>
    </row>
    <row r="10" spans="1:7">
      <c r="A10" s="359">
        <f>+A9+1</f>
        <v>3</v>
      </c>
      <c r="B10" s="124" t="s">
        <v>280</v>
      </c>
      <c r="D10" s="129">
        <v>0</v>
      </c>
      <c r="G10" s="131"/>
    </row>
    <row r="11" spans="1:7">
      <c r="A11" s="359">
        <f>+A10+1</f>
        <v>4</v>
      </c>
      <c r="B11" s="124" t="s">
        <v>281</v>
      </c>
      <c r="D11" s="129">
        <v>0</v>
      </c>
    </row>
    <row r="12" spans="1:7">
      <c r="A12" s="359">
        <f>+A11+1</f>
        <v>5</v>
      </c>
      <c r="B12" s="124" t="s">
        <v>282</v>
      </c>
      <c r="D12" s="129">
        <v>0</v>
      </c>
    </row>
    <row r="13" spans="1:7">
      <c r="D13" s="130"/>
    </row>
    <row r="14" spans="1:7">
      <c r="A14" s="124">
        <f>+A12+1</f>
        <v>6</v>
      </c>
      <c r="B14" s="124" t="s">
        <v>283</v>
      </c>
      <c r="C14" s="124" t="str">
        <f>"Sum lines "&amp;A9&amp;"-"&amp;A12&amp;" + line "&amp;A6&amp;""</f>
        <v>Sum lines 2-5 + line 1</v>
      </c>
      <c r="D14" s="128">
        <f>SUM(D9:D13)+D6</f>
        <v>0</v>
      </c>
    </row>
    <row r="15" spans="1:7">
      <c r="D15" s="128"/>
    </row>
    <row r="16" spans="1:7">
      <c r="D16" s="899"/>
      <c r="E16" s="479"/>
    </row>
    <row r="17" spans="1:8" s="126" customFormat="1">
      <c r="A17" s="124"/>
      <c r="B17" s="124"/>
      <c r="C17" s="124"/>
      <c r="D17" s="901"/>
      <c r="E17" s="130"/>
      <c r="F17" s="902"/>
    </row>
    <row r="18" spans="1:8" ht="82.5" customHeight="1">
      <c r="A18" s="359" t="s">
        <v>284</v>
      </c>
      <c r="B18" s="1303" t="s">
        <v>285</v>
      </c>
      <c r="C18" s="1303"/>
      <c r="D18" s="1303"/>
      <c r="E18" s="1303"/>
      <c r="F18" s="1303"/>
    </row>
    <row r="19" spans="1:8" ht="38.25" customHeight="1">
      <c r="A19" s="359" t="s">
        <v>286</v>
      </c>
      <c r="B19" s="1303" t="s">
        <v>287</v>
      </c>
      <c r="C19" s="1303"/>
      <c r="D19" s="1303"/>
      <c r="E19" s="1303"/>
      <c r="F19" s="1303"/>
    </row>
    <row r="21" spans="1:8">
      <c r="A21" s="359" t="s">
        <v>288</v>
      </c>
      <c r="B21" s="124" t="s">
        <v>289</v>
      </c>
      <c r="D21" s="128"/>
    </row>
    <row r="22" spans="1:8">
      <c r="A22" s="253"/>
      <c r="B22" s="253"/>
      <c r="C22" s="253"/>
      <c r="D22" s="253"/>
      <c r="E22" s="253"/>
      <c r="F22" s="253"/>
      <c r="G22" s="374"/>
      <c r="H22" s="374"/>
    </row>
    <row r="23" spans="1:8">
      <c r="A23" s="903" t="s">
        <v>290</v>
      </c>
      <c r="B23" s="253"/>
      <c r="C23" s="253"/>
      <c r="D23" s="253"/>
      <c r="E23" s="253"/>
      <c r="F23" s="904"/>
      <c r="G23" s="375"/>
      <c r="H23" s="375"/>
    </row>
    <row r="24" spans="1:8">
      <c r="A24" s="905">
        <v>1</v>
      </c>
      <c r="B24" s="124" t="s">
        <v>291</v>
      </c>
      <c r="C24" s="906" t="s">
        <v>292</v>
      </c>
      <c r="D24" s="906" t="s">
        <v>293</v>
      </c>
      <c r="E24" s="906" t="s">
        <v>294</v>
      </c>
      <c r="F24" s="906" t="s">
        <v>295</v>
      </c>
    </row>
    <row r="25" spans="1:8">
      <c r="A25" s="907" t="s">
        <v>296</v>
      </c>
      <c r="B25" s="908" t="s">
        <v>297</v>
      </c>
      <c r="C25" s="854">
        <f>SUM(D25:F25)</f>
        <v>116141679.53871013</v>
      </c>
      <c r="D25" s="909">
        <f>'4 - Incentives'!Q135</f>
        <v>116141679.53871013</v>
      </c>
      <c r="E25" s="909">
        <v>0</v>
      </c>
      <c r="F25" s="909">
        <v>0</v>
      </c>
    </row>
    <row r="26" spans="1:8">
      <c r="A26" s="907" t="s">
        <v>298</v>
      </c>
      <c r="B26" s="908"/>
      <c r="C26" s="854">
        <f>SUM(D26:F26)</f>
        <v>0</v>
      </c>
      <c r="D26" s="909">
        <v>0</v>
      </c>
      <c r="E26" s="909">
        <v>0</v>
      </c>
      <c r="F26" s="909">
        <v>0</v>
      </c>
    </row>
    <row r="27" spans="1:8">
      <c r="A27" s="907" t="s">
        <v>299</v>
      </c>
      <c r="B27" s="908" t="s">
        <v>300</v>
      </c>
      <c r="C27" s="854">
        <f>SUM(D27:F27)</f>
        <v>0</v>
      </c>
      <c r="D27" s="909">
        <v>0</v>
      </c>
      <c r="E27" s="909">
        <v>0</v>
      </c>
      <c r="F27" s="909">
        <v>0</v>
      </c>
    </row>
    <row r="28" spans="1:8">
      <c r="A28" s="907">
        <v>2</v>
      </c>
      <c r="B28" s="908" t="s">
        <v>301</v>
      </c>
      <c r="C28" s="854">
        <f>SUM(D28:F28)</f>
        <v>0</v>
      </c>
      <c r="D28" s="909">
        <v>0</v>
      </c>
      <c r="E28" s="909">
        <v>0</v>
      </c>
      <c r="F28" s="909">
        <v>0</v>
      </c>
    </row>
    <row r="29" spans="1:8">
      <c r="A29" s="905">
        <v>3</v>
      </c>
      <c r="B29" s="910" t="s">
        <v>43</v>
      </c>
      <c r="C29" s="911">
        <f>SUM(C25:C28)</f>
        <v>116141679.53871013</v>
      </c>
      <c r="D29" s="911">
        <f>SUM(D25:D28)</f>
        <v>116141679.53871013</v>
      </c>
      <c r="E29" s="911">
        <f>SUM(E25:E28)</f>
        <v>0</v>
      </c>
      <c r="F29" s="911">
        <f>SUM(F25:F28)</f>
        <v>0</v>
      </c>
    </row>
    <row r="30" spans="1:8">
      <c r="A30" s="905">
        <v>4</v>
      </c>
      <c r="B30" s="910" t="s">
        <v>302</v>
      </c>
      <c r="C30" s="854"/>
      <c r="D30" s="854"/>
      <c r="E30" s="854"/>
      <c r="F30" s="854"/>
    </row>
    <row r="31" spans="1:8">
      <c r="A31" s="905">
        <v>5</v>
      </c>
      <c r="B31" s="910" t="s">
        <v>303</v>
      </c>
      <c r="C31" s="854">
        <f>SUM(D31:F31)</f>
        <v>0</v>
      </c>
      <c r="D31" s="909">
        <v>0</v>
      </c>
      <c r="E31" s="909">
        <v>0</v>
      </c>
      <c r="F31" s="909">
        <v>0</v>
      </c>
    </row>
    <row r="32" spans="1:8">
      <c r="A32" s="905">
        <v>6</v>
      </c>
      <c r="B32" s="912" t="s">
        <v>304</v>
      </c>
      <c r="C32" s="911">
        <f>+C29-C31</f>
        <v>116141679.53871013</v>
      </c>
      <c r="D32" s="911">
        <f>+D29-D31</f>
        <v>116141679.53871013</v>
      </c>
      <c r="E32" s="911">
        <f>+E29-E31</f>
        <v>0</v>
      </c>
      <c r="F32" s="911">
        <f>+F29-F31</f>
        <v>0</v>
      </c>
    </row>
    <row r="33" spans="1:6">
      <c r="A33" s="905">
        <v>7</v>
      </c>
      <c r="B33" s="910" t="s">
        <v>305</v>
      </c>
      <c r="C33" s="909">
        <v>0</v>
      </c>
      <c r="D33" s="909">
        <v>0</v>
      </c>
      <c r="E33" s="909">
        <v>0</v>
      </c>
      <c r="F33" s="909">
        <v>0</v>
      </c>
    </row>
    <row r="34" spans="1:6">
      <c r="A34" s="479">
        <v>8</v>
      </c>
      <c r="B34" s="124" t="str">
        <f>+B46</f>
        <v>Total</v>
      </c>
      <c r="C34" s="901">
        <f>+C32+C33</f>
        <v>116141679.53871013</v>
      </c>
      <c r="D34" s="901">
        <f>+D32+D33</f>
        <v>116141679.53871013</v>
      </c>
      <c r="E34" s="901">
        <f>+E32+E33</f>
        <v>0</v>
      </c>
      <c r="F34" s="901">
        <f>+F32+F33</f>
        <v>0</v>
      </c>
    </row>
    <row r="35" spans="1:6">
      <c r="A35" s="479"/>
    </row>
    <row r="36" spans="1:6">
      <c r="A36" s="479">
        <v>9</v>
      </c>
      <c r="B36" s="124" t="s">
        <v>306</v>
      </c>
      <c r="C36" s="913" t="s">
        <v>169</v>
      </c>
      <c r="D36" s="124"/>
    </row>
    <row r="37" spans="1:6">
      <c r="A37" s="479" t="s">
        <v>307</v>
      </c>
      <c r="B37" s="914" t="s">
        <v>308</v>
      </c>
      <c r="C37" s="129">
        <v>0</v>
      </c>
      <c r="D37" s="124"/>
    </row>
    <row r="38" spans="1:6">
      <c r="A38" s="479" t="s">
        <v>309</v>
      </c>
      <c r="B38" s="914" t="s">
        <v>310</v>
      </c>
      <c r="C38" s="129">
        <v>0</v>
      </c>
      <c r="D38" s="124"/>
    </row>
    <row r="39" spans="1:6">
      <c r="A39" s="479" t="s">
        <v>311</v>
      </c>
      <c r="B39" s="914" t="s">
        <v>312</v>
      </c>
      <c r="C39" s="129">
        <v>0</v>
      </c>
      <c r="D39" s="124"/>
    </row>
    <row r="40" spans="1:6">
      <c r="A40" s="479" t="s">
        <v>313</v>
      </c>
      <c r="B40" s="914" t="s">
        <v>314</v>
      </c>
      <c r="C40" s="129">
        <v>0</v>
      </c>
      <c r="D40" s="124"/>
    </row>
    <row r="41" spans="1:6">
      <c r="A41" s="479" t="s">
        <v>315</v>
      </c>
      <c r="B41" s="914" t="s">
        <v>316</v>
      </c>
      <c r="C41" s="129">
        <v>0</v>
      </c>
      <c r="D41" s="124"/>
    </row>
    <row r="42" spans="1:6">
      <c r="A42" s="479" t="s">
        <v>317</v>
      </c>
      <c r="B42" s="914"/>
      <c r="C42" s="129">
        <v>0</v>
      </c>
      <c r="D42" s="124"/>
    </row>
    <row r="43" spans="1:6">
      <c r="A43" s="479" t="s">
        <v>318</v>
      </c>
      <c r="B43" s="914"/>
      <c r="C43" s="129">
        <v>0</v>
      </c>
      <c r="D43" s="124"/>
    </row>
    <row r="44" spans="1:6">
      <c r="A44" s="479" t="s">
        <v>298</v>
      </c>
      <c r="B44" s="914"/>
      <c r="C44" s="129"/>
      <c r="D44" s="124"/>
    </row>
    <row r="45" spans="1:6">
      <c r="A45" s="479" t="s">
        <v>319</v>
      </c>
      <c r="B45" s="914"/>
      <c r="C45" s="129">
        <v>0</v>
      </c>
      <c r="D45" s="124"/>
    </row>
    <row r="46" spans="1:6">
      <c r="A46" s="479">
        <v>10</v>
      </c>
      <c r="B46" s="914" t="s">
        <v>43</v>
      </c>
      <c r="C46" s="915">
        <f>SUM(C37:C45)</f>
        <v>0</v>
      </c>
      <c r="D46" s="124"/>
    </row>
    <row r="48" spans="1:6" ht="99" customHeight="1">
      <c r="A48" s="359"/>
      <c r="B48" s="1301"/>
      <c r="C48" s="1301"/>
      <c r="D48" s="1301"/>
      <c r="E48" s="1301"/>
      <c r="F48" s="1301"/>
    </row>
    <row r="123" spans="4:4">
      <c r="D123" s="900"/>
    </row>
    <row r="242" spans="7:7">
      <c r="G242" s="124"/>
    </row>
    <row r="243" spans="7:7" ht="99.75" customHeight="1">
      <c r="G243" s="124"/>
    </row>
    <row r="244" spans="7:7">
      <c r="G244" s="124"/>
    </row>
    <row r="245" spans="7:7">
      <c r="G245" s="124"/>
    </row>
    <row r="246" spans="7:7">
      <c r="G246" s="124"/>
    </row>
    <row r="247" spans="7:7">
      <c r="G247" s="124"/>
    </row>
    <row r="248" spans="7:7">
      <c r="G248" s="124"/>
    </row>
    <row r="249" spans="7:7">
      <c r="G249" s="124"/>
    </row>
    <row r="250" spans="7:7">
      <c r="G250" s="124"/>
    </row>
    <row r="251" spans="7:7">
      <c r="G251" s="124"/>
    </row>
    <row r="252" spans="7:7">
      <c r="G252" s="124"/>
    </row>
    <row r="253" spans="7:7">
      <c r="G253" s="124"/>
    </row>
    <row r="254" spans="7:7">
      <c r="G254" s="124"/>
    </row>
    <row r="255" spans="7:7">
      <c r="G255" s="124"/>
    </row>
    <row r="256" spans="7:7">
      <c r="G256" s="124"/>
    </row>
    <row r="257" spans="7:7">
      <c r="G257" s="124"/>
    </row>
    <row r="258" spans="7:7">
      <c r="G258" s="124"/>
    </row>
    <row r="259" spans="7:7">
      <c r="G259" s="124"/>
    </row>
    <row r="260" spans="7:7">
      <c r="G260" s="124"/>
    </row>
    <row r="261" spans="7:7">
      <c r="G261" s="124"/>
    </row>
    <row r="262" spans="7:7">
      <c r="G262" s="124"/>
    </row>
    <row r="263" spans="7:7">
      <c r="G263" s="124"/>
    </row>
    <row r="264" spans="7:7" ht="40.5" customHeight="1">
      <c r="G264" s="124"/>
    </row>
    <row r="265" spans="7:7">
      <c r="G265" s="124"/>
    </row>
  </sheetData>
  <mergeCells count="5">
    <mergeCell ref="B48:F48"/>
    <mergeCell ref="A1:D1"/>
    <mergeCell ref="A2:D2"/>
    <mergeCell ref="B18:F18"/>
    <mergeCell ref="B19:F19"/>
  </mergeCells>
  <phoneticPr fontId="0" type="noConversion"/>
  <pageMargins left="0.75" right="0.75" top="1.28" bottom="1" header="0.5" footer="0.5"/>
  <pageSetup scale="61" orientation="portrait" r:id="rId1"/>
  <headerFooter alignWithMargins="0"/>
  <rowBreaks count="1" manualBreakCount="1">
    <brk id="65"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R202"/>
  <sheetViews>
    <sheetView view="pageBreakPreview" zoomScale="90" zoomScaleNormal="100" zoomScaleSheetLayoutView="90" workbookViewId="0">
      <selection sqref="A1:F1"/>
    </sheetView>
  </sheetViews>
  <sheetFormatPr defaultColWidth="8.81640625" defaultRowHeight="15.6"/>
  <cols>
    <col min="1" max="1" width="5" style="479" customWidth="1"/>
    <col min="2" max="2" width="3.1796875" style="124" customWidth="1"/>
    <col min="3" max="3" width="48.1796875" style="124" customWidth="1"/>
    <col min="4" max="4" width="21" style="124" customWidth="1"/>
    <col min="5" max="5" width="13.6328125" style="124" customWidth="1"/>
    <col min="6" max="6" width="18.08984375" style="124" customWidth="1"/>
    <col min="7" max="7" width="2.6328125" style="124" customWidth="1"/>
    <col min="8" max="12" width="13.54296875" style="98" customWidth="1"/>
    <col min="13" max="13" width="11.81640625" style="98" customWidth="1"/>
    <col min="14" max="14" width="2.6328125" style="98" customWidth="1"/>
    <col min="15" max="15" width="10.6328125" style="98" customWidth="1"/>
    <col min="16" max="16" width="10.453125" style="98" customWidth="1"/>
    <col min="17" max="18" width="7.54296875" style="98" customWidth="1"/>
    <col min="19" max="16384" width="8.81640625" style="98"/>
  </cols>
  <sheetData>
    <row r="1" spans="1:18" ht="22.5" customHeight="1">
      <c r="A1" s="1302" t="s">
        <v>320</v>
      </c>
      <c r="B1" s="1302"/>
      <c r="C1" s="1302"/>
      <c r="D1" s="1302"/>
      <c r="E1" s="1302"/>
      <c r="F1" s="1302"/>
      <c r="G1" s="1279"/>
      <c r="H1" s="622"/>
      <c r="I1" s="622"/>
      <c r="J1" s="622"/>
      <c r="K1" s="622"/>
      <c r="L1" s="622"/>
      <c r="M1" s="622"/>
      <c r="N1" s="622"/>
      <c r="O1" s="622"/>
      <c r="P1" s="622"/>
      <c r="Q1" s="622"/>
      <c r="R1" s="622"/>
    </row>
    <row r="2" spans="1:18" ht="17.399999999999999">
      <c r="A2" s="1302" t="str">
        <f>'Appendix A'!$E$9</f>
        <v>New York Transco LLC</v>
      </c>
      <c r="B2" s="1302"/>
      <c r="C2" s="1302"/>
      <c r="D2" s="1302"/>
      <c r="E2" s="1302"/>
      <c r="F2" s="1302"/>
      <c r="G2" s="1279"/>
      <c r="H2" s="622"/>
      <c r="I2" s="622"/>
      <c r="J2" s="622"/>
      <c r="K2" s="622"/>
      <c r="L2" s="622"/>
      <c r="M2" s="622"/>
      <c r="N2" s="622"/>
      <c r="O2" s="622"/>
      <c r="P2" s="622"/>
      <c r="Q2" s="622"/>
      <c r="R2" s="622"/>
    </row>
    <row r="4" spans="1:18" ht="16.2" thickBot="1">
      <c r="A4" s="480" t="s">
        <v>321</v>
      </c>
    </row>
    <row r="5" spans="1:18">
      <c r="A5" s="1306"/>
      <c r="B5" s="1307"/>
      <c r="C5" s="1307"/>
      <c r="D5" s="1307"/>
      <c r="E5" s="1307"/>
      <c r="F5" s="1308"/>
      <c r="G5" s="1280"/>
      <c r="H5" s="621"/>
      <c r="I5" s="621"/>
      <c r="J5" s="621"/>
      <c r="K5" s="621"/>
      <c r="L5" s="621"/>
      <c r="M5" s="1249"/>
      <c r="N5" s="621"/>
      <c r="O5" s="1304"/>
      <c r="P5" s="1305"/>
      <c r="Q5" s="1305"/>
      <c r="R5" s="1305"/>
    </row>
    <row r="6" spans="1:18" ht="40.200000000000003">
      <c r="A6" s="481">
        <v>1</v>
      </c>
      <c r="C6" s="482" t="s">
        <v>322</v>
      </c>
      <c r="D6" s="124" t="s">
        <v>323</v>
      </c>
      <c r="E6" s="479" t="s">
        <v>324</v>
      </c>
      <c r="F6" s="917" t="s">
        <v>325</v>
      </c>
      <c r="G6" s="483"/>
      <c r="H6" s="1275" t="s">
        <v>1203</v>
      </c>
      <c r="I6" s="1275" t="s">
        <v>1206</v>
      </c>
      <c r="J6" s="1275" t="s">
        <v>1207</v>
      </c>
      <c r="K6" s="1275" t="s">
        <v>326</v>
      </c>
      <c r="L6" s="1275" t="s">
        <v>327</v>
      </c>
      <c r="M6" s="1261" t="s">
        <v>328</v>
      </c>
      <c r="O6" s="141"/>
      <c r="P6" s="141"/>
      <c r="Q6" s="141"/>
      <c r="R6" s="141"/>
    </row>
    <row r="7" spans="1:18">
      <c r="A7" s="481">
        <f t="shared" ref="A7:A20" si="0">+A6+1</f>
        <v>2</v>
      </c>
      <c r="C7" s="124" t="s">
        <v>329</v>
      </c>
      <c r="D7" s="478" t="s">
        <v>330</v>
      </c>
      <c r="E7" s="1072">
        <v>2022</v>
      </c>
      <c r="F7" s="918">
        <v>324822604</v>
      </c>
      <c r="G7" s="1281"/>
      <c r="H7" s="1262">
        <f>252549039-36576001-1498426</f>
        <v>214474612</v>
      </c>
      <c r="I7" s="1262">
        <v>0</v>
      </c>
      <c r="J7" s="1262">
        <v>36576001</v>
      </c>
      <c r="K7" s="1262">
        <v>0</v>
      </c>
      <c r="L7" s="1262">
        <v>0</v>
      </c>
      <c r="M7" s="1262">
        <v>73771991</v>
      </c>
      <c r="N7" s="142"/>
      <c r="O7" s="1277">
        <f>SUM(G7:N7)</f>
        <v>324822604</v>
      </c>
      <c r="P7" s="141"/>
      <c r="Q7" s="141"/>
      <c r="R7" s="141"/>
    </row>
    <row r="8" spans="1:18">
      <c r="A8" s="481">
        <f t="shared" si="0"/>
        <v>3</v>
      </c>
      <c r="C8" s="919" t="s">
        <v>331</v>
      </c>
      <c r="D8" s="124" t="s">
        <v>332</v>
      </c>
      <c r="E8" s="1072">
        <v>2023</v>
      </c>
      <c r="F8" s="918">
        <v>324822604</v>
      </c>
      <c r="G8" s="1281"/>
      <c r="H8" s="1262">
        <f>252549039-36576001-1498426</f>
        <v>214474612</v>
      </c>
      <c r="I8" s="1262">
        <v>0</v>
      </c>
      <c r="J8" s="1262">
        <v>36576001</v>
      </c>
      <c r="K8" s="1262">
        <v>0</v>
      </c>
      <c r="L8" s="1262">
        <v>0</v>
      </c>
      <c r="M8" s="1262">
        <v>73771991</v>
      </c>
      <c r="O8" s="1277">
        <f t="shared" ref="O8:O20" si="1">SUM(G8:N8)</f>
        <v>324822604</v>
      </c>
      <c r="P8" s="141"/>
      <c r="Q8" s="141"/>
      <c r="R8" s="141"/>
    </row>
    <row r="9" spans="1:18">
      <c r="A9" s="481">
        <f t="shared" si="0"/>
        <v>4</v>
      </c>
      <c r="B9" s="479"/>
      <c r="C9" s="919" t="s">
        <v>333</v>
      </c>
      <c r="D9" s="124" t="s">
        <v>332</v>
      </c>
      <c r="E9" s="1072">
        <f>+$E$8</f>
        <v>2023</v>
      </c>
      <c r="F9" s="918">
        <v>324822604</v>
      </c>
      <c r="G9" s="1281"/>
      <c r="H9" s="1262">
        <f t="shared" ref="H9:H11" si="2">252549039-36576001-1498426</f>
        <v>214474612</v>
      </c>
      <c r="I9" s="1262">
        <v>0</v>
      </c>
      <c r="J9" s="1262">
        <v>36576001</v>
      </c>
      <c r="K9" s="1262">
        <v>0</v>
      </c>
      <c r="L9" s="1262">
        <v>0</v>
      </c>
      <c r="M9" s="1262">
        <v>73771991</v>
      </c>
      <c r="N9" s="127"/>
      <c r="O9" s="1277">
        <f t="shared" si="1"/>
        <v>324822604</v>
      </c>
      <c r="P9" s="141"/>
      <c r="Q9" s="141"/>
      <c r="R9" s="141"/>
    </row>
    <row r="10" spans="1:18">
      <c r="A10" s="481">
        <f t="shared" si="0"/>
        <v>5</v>
      </c>
      <c r="B10" s="479"/>
      <c r="C10" s="919" t="s">
        <v>334</v>
      </c>
      <c r="D10" s="124" t="s">
        <v>332</v>
      </c>
      <c r="E10" s="1072">
        <f t="shared" ref="E10:E19" si="3">+$E$8</f>
        <v>2023</v>
      </c>
      <c r="F10" s="918">
        <v>324822604</v>
      </c>
      <c r="G10" s="1281"/>
      <c r="H10" s="1262">
        <f t="shared" si="2"/>
        <v>214474612</v>
      </c>
      <c r="I10" s="1262">
        <v>0</v>
      </c>
      <c r="J10" s="1262">
        <v>36576001</v>
      </c>
      <c r="K10" s="1262">
        <v>0</v>
      </c>
      <c r="L10" s="1262">
        <v>0</v>
      </c>
      <c r="M10" s="1262">
        <v>73771991</v>
      </c>
      <c r="N10" s="127"/>
      <c r="O10" s="1277">
        <f t="shared" si="1"/>
        <v>324822604</v>
      </c>
      <c r="P10" s="141"/>
      <c r="Q10" s="141"/>
      <c r="R10" s="141"/>
    </row>
    <row r="11" spans="1:18">
      <c r="A11" s="481">
        <f t="shared" si="0"/>
        <v>6</v>
      </c>
      <c r="C11" s="919" t="s">
        <v>335</v>
      </c>
      <c r="D11" s="124" t="s">
        <v>332</v>
      </c>
      <c r="E11" s="1072">
        <f t="shared" si="3"/>
        <v>2023</v>
      </c>
      <c r="F11" s="918">
        <v>324822604</v>
      </c>
      <c r="G11" s="1281"/>
      <c r="H11" s="1262">
        <f t="shared" si="2"/>
        <v>214474612</v>
      </c>
      <c r="I11" s="1262">
        <v>0</v>
      </c>
      <c r="J11" s="1262">
        <v>36576001</v>
      </c>
      <c r="K11" s="1262">
        <v>0</v>
      </c>
      <c r="L11" s="1262">
        <v>0</v>
      </c>
      <c r="M11" s="1262">
        <v>73771991</v>
      </c>
      <c r="N11" s="127"/>
      <c r="O11" s="1277">
        <f t="shared" si="1"/>
        <v>324822604</v>
      </c>
      <c r="P11" s="141"/>
      <c r="Q11" s="141"/>
      <c r="R11" s="141"/>
    </row>
    <row r="12" spans="1:18">
      <c r="A12" s="481">
        <f t="shared" si="0"/>
        <v>7</v>
      </c>
      <c r="C12" s="919" t="s">
        <v>336</v>
      </c>
      <c r="D12" s="124" t="s">
        <v>332</v>
      </c>
      <c r="E12" s="1072">
        <f t="shared" si="3"/>
        <v>2023</v>
      </c>
      <c r="F12" s="918">
        <v>693421317</v>
      </c>
      <c r="G12" s="1281"/>
      <c r="H12" s="1262">
        <f>365000000-1498426</f>
        <v>363501574</v>
      </c>
      <c r="I12" s="1262">
        <v>1882805</v>
      </c>
      <c r="J12" s="1262">
        <f>191783582-26441306</f>
        <v>165342276</v>
      </c>
      <c r="K12" s="1262">
        <v>88922671</v>
      </c>
      <c r="L12" s="1262">
        <v>0</v>
      </c>
      <c r="M12" s="1262">
        <v>73771991</v>
      </c>
      <c r="O12" s="1277">
        <f t="shared" si="1"/>
        <v>693421317</v>
      </c>
    </row>
    <row r="13" spans="1:18">
      <c r="A13" s="481">
        <f t="shared" si="0"/>
        <v>8</v>
      </c>
      <c r="C13" s="919" t="s">
        <v>337</v>
      </c>
      <c r="D13" s="124" t="s">
        <v>332</v>
      </c>
      <c r="E13" s="1072">
        <f t="shared" si="3"/>
        <v>2023</v>
      </c>
      <c r="F13" s="918">
        <v>698568142</v>
      </c>
      <c r="G13" s="1281"/>
      <c r="H13" s="1262">
        <f t="shared" ref="H13:H19" si="4">365000000-1498426</f>
        <v>363501574</v>
      </c>
      <c r="I13" s="1262">
        <v>3669390</v>
      </c>
      <c r="J13" s="1262">
        <f>193283582-26441306</f>
        <v>166842276</v>
      </c>
      <c r="K13" s="1262">
        <v>90782911</v>
      </c>
      <c r="L13" s="1262">
        <v>0</v>
      </c>
      <c r="M13" s="1262">
        <v>73771991</v>
      </c>
      <c r="N13" s="142"/>
      <c r="O13" s="1277">
        <f t="shared" si="1"/>
        <v>698568142</v>
      </c>
      <c r="P13" s="141"/>
      <c r="Q13" s="141"/>
      <c r="R13" s="141"/>
    </row>
    <row r="14" spans="1:18">
      <c r="A14" s="481">
        <f t="shared" si="0"/>
        <v>9</v>
      </c>
      <c r="C14" s="919" t="s">
        <v>338</v>
      </c>
      <c r="D14" s="124" t="s">
        <v>332</v>
      </c>
      <c r="E14" s="1072">
        <f t="shared" si="3"/>
        <v>2023</v>
      </c>
      <c r="F14" s="918">
        <v>706947969</v>
      </c>
      <c r="G14" s="1281"/>
      <c r="H14" s="1262">
        <f t="shared" si="4"/>
        <v>363501574</v>
      </c>
      <c r="I14" s="1262">
        <v>4489611</v>
      </c>
      <c r="J14" s="1262">
        <f>198283582-26441306</f>
        <v>171842276</v>
      </c>
      <c r="K14" s="1262">
        <v>93342517</v>
      </c>
      <c r="L14" s="1262">
        <v>0</v>
      </c>
      <c r="M14" s="1262">
        <v>73771991</v>
      </c>
      <c r="O14" s="1277">
        <f t="shared" si="1"/>
        <v>706947969</v>
      </c>
      <c r="P14" s="141"/>
      <c r="Q14" s="141"/>
      <c r="R14" s="141"/>
    </row>
    <row r="15" spans="1:18">
      <c r="A15" s="481">
        <f t="shared" si="0"/>
        <v>10</v>
      </c>
      <c r="B15" s="479"/>
      <c r="C15" s="919" t="s">
        <v>339</v>
      </c>
      <c r="D15" s="124" t="s">
        <v>332</v>
      </c>
      <c r="E15" s="1072">
        <f t="shared" si="3"/>
        <v>2023</v>
      </c>
      <c r="F15" s="918">
        <v>710497748</v>
      </c>
      <c r="G15" s="1281"/>
      <c r="H15" s="1262">
        <f t="shared" si="4"/>
        <v>363501574</v>
      </c>
      <c r="I15" s="1262">
        <v>4890449</v>
      </c>
      <c r="J15" s="1262">
        <f>200283582-26441306</f>
        <v>173842276</v>
      </c>
      <c r="K15" s="1262">
        <v>94491458</v>
      </c>
      <c r="L15" s="1262">
        <v>0</v>
      </c>
      <c r="M15" s="1262">
        <v>73771991</v>
      </c>
      <c r="N15" s="127"/>
      <c r="O15" s="1277">
        <f t="shared" si="1"/>
        <v>710497748</v>
      </c>
      <c r="P15" s="141"/>
      <c r="Q15" s="141"/>
      <c r="R15" s="141"/>
    </row>
    <row r="16" spans="1:18">
      <c r="A16" s="481">
        <f t="shared" si="0"/>
        <v>11</v>
      </c>
      <c r="B16" s="479"/>
      <c r="C16" s="919" t="s">
        <v>340</v>
      </c>
      <c r="D16" s="124" t="s">
        <v>332</v>
      </c>
      <c r="E16" s="1072">
        <f t="shared" si="3"/>
        <v>2023</v>
      </c>
      <c r="F16" s="918">
        <v>712518845</v>
      </c>
      <c r="G16" s="1281"/>
      <c r="H16" s="1262">
        <f t="shared" si="4"/>
        <v>363501574</v>
      </c>
      <c r="I16" s="1262">
        <v>5090449</v>
      </c>
      <c r="J16" s="1262">
        <f>201683582-26441306</f>
        <v>175242276</v>
      </c>
      <c r="K16" s="1262">
        <v>94912555</v>
      </c>
      <c r="L16" s="1262">
        <v>0</v>
      </c>
      <c r="M16" s="1262">
        <v>73771991</v>
      </c>
      <c r="N16" s="127"/>
      <c r="O16" s="1277">
        <f t="shared" si="1"/>
        <v>712518845</v>
      </c>
      <c r="P16" s="141"/>
      <c r="Q16" s="141"/>
      <c r="R16" s="141"/>
    </row>
    <row r="17" spans="1:18">
      <c r="A17" s="481">
        <f t="shared" si="0"/>
        <v>12</v>
      </c>
      <c r="C17" s="919" t="s">
        <v>341</v>
      </c>
      <c r="D17" s="124" t="s">
        <v>332</v>
      </c>
      <c r="E17" s="1072">
        <f t="shared" si="3"/>
        <v>2023</v>
      </c>
      <c r="F17" s="918">
        <v>715503512</v>
      </c>
      <c r="G17" s="1281"/>
      <c r="H17" s="1262">
        <f t="shared" si="4"/>
        <v>363501574</v>
      </c>
      <c r="I17" s="1262">
        <v>5290449</v>
      </c>
      <c r="J17" s="1262">
        <f>202951582-26441306</f>
        <v>176510276</v>
      </c>
      <c r="K17" s="1262">
        <v>96429222</v>
      </c>
      <c r="L17" s="1262">
        <v>0</v>
      </c>
      <c r="M17" s="1262">
        <v>73771991</v>
      </c>
      <c r="N17" s="127"/>
      <c r="O17" s="1277">
        <f t="shared" si="1"/>
        <v>715503512</v>
      </c>
      <c r="P17" s="141"/>
      <c r="Q17" s="141"/>
      <c r="R17" s="141"/>
    </row>
    <row r="18" spans="1:18">
      <c r="A18" s="481">
        <f t="shared" si="0"/>
        <v>13</v>
      </c>
      <c r="C18" s="919" t="s">
        <v>342</v>
      </c>
      <c r="D18" s="124" t="s">
        <v>332</v>
      </c>
      <c r="E18" s="1072">
        <f t="shared" si="3"/>
        <v>2023</v>
      </c>
      <c r="F18" s="918">
        <v>718779640</v>
      </c>
      <c r="G18" s="1281"/>
      <c r="H18" s="1262">
        <f t="shared" si="4"/>
        <v>363501574</v>
      </c>
      <c r="I18" s="1262">
        <v>5290449</v>
      </c>
      <c r="J18" s="1262">
        <f>203351582-26441306</f>
        <v>176910276</v>
      </c>
      <c r="K18" s="1262">
        <v>99305350</v>
      </c>
      <c r="L18" s="1262">
        <v>0</v>
      </c>
      <c r="M18" s="1262">
        <v>73771991</v>
      </c>
      <c r="N18" s="142"/>
      <c r="O18" s="1277">
        <f t="shared" si="1"/>
        <v>718779640</v>
      </c>
      <c r="P18" s="141"/>
      <c r="Q18" s="141"/>
      <c r="R18" s="141"/>
    </row>
    <row r="19" spans="1:18">
      <c r="A19" s="481">
        <f t="shared" si="0"/>
        <v>14</v>
      </c>
      <c r="C19" s="920" t="s">
        <v>329</v>
      </c>
      <c r="D19" s="916" t="s">
        <v>343</v>
      </c>
      <c r="E19" s="1073">
        <f t="shared" si="3"/>
        <v>2023</v>
      </c>
      <c r="F19" s="921">
        <v>799416038</v>
      </c>
      <c r="G19" s="1281"/>
      <c r="H19" s="1287">
        <f t="shared" si="4"/>
        <v>363501574</v>
      </c>
      <c r="I19" s="1262">
        <v>5290449</v>
      </c>
      <c r="J19" s="1262">
        <f>203567618-26441306</f>
        <v>177126312</v>
      </c>
      <c r="K19" s="1262">
        <v>99766980</v>
      </c>
      <c r="L19" s="1262">
        <v>79958732</v>
      </c>
      <c r="M19" s="1262">
        <v>73771991</v>
      </c>
      <c r="N19" s="142"/>
      <c r="O19" s="1277">
        <f t="shared" si="1"/>
        <v>799416038</v>
      </c>
    </row>
    <row r="20" spans="1:18">
      <c r="A20" s="481">
        <f t="shared" si="0"/>
        <v>15</v>
      </c>
      <c r="C20" s="922" t="s">
        <v>344</v>
      </c>
      <c r="D20" s="124" t="str">
        <f>"(sum lines "&amp;A7&amp;"-"&amp;A19&amp;") /13"</f>
        <v>(sum lines 2-14) /13</v>
      </c>
      <c r="E20" s="923"/>
      <c r="F20" s="924">
        <f t="shared" ref="F20:M20" si="5">SUM(F7:F19)/13</f>
        <v>567674325.46153843</v>
      </c>
      <c r="G20" s="1282"/>
      <c r="H20" s="1267">
        <f>SUM(H7:H19)/13</f>
        <v>306183511.69230771</v>
      </c>
      <c r="I20" s="1267">
        <f t="shared" si="5"/>
        <v>2761080.846153846</v>
      </c>
      <c r="J20" s="1267">
        <f t="shared" si="5"/>
        <v>120502942.23076923</v>
      </c>
      <c r="K20" s="1267">
        <f>SUM(K7:K19)/13</f>
        <v>58304128</v>
      </c>
      <c r="L20" s="1267">
        <f t="shared" si="5"/>
        <v>6150671.692307692</v>
      </c>
      <c r="M20" s="1267">
        <f t="shared" si="5"/>
        <v>73771991</v>
      </c>
      <c r="O20" s="1277">
        <f t="shared" si="1"/>
        <v>567674325.46153855</v>
      </c>
      <c r="P20" s="141"/>
      <c r="Q20" s="141"/>
      <c r="R20" s="141"/>
    </row>
    <row r="21" spans="1:18">
      <c r="A21" s="481"/>
      <c r="B21" s="479"/>
      <c r="C21" s="919"/>
      <c r="E21" s="925"/>
      <c r="F21" s="926"/>
      <c r="G21" s="919"/>
      <c r="H21" s="1262"/>
      <c r="I21" s="1262"/>
      <c r="J21" s="1262"/>
      <c r="K21" s="1262"/>
      <c r="L21" s="1262"/>
      <c r="M21" s="1263"/>
      <c r="N21" s="127"/>
      <c r="O21" s="141"/>
      <c r="P21" s="141"/>
      <c r="Q21" s="141"/>
      <c r="R21" s="141"/>
    </row>
    <row r="22" spans="1:18">
      <c r="A22" s="481">
        <f>+A20+1</f>
        <v>16</v>
      </c>
      <c r="C22" s="482" t="s">
        <v>345</v>
      </c>
      <c r="D22" s="124" t="s">
        <v>323</v>
      </c>
      <c r="E22" s="479"/>
      <c r="F22" s="487"/>
      <c r="H22" s="1264"/>
      <c r="I22" s="1264"/>
      <c r="J22" s="1264"/>
      <c r="K22" s="1264"/>
      <c r="L22" s="1264"/>
      <c r="M22" s="1264"/>
      <c r="O22" s="141"/>
      <c r="P22" s="141"/>
      <c r="Q22" s="141"/>
      <c r="R22" s="141"/>
    </row>
    <row r="23" spans="1:18">
      <c r="A23" s="481">
        <f t="shared" ref="A23:A36" si="6">+A22+1</f>
        <v>17</v>
      </c>
      <c r="C23" s="124" t="s">
        <v>329</v>
      </c>
      <c r="D23" s="478" t="s">
        <v>346</v>
      </c>
      <c r="E23" s="1072">
        <f>+$E$7</f>
        <v>2022</v>
      </c>
      <c r="F23" s="918">
        <v>0</v>
      </c>
      <c r="G23" s="1281"/>
      <c r="H23" s="1262">
        <v>0</v>
      </c>
      <c r="I23" s="1262">
        <v>0</v>
      </c>
      <c r="J23" s="1262">
        <v>0</v>
      </c>
      <c r="K23" s="1262">
        <v>0</v>
      </c>
      <c r="L23" s="1262">
        <v>0</v>
      </c>
      <c r="M23" s="1262">
        <v>0</v>
      </c>
      <c r="N23" s="142"/>
      <c r="O23" s="1277">
        <f t="shared" ref="O23:O36" si="7">SUM(G23:N23)</f>
        <v>0</v>
      </c>
      <c r="P23" s="141"/>
      <c r="Q23" s="141"/>
      <c r="R23" s="141"/>
    </row>
    <row r="24" spans="1:18">
      <c r="A24" s="481">
        <f t="shared" si="6"/>
        <v>18</v>
      </c>
      <c r="C24" s="919" t="s">
        <v>331</v>
      </c>
      <c r="D24" s="124" t="s">
        <v>332</v>
      </c>
      <c r="E24" s="1072">
        <f>+$E$8</f>
        <v>2023</v>
      </c>
      <c r="F24" s="918">
        <v>0</v>
      </c>
      <c r="G24" s="1281"/>
      <c r="H24" s="1262">
        <v>0</v>
      </c>
      <c r="I24" s="1262">
        <v>0</v>
      </c>
      <c r="J24" s="1262">
        <v>0</v>
      </c>
      <c r="K24" s="1262">
        <v>0</v>
      </c>
      <c r="L24" s="1262">
        <v>0</v>
      </c>
      <c r="M24" s="1262">
        <v>0</v>
      </c>
      <c r="O24" s="1277">
        <f t="shared" si="7"/>
        <v>0</v>
      </c>
      <c r="P24" s="141"/>
      <c r="Q24" s="141"/>
      <c r="R24" s="141"/>
    </row>
    <row r="25" spans="1:18">
      <c r="A25" s="481">
        <f t="shared" si="6"/>
        <v>19</v>
      </c>
      <c r="B25" s="479"/>
      <c r="C25" s="919" t="s">
        <v>333</v>
      </c>
      <c r="D25" s="124" t="s">
        <v>332</v>
      </c>
      <c r="E25" s="1072">
        <f t="shared" ref="E25:E35" si="8">+$E$8</f>
        <v>2023</v>
      </c>
      <c r="F25" s="918">
        <v>0</v>
      </c>
      <c r="G25" s="1281"/>
      <c r="H25" s="1262">
        <v>0</v>
      </c>
      <c r="I25" s="1262">
        <v>0</v>
      </c>
      <c r="J25" s="1262">
        <v>0</v>
      </c>
      <c r="K25" s="1262">
        <v>0</v>
      </c>
      <c r="L25" s="1262">
        <v>0</v>
      </c>
      <c r="M25" s="1262">
        <v>0</v>
      </c>
      <c r="N25" s="127"/>
      <c r="O25" s="1277">
        <f t="shared" si="7"/>
        <v>0</v>
      </c>
      <c r="P25" s="141"/>
      <c r="Q25" s="141"/>
      <c r="R25" s="141"/>
    </row>
    <row r="26" spans="1:18">
      <c r="A26" s="481">
        <f t="shared" si="6"/>
        <v>20</v>
      </c>
      <c r="B26" s="479"/>
      <c r="C26" s="919" t="s">
        <v>334</v>
      </c>
      <c r="D26" s="124" t="s">
        <v>332</v>
      </c>
      <c r="E26" s="1072">
        <f t="shared" si="8"/>
        <v>2023</v>
      </c>
      <c r="F26" s="918">
        <v>0</v>
      </c>
      <c r="G26" s="1281"/>
      <c r="H26" s="1262">
        <v>0</v>
      </c>
      <c r="I26" s="1262">
        <v>0</v>
      </c>
      <c r="J26" s="1262">
        <v>0</v>
      </c>
      <c r="K26" s="1262">
        <v>0</v>
      </c>
      <c r="L26" s="1262">
        <v>0</v>
      </c>
      <c r="M26" s="1262">
        <v>0</v>
      </c>
      <c r="N26" s="127"/>
      <c r="O26" s="1277">
        <f t="shared" si="7"/>
        <v>0</v>
      </c>
      <c r="P26" s="141"/>
      <c r="Q26" s="141"/>
      <c r="R26" s="141"/>
    </row>
    <row r="27" spans="1:18">
      <c r="A27" s="481">
        <f t="shared" si="6"/>
        <v>21</v>
      </c>
      <c r="C27" s="919" t="s">
        <v>335</v>
      </c>
      <c r="D27" s="124" t="s">
        <v>332</v>
      </c>
      <c r="E27" s="1072">
        <f t="shared" si="8"/>
        <v>2023</v>
      </c>
      <c r="F27" s="918">
        <v>0</v>
      </c>
      <c r="G27" s="1281"/>
      <c r="H27" s="1262">
        <v>0</v>
      </c>
      <c r="I27" s="1262">
        <v>0</v>
      </c>
      <c r="J27" s="1262">
        <v>0</v>
      </c>
      <c r="K27" s="1262">
        <v>0</v>
      </c>
      <c r="L27" s="1262">
        <v>0</v>
      </c>
      <c r="M27" s="1262">
        <v>0</v>
      </c>
      <c r="N27" s="127"/>
      <c r="O27" s="1277">
        <f t="shared" si="7"/>
        <v>0</v>
      </c>
      <c r="P27" s="141"/>
      <c r="Q27" s="141"/>
      <c r="R27" s="141"/>
    </row>
    <row r="28" spans="1:18">
      <c r="A28" s="481">
        <f t="shared" si="6"/>
        <v>22</v>
      </c>
      <c r="C28" s="919" t="s">
        <v>336</v>
      </c>
      <c r="D28" s="124" t="s">
        <v>332</v>
      </c>
      <c r="E28" s="1072">
        <f t="shared" si="8"/>
        <v>2023</v>
      </c>
      <c r="F28" s="918">
        <v>0</v>
      </c>
      <c r="G28" s="1281"/>
      <c r="H28" s="1262">
        <v>0</v>
      </c>
      <c r="I28" s="1262">
        <v>0</v>
      </c>
      <c r="J28" s="1262">
        <v>0</v>
      </c>
      <c r="K28" s="1262">
        <v>0</v>
      </c>
      <c r="L28" s="1262">
        <v>0</v>
      </c>
      <c r="M28" s="1262">
        <v>0</v>
      </c>
      <c r="O28" s="1277">
        <f t="shared" si="7"/>
        <v>0</v>
      </c>
    </row>
    <row r="29" spans="1:18">
      <c r="A29" s="481">
        <f t="shared" si="6"/>
        <v>23</v>
      </c>
      <c r="C29" s="919" t="s">
        <v>337</v>
      </c>
      <c r="D29" s="124" t="s">
        <v>332</v>
      </c>
      <c r="E29" s="1072">
        <f t="shared" si="8"/>
        <v>2023</v>
      </c>
      <c r="F29" s="918">
        <v>0</v>
      </c>
      <c r="G29" s="1281"/>
      <c r="H29" s="1262">
        <v>0</v>
      </c>
      <c r="I29" s="1262">
        <v>0</v>
      </c>
      <c r="J29" s="1262">
        <v>0</v>
      </c>
      <c r="K29" s="1262">
        <v>0</v>
      </c>
      <c r="L29" s="1262">
        <v>0</v>
      </c>
      <c r="M29" s="1262">
        <v>0</v>
      </c>
      <c r="N29" s="142"/>
      <c r="O29" s="1277">
        <f t="shared" si="7"/>
        <v>0</v>
      </c>
      <c r="P29" s="141"/>
      <c r="Q29" s="141"/>
      <c r="R29" s="141"/>
    </row>
    <row r="30" spans="1:18">
      <c r="A30" s="481">
        <f t="shared" si="6"/>
        <v>24</v>
      </c>
      <c r="C30" s="919" t="s">
        <v>338</v>
      </c>
      <c r="D30" s="124" t="s">
        <v>332</v>
      </c>
      <c r="E30" s="1072">
        <f t="shared" si="8"/>
        <v>2023</v>
      </c>
      <c r="F30" s="918">
        <v>0</v>
      </c>
      <c r="G30" s="1281"/>
      <c r="H30" s="1262">
        <v>0</v>
      </c>
      <c r="I30" s="1262">
        <v>0</v>
      </c>
      <c r="J30" s="1262">
        <v>0</v>
      </c>
      <c r="K30" s="1262">
        <v>0</v>
      </c>
      <c r="L30" s="1262">
        <v>0</v>
      </c>
      <c r="M30" s="1262">
        <v>0</v>
      </c>
      <c r="O30" s="1277">
        <f t="shared" si="7"/>
        <v>0</v>
      </c>
      <c r="P30" s="141"/>
      <c r="Q30" s="141"/>
      <c r="R30" s="141"/>
    </row>
    <row r="31" spans="1:18">
      <c r="A31" s="481">
        <f t="shared" si="6"/>
        <v>25</v>
      </c>
      <c r="B31" s="479"/>
      <c r="C31" s="919" t="s">
        <v>339</v>
      </c>
      <c r="D31" s="124" t="s">
        <v>332</v>
      </c>
      <c r="E31" s="1072">
        <f t="shared" si="8"/>
        <v>2023</v>
      </c>
      <c r="F31" s="918">
        <v>0</v>
      </c>
      <c r="G31" s="1281"/>
      <c r="H31" s="1262">
        <v>0</v>
      </c>
      <c r="I31" s="1262">
        <v>0</v>
      </c>
      <c r="J31" s="1262">
        <v>0</v>
      </c>
      <c r="K31" s="1262">
        <v>0</v>
      </c>
      <c r="L31" s="1262">
        <v>0</v>
      </c>
      <c r="M31" s="1262">
        <v>0</v>
      </c>
      <c r="N31" s="127"/>
      <c r="O31" s="1277">
        <f t="shared" si="7"/>
        <v>0</v>
      </c>
      <c r="P31" s="141"/>
      <c r="Q31" s="141"/>
      <c r="R31" s="141"/>
    </row>
    <row r="32" spans="1:18">
      <c r="A32" s="481">
        <f t="shared" si="6"/>
        <v>26</v>
      </c>
      <c r="B32" s="479"/>
      <c r="C32" s="919" t="s">
        <v>340</v>
      </c>
      <c r="D32" s="124" t="s">
        <v>332</v>
      </c>
      <c r="E32" s="1072">
        <f t="shared" si="8"/>
        <v>2023</v>
      </c>
      <c r="F32" s="918">
        <v>0</v>
      </c>
      <c r="G32" s="1281"/>
      <c r="H32" s="1262">
        <v>0</v>
      </c>
      <c r="I32" s="1262">
        <v>0</v>
      </c>
      <c r="J32" s="1262">
        <v>0</v>
      </c>
      <c r="K32" s="1262">
        <v>0</v>
      </c>
      <c r="L32" s="1262">
        <v>0</v>
      </c>
      <c r="M32" s="1262">
        <v>0</v>
      </c>
      <c r="N32" s="127"/>
      <c r="O32" s="1277">
        <f t="shared" si="7"/>
        <v>0</v>
      </c>
      <c r="P32" s="141"/>
      <c r="Q32" s="141"/>
      <c r="R32" s="141"/>
    </row>
    <row r="33" spans="1:18">
      <c r="A33" s="481">
        <f t="shared" si="6"/>
        <v>27</v>
      </c>
      <c r="C33" s="919" t="s">
        <v>347</v>
      </c>
      <c r="D33" s="124" t="s">
        <v>332</v>
      </c>
      <c r="E33" s="1072">
        <f t="shared" si="8"/>
        <v>2023</v>
      </c>
      <c r="F33" s="918">
        <v>0</v>
      </c>
      <c r="G33" s="1281"/>
      <c r="H33" s="1262">
        <v>0</v>
      </c>
      <c r="I33" s="1262">
        <v>0</v>
      </c>
      <c r="J33" s="1262">
        <v>0</v>
      </c>
      <c r="K33" s="1262">
        <v>0</v>
      </c>
      <c r="L33" s="1262">
        <v>0</v>
      </c>
      <c r="M33" s="1262">
        <v>0</v>
      </c>
      <c r="N33" s="127"/>
      <c r="O33" s="1277">
        <f t="shared" si="7"/>
        <v>0</v>
      </c>
      <c r="P33" s="141"/>
      <c r="Q33" s="141"/>
      <c r="R33" s="141"/>
    </row>
    <row r="34" spans="1:18">
      <c r="A34" s="481">
        <f t="shared" si="6"/>
        <v>28</v>
      </c>
      <c r="C34" s="919" t="s">
        <v>342</v>
      </c>
      <c r="D34" s="124" t="s">
        <v>332</v>
      </c>
      <c r="E34" s="1072">
        <f t="shared" si="8"/>
        <v>2023</v>
      </c>
      <c r="F34" s="918">
        <v>0</v>
      </c>
      <c r="G34" s="1281"/>
      <c r="H34" s="1262">
        <v>0</v>
      </c>
      <c r="I34" s="1262">
        <v>0</v>
      </c>
      <c r="J34" s="1262">
        <v>0</v>
      </c>
      <c r="K34" s="1262">
        <v>0</v>
      </c>
      <c r="L34" s="1262">
        <v>0</v>
      </c>
      <c r="M34" s="1262">
        <v>0</v>
      </c>
      <c r="N34" s="127"/>
      <c r="O34" s="1277">
        <f t="shared" si="7"/>
        <v>0</v>
      </c>
      <c r="P34" s="141"/>
      <c r="Q34" s="141"/>
      <c r="R34" s="141"/>
    </row>
    <row r="35" spans="1:18">
      <c r="A35" s="481">
        <f t="shared" si="6"/>
        <v>29</v>
      </c>
      <c r="C35" s="920" t="s">
        <v>329</v>
      </c>
      <c r="D35" s="916" t="s">
        <v>348</v>
      </c>
      <c r="E35" s="1073">
        <f t="shared" si="8"/>
        <v>2023</v>
      </c>
      <c r="F35" s="921">
        <v>0</v>
      </c>
      <c r="G35" s="1281"/>
      <c r="H35" s="1264">
        <v>0</v>
      </c>
      <c r="I35" s="1264">
        <v>0</v>
      </c>
      <c r="J35" s="1264">
        <v>0</v>
      </c>
      <c r="K35" s="1264">
        <v>0</v>
      </c>
      <c r="L35" s="1264">
        <v>0</v>
      </c>
      <c r="M35" s="1264">
        <v>0</v>
      </c>
      <c r="O35" s="1277">
        <f t="shared" si="7"/>
        <v>0</v>
      </c>
    </row>
    <row r="36" spans="1:18">
      <c r="A36" s="481">
        <f t="shared" si="6"/>
        <v>30</v>
      </c>
      <c r="C36" s="922" t="s">
        <v>349</v>
      </c>
      <c r="D36" s="124" t="str">
        <f>"(sum lines "&amp;A23&amp;"-"&amp;A35&amp;") /13"</f>
        <v>(sum lines 17-29) /13</v>
      </c>
      <c r="E36" s="927"/>
      <c r="F36" s="924">
        <f t="shared" ref="F36:L36" si="9">SUM(F23:F35)/13</f>
        <v>0</v>
      </c>
      <c r="G36" s="1282"/>
      <c r="H36" s="1262">
        <f>SUM(H23:H35)/13</f>
        <v>0</v>
      </c>
      <c r="I36" s="1262">
        <f t="shared" si="9"/>
        <v>0</v>
      </c>
      <c r="J36" s="1262">
        <f t="shared" si="9"/>
        <v>0</v>
      </c>
      <c r="K36" s="1262">
        <f>SUM(K23:K35)/13</f>
        <v>0</v>
      </c>
      <c r="L36" s="1262">
        <f t="shared" si="9"/>
        <v>0</v>
      </c>
      <c r="M36" s="1262">
        <f t="shared" ref="M36" si="10">SUM(M23:M35)/13</f>
        <v>0</v>
      </c>
      <c r="O36" s="1277">
        <f t="shared" si="7"/>
        <v>0</v>
      </c>
      <c r="P36" s="141"/>
      <c r="Q36" s="141"/>
      <c r="R36" s="141"/>
    </row>
    <row r="37" spans="1:18">
      <c r="A37" s="481"/>
      <c r="B37" s="479"/>
      <c r="C37" s="919"/>
      <c r="E37" s="927"/>
      <c r="F37" s="926"/>
      <c r="G37" s="919"/>
      <c r="H37" s="1262"/>
      <c r="I37" s="1262"/>
      <c r="J37" s="1262"/>
      <c r="K37" s="1262"/>
      <c r="L37" s="1262"/>
      <c r="M37" s="1263"/>
      <c r="N37" s="127"/>
      <c r="O37" s="1277"/>
      <c r="P37" s="141"/>
      <c r="Q37" s="141"/>
      <c r="R37" s="141"/>
    </row>
    <row r="38" spans="1:18">
      <c r="A38" s="481">
        <f>+A36+1</f>
        <v>31</v>
      </c>
      <c r="C38" s="482" t="s">
        <v>350</v>
      </c>
      <c r="D38" s="124" t="s">
        <v>323</v>
      </c>
      <c r="E38" s="834"/>
      <c r="F38" s="487"/>
      <c r="H38" s="1264"/>
      <c r="I38" s="1264"/>
      <c r="J38" s="1264"/>
      <c r="K38" s="1264"/>
      <c r="L38" s="1264"/>
      <c r="M38" s="1264"/>
      <c r="O38" s="141"/>
      <c r="P38" s="141"/>
      <c r="Q38" s="141"/>
      <c r="R38" s="141"/>
    </row>
    <row r="39" spans="1:18">
      <c r="A39" s="481">
        <f>+A38+1</f>
        <v>32</v>
      </c>
      <c r="C39" s="124" t="s">
        <v>329</v>
      </c>
      <c r="D39" s="478" t="s">
        <v>351</v>
      </c>
      <c r="E39" s="1072">
        <f>+$E$7</f>
        <v>2022</v>
      </c>
      <c r="F39" s="918">
        <v>168562541</v>
      </c>
      <c r="G39" s="1281"/>
      <c r="H39" s="1262">
        <v>1498426</v>
      </c>
      <c r="I39" s="1262">
        <v>0</v>
      </c>
      <c r="J39" s="1262">
        <f>27939732-1498426</f>
        <v>26441306</v>
      </c>
      <c r="K39" s="1262">
        <v>0</v>
      </c>
      <c r="L39" s="1262">
        <v>0</v>
      </c>
      <c r="M39" s="1264">
        <v>140622809</v>
      </c>
      <c r="O39" s="1277">
        <f t="shared" ref="O39:O52" si="11">SUM(G39:N39)</f>
        <v>168562541</v>
      </c>
      <c r="P39" s="141"/>
      <c r="Q39" s="141"/>
      <c r="R39" s="141"/>
    </row>
    <row r="40" spans="1:18">
      <c r="A40" s="481">
        <f t="shared" ref="A40:A51" si="12">+A39+1</f>
        <v>33</v>
      </c>
      <c r="C40" s="919" t="s">
        <v>331</v>
      </c>
      <c r="D40" s="124" t="s">
        <v>332</v>
      </c>
      <c r="E40" s="1072">
        <f>+$E$8</f>
        <v>2023</v>
      </c>
      <c r="F40" s="918">
        <v>168562541</v>
      </c>
      <c r="G40" s="1281"/>
      <c r="H40" s="1262">
        <v>1498426</v>
      </c>
      <c r="I40" s="1262">
        <v>0</v>
      </c>
      <c r="J40" s="1262">
        <f t="shared" ref="J40:J51" si="13">27939732-1498426</f>
        <v>26441306</v>
      </c>
      <c r="K40" s="1262">
        <v>0</v>
      </c>
      <c r="L40" s="1262">
        <v>0</v>
      </c>
      <c r="M40" s="1264">
        <v>140622809</v>
      </c>
      <c r="O40" s="1277">
        <f t="shared" si="11"/>
        <v>168562541</v>
      </c>
      <c r="P40" s="141"/>
      <c r="Q40" s="141"/>
      <c r="R40" s="141"/>
    </row>
    <row r="41" spans="1:18">
      <c r="A41" s="481">
        <f t="shared" si="12"/>
        <v>34</v>
      </c>
      <c r="C41" s="919" t="s">
        <v>333</v>
      </c>
      <c r="D41" s="124" t="s">
        <v>332</v>
      </c>
      <c r="E41" s="1072">
        <f t="shared" ref="E41:E51" si="14">+$E$8</f>
        <v>2023</v>
      </c>
      <c r="F41" s="918">
        <v>168562541</v>
      </c>
      <c r="G41" s="1281"/>
      <c r="H41" s="1262">
        <v>1498426</v>
      </c>
      <c r="I41" s="1262">
        <v>0</v>
      </c>
      <c r="J41" s="1262">
        <f t="shared" si="13"/>
        <v>26441306</v>
      </c>
      <c r="K41" s="1262">
        <v>0</v>
      </c>
      <c r="L41" s="1262">
        <v>0</v>
      </c>
      <c r="M41" s="1264">
        <v>140622809</v>
      </c>
      <c r="O41" s="1277">
        <f t="shared" si="11"/>
        <v>168562541</v>
      </c>
      <c r="P41" s="141"/>
      <c r="Q41" s="141"/>
      <c r="R41" s="141"/>
    </row>
    <row r="42" spans="1:18">
      <c r="A42" s="481">
        <f t="shared" si="12"/>
        <v>35</v>
      </c>
      <c r="C42" s="919" t="s">
        <v>334</v>
      </c>
      <c r="D42" s="124" t="s">
        <v>332</v>
      </c>
      <c r="E42" s="1072">
        <f t="shared" si="14"/>
        <v>2023</v>
      </c>
      <c r="F42" s="918">
        <v>168562541</v>
      </c>
      <c r="G42" s="1281"/>
      <c r="H42" s="1262">
        <v>1498426</v>
      </c>
      <c r="I42" s="1262">
        <v>0</v>
      </c>
      <c r="J42" s="1262">
        <f t="shared" si="13"/>
        <v>26441306</v>
      </c>
      <c r="K42" s="1262">
        <v>0</v>
      </c>
      <c r="L42" s="1262">
        <v>0</v>
      </c>
      <c r="M42" s="1264">
        <v>140622809</v>
      </c>
      <c r="O42" s="1277">
        <f t="shared" si="11"/>
        <v>168562541</v>
      </c>
      <c r="P42" s="141"/>
      <c r="Q42" s="141"/>
      <c r="R42" s="141"/>
    </row>
    <row r="43" spans="1:18">
      <c r="A43" s="481">
        <f t="shared" si="12"/>
        <v>36</v>
      </c>
      <c r="C43" s="919" t="s">
        <v>335</v>
      </c>
      <c r="D43" s="124" t="s">
        <v>332</v>
      </c>
      <c r="E43" s="1072">
        <f t="shared" si="14"/>
        <v>2023</v>
      </c>
      <c r="F43" s="918">
        <v>168562541</v>
      </c>
      <c r="G43" s="1281"/>
      <c r="H43" s="1262">
        <v>1498426</v>
      </c>
      <c r="I43" s="1262">
        <v>0</v>
      </c>
      <c r="J43" s="1262">
        <f t="shared" si="13"/>
        <v>26441306</v>
      </c>
      <c r="K43" s="1262">
        <v>0</v>
      </c>
      <c r="L43" s="1262">
        <v>0</v>
      </c>
      <c r="M43" s="1264">
        <v>140622809</v>
      </c>
      <c r="O43" s="1277">
        <f t="shared" si="11"/>
        <v>168562541</v>
      </c>
      <c r="P43" s="141"/>
      <c r="Q43" s="141"/>
      <c r="R43" s="141"/>
    </row>
    <row r="44" spans="1:18">
      <c r="A44" s="481">
        <f t="shared" si="12"/>
        <v>37</v>
      </c>
      <c r="C44" s="919" t="s">
        <v>336</v>
      </c>
      <c r="D44" s="124" t="s">
        <v>332</v>
      </c>
      <c r="E44" s="1072">
        <f t="shared" si="14"/>
        <v>2023</v>
      </c>
      <c r="F44" s="918">
        <v>168562541</v>
      </c>
      <c r="G44" s="1281"/>
      <c r="H44" s="1262">
        <v>1498426</v>
      </c>
      <c r="I44" s="1262">
        <v>0</v>
      </c>
      <c r="J44" s="1262">
        <f t="shared" si="13"/>
        <v>26441306</v>
      </c>
      <c r="K44" s="1262">
        <v>0</v>
      </c>
      <c r="L44" s="1262">
        <v>0</v>
      </c>
      <c r="M44" s="1264">
        <v>140622809</v>
      </c>
      <c r="O44" s="1277">
        <f t="shared" si="11"/>
        <v>168562541</v>
      </c>
      <c r="P44" s="141"/>
      <c r="Q44" s="141"/>
      <c r="R44" s="141"/>
    </row>
    <row r="45" spans="1:18">
      <c r="A45" s="481">
        <f t="shared" si="12"/>
        <v>38</v>
      </c>
      <c r="C45" s="919" t="s">
        <v>337</v>
      </c>
      <c r="D45" s="124" t="s">
        <v>332</v>
      </c>
      <c r="E45" s="1072">
        <f t="shared" si="14"/>
        <v>2023</v>
      </c>
      <c r="F45" s="918">
        <v>168562541</v>
      </c>
      <c r="G45" s="1281"/>
      <c r="H45" s="1262">
        <v>1498426</v>
      </c>
      <c r="I45" s="1262">
        <v>0</v>
      </c>
      <c r="J45" s="1262">
        <f t="shared" si="13"/>
        <v>26441306</v>
      </c>
      <c r="K45" s="1262">
        <v>0</v>
      </c>
      <c r="L45" s="1262">
        <v>0</v>
      </c>
      <c r="M45" s="1264">
        <v>140622809</v>
      </c>
      <c r="O45" s="1277">
        <f t="shared" si="11"/>
        <v>168562541</v>
      </c>
      <c r="P45" s="141"/>
      <c r="Q45" s="141"/>
      <c r="R45" s="141"/>
    </row>
    <row r="46" spans="1:18">
      <c r="A46" s="481">
        <f t="shared" si="12"/>
        <v>39</v>
      </c>
      <c r="C46" s="919" t="s">
        <v>338</v>
      </c>
      <c r="D46" s="124" t="s">
        <v>332</v>
      </c>
      <c r="E46" s="1072">
        <f t="shared" si="14"/>
        <v>2023</v>
      </c>
      <c r="F46" s="918">
        <v>168562541</v>
      </c>
      <c r="G46" s="1281"/>
      <c r="H46" s="1262">
        <v>1498426</v>
      </c>
      <c r="I46" s="1262">
        <v>0</v>
      </c>
      <c r="J46" s="1262">
        <f t="shared" si="13"/>
        <v>26441306</v>
      </c>
      <c r="K46" s="1262">
        <v>0</v>
      </c>
      <c r="L46" s="1262">
        <v>0</v>
      </c>
      <c r="M46" s="1264">
        <v>140622809</v>
      </c>
      <c r="O46" s="1277">
        <f t="shared" si="11"/>
        <v>168562541</v>
      </c>
      <c r="P46" s="141"/>
      <c r="Q46" s="141"/>
      <c r="R46" s="141"/>
    </row>
    <row r="47" spans="1:18">
      <c r="A47" s="481">
        <f t="shared" si="12"/>
        <v>40</v>
      </c>
      <c r="C47" s="919" t="s">
        <v>339</v>
      </c>
      <c r="D47" s="124" t="s">
        <v>332</v>
      </c>
      <c r="E47" s="1072">
        <f t="shared" si="14"/>
        <v>2023</v>
      </c>
      <c r="F47" s="918">
        <v>168562541</v>
      </c>
      <c r="G47" s="1281"/>
      <c r="H47" s="1262">
        <v>1498426</v>
      </c>
      <c r="I47" s="1262">
        <v>0</v>
      </c>
      <c r="J47" s="1262">
        <f t="shared" si="13"/>
        <v>26441306</v>
      </c>
      <c r="K47" s="1262">
        <v>0</v>
      </c>
      <c r="L47" s="1262">
        <v>0</v>
      </c>
      <c r="M47" s="1264">
        <v>140622809</v>
      </c>
      <c r="O47" s="1277">
        <f t="shared" si="11"/>
        <v>168562541</v>
      </c>
      <c r="P47" s="141"/>
      <c r="Q47" s="141"/>
      <c r="R47" s="141"/>
    </row>
    <row r="48" spans="1:18">
      <c r="A48" s="481">
        <f t="shared" si="12"/>
        <v>41</v>
      </c>
      <c r="C48" s="919" t="s">
        <v>340</v>
      </c>
      <c r="D48" s="124" t="s">
        <v>332</v>
      </c>
      <c r="E48" s="1072">
        <f t="shared" si="14"/>
        <v>2023</v>
      </c>
      <c r="F48" s="918">
        <v>168562541</v>
      </c>
      <c r="G48" s="1281"/>
      <c r="H48" s="1262">
        <v>1498426</v>
      </c>
      <c r="I48" s="1262">
        <v>0</v>
      </c>
      <c r="J48" s="1262">
        <f t="shared" si="13"/>
        <v>26441306</v>
      </c>
      <c r="K48" s="1262">
        <v>0</v>
      </c>
      <c r="L48" s="1262">
        <v>0</v>
      </c>
      <c r="M48" s="1264">
        <v>140622809</v>
      </c>
      <c r="O48" s="1277">
        <f t="shared" si="11"/>
        <v>168562541</v>
      </c>
      <c r="P48" s="141"/>
      <c r="Q48" s="141"/>
      <c r="R48" s="141"/>
    </row>
    <row r="49" spans="1:18">
      <c r="A49" s="481">
        <f t="shared" si="12"/>
        <v>42</v>
      </c>
      <c r="C49" s="919" t="s">
        <v>347</v>
      </c>
      <c r="D49" s="124" t="s">
        <v>332</v>
      </c>
      <c r="E49" s="1072">
        <f t="shared" si="14"/>
        <v>2023</v>
      </c>
      <c r="F49" s="918">
        <v>168562541</v>
      </c>
      <c r="G49" s="1281"/>
      <c r="H49" s="1262">
        <v>1498426</v>
      </c>
      <c r="I49" s="1262">
        <v>0</v>
      </c>
      <c r="J49" s="1262">
        <f t="shared" si="13"/>
        <v>26441306</v>
      </c>
      <c r="K49" s="1262">
        <v>0</v>
      </c>
      <c r="L49" s="1262">
        <v>0</v>
      </c>
      <c r="M49" s="1264">
        <v>140622809</v>
      </c>
      <c r="O49" s="1277">
        <f t="shared" si="11"/>
        <v>168562541</v>
      </c>
      <c r="P49" s="141"/>
      <c r="Q49" s="141"/>
      <c r="R49" s="141"/>
    </row>
    <row r="50" spans="1:18">
      <c r="A50" s="481">
        <f t="shared" si="12"/>
        <v>43</v>
      </c>
      <c r="C50" s="919" t="s">
        <v>342</v>
      </c>
      <c r="D50" s="124" t="s">
        <v>332</v>
      </c>
      <c r="E50" s="1072">
        <f t="shared" si="14"/>
        <v>2023</v>
      </c>
      <c r="F50" s="918">
        <v>168562541</v>
      </c>
      <c r="G50" s="1281"/>
      <c r="H50" s="1262">
        <v>1498426</v>
      </c>
      <c r="I50" s="1262">
        <v>0</v>
      </c>
      <c r="J50" s="1262">
        <f t="shared" si="13"/>
        <v>26441306</v>
      </c>
      <c r="K50" s="1262">
        <v>0</v>
      </c>
      <c r="L50" s="1262">
        <v>0</v>
      </c>
      <c r="M50" s="1264">
        <v>140622809</v>
      </c>
      <c r="O50" s="1277">
        <f t="shared" si="11"/>
        <v>168562541</v>
      </c>
      <c r="P50" s="141"/>
      <c r="Q50" s="141"/>
      <c r="R50" s="141"/>
    </row>
    <row r="51" spans="1:18">
      <c r="A51" s="481">
        <f t="shared" si="12"/>
        <v>44</v>
      </c>
      <c r="C51" s="920" t="s">
        <v>329</v>
      </c>
      <c r="D51" s="916" t="s">
        <v>352</v>
      </c>
      <c r="E51" s="1073">
        <f t="shared" si="14"/>
        <v>2023</v>
      </c>
      <c r="F51" s="921">
        <v>168562541</v>
      </c>
      <c r="G51" s="1281"/>
      <c r="H51" s="1264">
        <v>1498426</v>
      </c>
      <c r="I51" s="1264">
        <v>0</v>
      </c>
      <c r="J51" s="1262">
        <f t="shared" si="13"/>
        <v>26441306</v>
      </c>
      <c r="K51" s="1264">
        <v>0</v>
      </c>
      <c r="L51" s="1264">
        <v>0</v>
      </c>
      <c r="M51" s="1264">
        <v>140622809</v>
      </c>
      <c r="O51" s="1277">
        <f t="shared" si="11"/>
        <v>168562541</v>
      </c>
    </row>
    <row r="52" spans="1:18">
      <c r="A52" s="481">
        <f>+A51+1</f>
        <v>45</v>
      </c>
      <c r="C52" s="922" t="s">
        <v>353</v>
      </c>
      <c r="D52" s="124" t="str">
        <f>"(sum lines "&amp;A39&amp;"-"&amp;A51&amp;") /13"</f>
        <v>(sum lines 32-44) /13</v>
      </c>
      <c r="E52" s="927"/>
      <c r="F52" s="924">
        <f t="shared" ref="F52:M52" si="15">SUM(F39:F51)/13</f>
        <v>168562541</v>
      </c>
      <c r="G52" s="1282"/>
      <c r="H52" s="1267">
        <f>SUM(H39:H51)/13</f>
        <v>1498426</v>
      </c>
      <c r="I52" s="1267">
        <f t="shared" si="15"/>
        <v>0</v>
      </c>
      <c r="J52" s="1267">
        <f t="shared" si="15"/>
        <v>26441306</v>
      </c>
      <c r="K52" s="1267">
        <f>SUM(K39:K51)/13</f>
        <v>0</v>
      </c>
      <c r="L52" s="1267">
        <f t="shared" si="15"/>
        <v>0</v>
      </c>
      <c r="M52" s="1268">
        <f t="shared" si="15"/>
        <v>140622809</v>
      </c>
      <c r="N52" s="207"/>
      <c r="O52" s="1277">
        <f t="shared" si="11"/>
        <v>168562541</v>
      </c>
      <c r="P52" s="141"/>
      <c r="Q52" s="141"/>
      <c r="R52" s="141"/>
    </row>
    <row r="53" spans="1:18">
      <c r="A53" s="481"/>
      <c r="C53" s="919"/>
      <c r="E53" s="928"/>
      <c r="F53" s="926"/>
      <c r="G53" s="919"/>
      <c r="H53" s="1262"/>
      <c r="I53" s="1262"/>
      <c r="J53" s="1262"/>
      <c r="K53" s="1262"/>
      <c r="L53" s="1262"/>
      <c r="M53" s="1263"/>
      <c r="N53" s="127"/>
      <c r="O53" s="141"/>
      <c r="P53" s="141"/>
      <c r="Q53" s="141"/>
      <c r="R53" s="141"/>
    </row>
    <row r="54" spans="1:18">
      <c r="A54" s="481">
        <f>+A52+1</f>
        <v>46</v>
      </c>
      <c r="C54" s="482" t="s">
        <v>354</v>
      </c>
      <c r="D54" s="124" t="s">
        <v>323</v>
      </c>
      <c r="E54" s="834"/>
      <c r="F54" s="487"/>
      <c r="H54" s="1264"/>
      <c r="I54" s="1264"/>
      <c r="J54" s="1264"/>
      <c r="K54" s="1264"/>
      <c r="L54" s="1264"/>
      <c r="M54" s="1264"/>
      <c r="O54" s="141"/>
      <c r="P54" s="141"/>
      <c r="Q54" s="141"/>
      <c r="R54" s="141"/>
    </row>
    <row r="55" spans="1:18">
      <c r="A55" s="481">
        <f>+A54+1</f>
        <v>47</v>
      </c>
      <c r="C55" s="124" t="s">
        <v>329</v>
      </c>
      <c r="D55" s="478" t="s">
        <v>355</v>
      </c>
      <c r="E55" s="1072">
        <f>+$E$7</f>
        <v>2022</v>
      </c>
      <c r="F55" s="918">
        <v>5067689</v>
      </c>
      <c r="G55" s="1281"/>
      <c r="H55" s="1262">
        <v>5000000</v>
      </c>
      <c r="I55" s="1262">
        <v>0</v>
      </c>
      <c r="J55" s="1262">
        <v>0</v>
      </c>
      <c r="K55" s="1262">
        <v>0</v>
      </c>
      <c r="L55" s="1262">
        <v>0</v>
      </c>
      <c r="M55" s="1264">
        <v>67689</v>
      </c>
      <c r="N55" s="142"/>
      <c r="O55" s="1277">
        <f t="shared" ref="O55:O68" si="16">SUM(G55:N55)</f>
        <v>5067689</v>
      </c>
      <c r="P55" s="141"/>
      <c r="Q55" s="141"/>
      <c r="R55" s="141"/>
    </row>
    <row r="56" spans="1:18">
      <c r="A56" s="481">
        <f t="shared" ref="A56:A66" si="17">+A55+1</f>
        <v>48</v>
      </c>
      <c r="C56" s="919" t="s">
        <v>331</v>
      </c>
      <c r="D56" s="124" t="s">
        <v>332</v>
      </c>
      <c r="E56" s="1072">
        <f>+$E$8</f>
        <v>2023</v>
      </c>
      <c r="F56" s="918">
        <v>5067689</v>
      </c>
      <c r="G56" s="1281"/>
      <c r="H56" s="1262">
        <f>H55</f>
        <v>5000000</v>
      </c>
      <c r="I56" s="1262">
        <v>0</v>
      </c>
      <c r="J56" s="1262">
        <v>0</v>
      </c>
      <c r="K56" s="1262">
        <v>0</v>
      </c>
      <c r="L56" s="1262">
        <v>0</v>
      </c>
      <c r="M56" s="1264">
        <v>67689</v>
      </c>
      <c r="N56" s="142"/>
      <c r="O56" s="1277">
        <f t="shared" si="16"/>
        <v>5067689</v>
      </c>
      <c r="P56" s="141"/>
      <c r="Q56" s="141"/>
      <c r="R56" s="141"/>
    </row>
    <row r="57" spans="1:18">
      <c r="A57" s="481">
        <f t="shared" si="17"/>
        <v>49</v>
      </c>
      <c r="C57" s="919" t="s">
        <v>333</v>
      </c>
      <c r="D57" s="124" t="s">
        <v>332</v>
      </c>
      <c r="E57" s="1072">
        <f t="shared" ref="E57:E67" si="18">+$E$8</f>
        <v>2023</v>
      </c>
      <c r="F57" s="918">
        <v>5067689</v>
      </c>
      <c r="G57" s="1281"/>
      <c r="H57" s="1262">
        <v>5000000</v>
      </c>
      <c r="I57" s="1262">
        <v>0</v>
      </c>
      <c r="J57" s="1262">
        <v>0</v>
      </c>
      <c r="K57" s="1262">
        <v>0</v>
      </c>
      <c r="L57" s="1262">
        <v>0</v>
      </c>
      <c r="M57" s="1264">
        <v>67689</v>
      </c>
      <c r="N57" s="142"/>
      <c r="O57" s="1277">
        <f t="shared" si="16"/>
        <v>5067689</v>
      </c>
      <c r="P57" s="141"/>
      <c r="Q57" s="141"/>
      <c r="R57" s="141"/>
    </row>
    <row r="58" spans="1:18">
      <c r="A58" s="481">
        <f t="shared" si="17"/>
        <v>50</v>
      </c>
      <c r="C58" s="919" t="s">
        <v>334</v>
      </c>
      <c r="D58" s="124" t="s">
        <v>332</v>
      </c>
      <c r="E58" s="1072">
        <f t="shared" si="18"/>
        <v>2023</v>
      </c>
      <c r="F58" s="918">
        <v>5067689</v>
      </c>
      <c r="G58" s="1281"/>
      <c r="H58" s="1262">
        <v>5000000</v>
      </c>
      <c r="I58" s="1262">
        <v>0</v>
      </c>
      <c r="J58" s="1262">
        <v>0</v>
      </c>
      <c r="K58" s="1262">
        <v>0</v>
      </c>
      <c r="L58" s="1262">
        <v>0</v>
      </c>
      <c r="M58" s="1264">
        <v>67689</v>
      </c>
      <c r="N58" s="142"/>
      <c r="O58" s="1277">
        <f t="shared" si="16"/>
        <v>5067689</v>
      </c>
      <c r="P58" s="141"/>
      <c r="Q58" s="141"/>
      <c r="R58" s="141"/>
    </row>
    <row r="59" spans="1:18">
      <c r="A59" s="481">
        <f t="shared" si="17"/>
        <v>51</v>
      </c>
      <c r="C59" s="919" t="s">
        <v>335</v>
      </c>
      <c r="D59" s="124" t="s">
        <v>332</v>
      </c>
      <c r="E59" s="1072">
        <f t="shared" si="18"/>
        <v>2023</v>
      </c>
      <c r="F59" s="918">
        <v>5067689</v>
      </c>
      <c r="G59" s="1281"/>
      <c r="H59" s="1262">
        <v>5000000</v>
      </c>
      <c r="I59" s="1262">
        <v>0</v>
      </c>
      <c r="J59" s="1262">
        <v>0</v>
      </c>
      <c r="K59" s="1262">
        <v>0</v>
      </c>
      <c r="L59" s="1262">
        <v>0</v>
      </c>
      <c r="M59" s="1264">
        <v>67689</v>
      </c>
      <c r="N59" s="142"/>
      <c r="O59" s="1277">
        <f t="shared" si="16"/>
        <v>5067689</v>
      </c>
      <c r="P59" s="141"/>
      <c r="Q59" s="141"/>
      <c r="R59" s="141"/>
    </row>
    <row r="60" spans="1:18">
      <c r="A60" s="481">
        <f t="shared" si="17"/>
        <v>52</v>
      </c>
      <c r="C60" s="919" t="s">
        <v>336</v>
      </c>
      <c r="D60" s="124" t="s">
        <v>332</v>
      </c>
      <c r="E60" s="1072">
        <f t="shared" si="18"/>
        <v>2023</v>
      </c>
      <c r="F60" s="918">
        <v>5067689</v>
      </c>
      <c r="G60" s="1281"/>
      <c r="H60" s="1262">
        <v>5000000</v>
      </c>
      <c r="I60" s="1262">
        <v>0</v>
      </c>
      <c r="J60" s="1262">
        <v>0</v>
      </c>
      <c r="K60" s="1262">
        <v>0</v>
      </c>
      <c r="L60" s="1262">
        <v>0</v>
      </c>
      <c r="M60" s="1264">
        <v>67689</v>
      </c>
      <c r="N60" s="142"/>
      <c r="O60" s="1277">
        <f t="shared" si="16"/>
        <v>5067689</v>
      </c>
      <c r="P60" s="141"/>
      <c r="Q60" s="141"/>
      <c r="R60" s="141"/>
    </row>
    <row r="61" spans="1:18">
      <c r="A61" s="481">
        <f t="shared" si="17"/>
        <v>53</v>
      </c>
      <c r="C61" s="919" t="s">
        <v>337</v>
      </c>
      <c r="D61" s="124" t="s">
        <v>332</v>
      </c>
      <c r="E61" s="1072">
        <f t="shared" si="18"/>
        <v>2023</v>
      </c>
      <c r="F61" s="918">
        <v>5067689</v>
      </c>
      <c r="G61" s="1281"/>
      <c r="H61" s="1262">
        <v>5000000</v>
      </c>
      <c r="I61" s="1262">
        <v>0</v>
      </c>
      <c r="J61" s="1262">
        <v>0</v>
      </c>
      <c r="K61" s="1262">
        <v>0</v>
      </c>
      <c r="L61" s="1262">
        <v>0</v>
      </c>
      <c r="M61" s="1264">
        <v>67689</v>
      </c>
      <c r="N61" s="142"/>
      <c r="O61" s="1277">
        <f t="shared" si="16"/>
        <v>5067689</v>
      </c>
      <c r="P61" s="141"/>
      <c r="Q61" s="141"/>
      <c r="R61" s="141"/>
    </row>
    <row r="62" spans="1:18">
      <c r="A62" s="481">
        <f t="shared" si="17"/>
        <v>54</v>
      </c>
      <c r="C62" s="919" t="s">
        <v>338</v>
      </c>
      <c r="D62" s="124" t="s">
        <v>332</v>
      </c>
      <c r="E62" s="1072">
        <f t="shared" si="18"/>
        <v>2023</v>
      </c>
      <c r="F62" s="918">
        <v>5067689</v>
      </c>
      <c r="G62" s="1281"/>
      <c r="H62" s="1262">
        <v>5000000</v>
      </c>
      <c r="I62" s="1262">
        <v>0</v>
      </c>
      <c r="J62" s="1262">
        <v>0</v>
      </c>
      <c r="K62" s="1262">
        <v>0</v>
      </c>
      <c r="L62" s="1262">
        <v>0</v>
      </c>
      <c r="M62" s="1264">
        <v>67689</v>
      </c>
      <c r="N62" s="142"/>
      <c r="O62" s="1277">
        <f t="shared" si="16"/>
        <v>5067689</v>
      </c>
      <c r="P62" s="141"/>
      <c r="Q62" s="141"/>
      <c r="R62" s="141"/>
    </row>
    <row r="63" spans="1:18">
      <c r="A63" s="481">
        <f t="shared" si="17"/>
        <v>55</v>
      </c>
      <c r="C63" s="919" t="s">
        <v>339</v>
      </c>
      <c r="D63" s="124" t="s">
        <v>332</v>
      </c>
      <c r="E63" s="1072">
        <f t="shared" si="18"/>
        <v>2023</v>
      </c>
      <c r="F63" s="918">
        <v>5067689</v>
      </c>
      <c r="G63" s="1281"/>
      <c r="H63" s="1262">
        <v>5000000</v>
      </c>
      <c r="I63" s="1262">
        <v>0</v>
      </c>
      <c r="J63" s="1262">
        <v>0</v>
      </c>
      <c r="K63" s="1262">
        <v>0</v>
      </c>
      <c r="L63" s="1262">
        <v>0</v>
      </c>
      <c r="M63" s="1264">
        <v>67689</v>
      </c>
      <c r="N63" s="142"/>
      <c r="O63" s="1277">
        <f t="shared" si="16"/>
        <v>5067689</v>
      </c>
      <c r="P63" s="141"/>
      <c r="Q63" s="141"/>
      <c r="R63" s="141"/>
    </row>
    <row r="64" spans="1:18">
      <c r="A64" s="481">
        <f t="shared" si="17"/>
        <v>56</v>
      </c>
      <c r="C64" s="919" t="s">
        <v>340</v>
      </c>
      <c r="D64" s="124" t="s">
        <v>332</v>
      </c>
      <c r="E64" s="1072">
        <f t="shared" si="18"/>
        <v>2023</v>
      </c>
      <c r="F64" s="918">
        <v>5067689</v>
      </c>
      <c r="G64" s="1281"/>
      <c r="H64" s="1262">
        <v>5000000</v>
      </c>
      <c r="I64" s="1262">
        <v>0</v>
      </c>
      <c r="J64" s="1262">
        <v>0</v>
      </c>
      <c r="K64" s="1262">
        <v>0</v>
      </c>
      <c r="L64" s="1262">
        <v>0</v>
      </c>
      <c r="M64" s="1264">
        <v>67689</v>
      </c>
      <c r="N64" s="142"/>
      <c r="O64" s="1277">
        <f t="shared" si="16"/>
        <v>5067689</v>
      </c>
      <c r="P64" s="141"/>
      <c r="Q64" s="141"/>
      <c r="R64" s="141"/>
    </row>
    <row r="65" spans="1:18">
      <c r="A65" s="481">
        <f t="shared" si="17"/>
        <v>57</v>
      </c>
      <c r="C65" s="919" t="s">
        <v>347</v>
      </c>
      <c r="D65" s="124" t="s">
        <v>332</v>
      </c>
      <c r="E65" s="1072">
        <f t="shared" si="18"/>
        <v>2023</v>
      </c>
      <c r="F65" s="918">
        <v>5067689</v>
      </c>
      <c r="G65" s="1281"/>
      <c r="H65" s="1262">
        <v>5000000</v>
      </c>
      <c r="I65" s="1262">
        <v>0</v>
      </c>
      <c r="J65" s="1262">
        <v>0</v>
      </c>
      <c r="K65" s="1262">
        <v>0</v>
      </c>
      <c r="L65" s="1262">
        <v>0</v>
      </c>
      <c r="M65" s="1264">
        <v>67689</v>
      </c>
      <c r="N65" s="142"/>
      <c r="O65" s="1277">
        <f t="shared" si="16"/>
        <v>5067689</v>
      </c>
      <c r="P65" s="141"/>
      <c r="Q65" s="141"/>
      <c r="R65" s="141"/>
    </row>
    <row r="66" spans="1:18">
      <c r="A66" s="481">
        <f t="shared" si="17"/>
        <v>58</v>
      </c>
      <c r="C66" s="919" t="s">
        <v>342</v>
      </c>
      <c r="D66" s="124" t="s">
        <v>332</v>
      </c>
      <c r="E66" s="1072">
        <f t="shared" si="18"/>
        <v>2023</v>
      </c>
      <c r="F66" s="918">
        <v>5067689</v>
      </c>
      <c r="G66" s="1281"/>
      <c r="H66" s="1262">
        <v>5000000</v>
      </c>
      <c r="I66" s="1262">
        <v>0</v>
      </c>
      <c r="J66" s="1262">
        <v>0</v>
      </c>
      <c r="K66" s="1262">
        <v>0</v>
      </c>
      <c r="L66" s="1262">
        <v>0</v>
      </c>
      <c r="M66" s="1264">
        <v>67689</v>
      </c>
      <c r="N66" s="142"/>
      <c r="O66" s="1277">
        <f t="shared" si="16"/>
        <v>5067689</v>
      </c>
      <c r="P66" s="141"/>
      <c r="Q66" s="141"/>
      <c r="R66" s="141"/>
    </row>
    <row r="67" spans="1:18">
      <c r="A67" s="481">
        <f>+A66+1</f>
        <v>59</v>
      </c>
      <c r="C67" s="920" t="s">
        <v>329</v>
      </c>
      <c r="D67" s="916" t="s">
        <v>356</v>
      </c>
      <c r="E67" s="1073">
        <f t="shared" si="18"/>
        <v>2023</v>
      </c>
      <c r="F67" s="921">
        <v>5067689</v>
      </c>
      <c r="G67" s="1281"/>
      <c r="H67" s="1264">
        <v>5000000</v>
      </c>
      <c r="I67" s="1264">
        <v>0</v>
      </c>
      <c r="J67" s="1264">
        <v>0</v>
      </c>
      <c r="K67" s="1264">
        <v>0</v>
      </c>
      <c r="L67" s="1264">
        <v>0</v>
      </c>
      <c r="M67" s="1264">
        <v>67689</v>
      </c>
      <c r="O67" s="1277">
        <f t="shared" si="16"/>
        <v>5067689</v>
      </c>
    </row>
    <row r="68" spans="1:18">
      <c r="A68" s="481">
        <f>+A67+1</f>
        <v>60</v>
      </c>
      <c r="C68" s="922" t="s">
        <v>357</v>
      </c>
      <c r="D68" s="124" t="str">
        <f>"(sum lines "&amp;A55&amp;"-"&amp;A67&amp;") /13"</f>
        <v>(sum lines 47-59) /13</v>
      </c>
      <c r="E68" s="927"/>
      <c r="F68" s="924">
        <f t="shared" ref="F68:M68" si="19">SUM(F55:F67)/13</f>
        <v>5067689</v>
      </c>
      <c r="G68" s="1282"/>
      <c r="H68" s="1267">
        <f>SUM(H55:H67)/13</f>
        <v>5000000</v>
      </c>
      <c r="I68" s="1267">
        <f t="shared" si="19"/>
        <v>0</v>
      </c>
      <c r="J68" s="1267">
        <f t="shared" si="19"/>
        <v>0</v>
      </c>
      <c r="K68" s="1267">
        <f>SUM(K55:K67)/13</f>
        <v>0</v>
      </c>
      <c r="L68" s="1267">
        <f t="shared" si="19"/>
        <v>0</v>
      </c>
      <c r="M68" s="1268">
        <f t="shared" si="19"/>
        <v>67689</v>
      </c>
      <c r="N68" s="207"/>
      <c r="O68" s="1277">
        <f t="shared" si="16"/>
        <v>5067689</v>
      </c>
      <c r="P68" s="141"/>
      <c r="Q68" s="141"/>
      <c r="R68" s="141"/>
    </row>
    <row r="69" spans="1:18">
      <c r="A69" s="481"/>
      <c r="C69" s="919"/>
      <c r="D69" s="478"/>
      <c r="E69" s="928"/>
      <c r="F69" s="929"/>
      <c r="G69" s="1283"/>
      <c r="H69" s="1264"/>
      <c r="I69" s="1264"/>
      <c r="J69" s="1264"/>
      <c r="K69" s="1264"/>
      <c r="L69" s="1264"/>
      <c r="M69" s="1264"/>
    </row>
    <row r="70" spans="1:18">
      <c r="A70" s="481">
        <f>+A68+1</f>
        <v>61</v>
      </c>
      <c r="C70" s="482" t="s">
        <v>358</v>
      </c>
      <c r="D70" s="124" t="s">
        <v>323</v>
      </c>
      <c r="E70" s="834"/>
      <c r="F70" s="487"/>
      <c r="H70" s="1264"/>
      <c r="I70" s="1264"/>
      <c r="J70" s="1264"/>
      <c r="K70" s="1264"/>
      <c r="L70" s="1264"/>
      <c r="M70" s="1264"/>
      <c r="O70" s="141"/>
      <c r="P70" s="141"/>
      <c r="Q70" s="141"/>
      <c r="R70" s="141"/>
    </row>
    <row r="71" spans="1:18">
      <c r="A71" s="481">
        <f t="shared" ref="A71:A84" si="20">+A70+1</f>
        <v>62</v>
      </c>
      <c r="C71" s="124" t="s">
        <v>329</v>
      </c>
      <c r="D71" s="478" t="s">
        <v>359</v>
      </c>
      <c r="E71" s="1072">
        <f>+$E$7</f>
        <v>2022</v>
      </c>
      <c r="F71" s="918">
        <v>0</v>
      </c>
      <c r="G71" s="1281"/>
      <c r="H71" s="1264"/>
      <c r="I71" s="1264"/>
      <c r="J71" s="1264"/>
      <c r="K71" s="1264"/>
      <c r="L71" s="1264"/>
      <c r="M71" s="1264"/>
      <c r="O71" s="141"/>
      <c r="P71" s="141"/>
      <c r="Q71" s="141"/>
      <c r="R71" s="141"/>
    </row>
    <row r="72" spans="1:18">
      <c r="A72" s="481">
        <f t="shared" si="20"/>
        <v>63</v>
      </c>
      <c r="C72" s="919" t="s">
        <v>331</v>
      </c>
      <c r="D72" s="124" t="s">
        <v>332</v>
      </c>
      <c r="E72" s="1072">
        <f>+$E$8</f>
        <v>2023</v>
      </c>
      <c r="F72" s="918">
        <v>0</v>
      </c>
      <c r="G72" s="1281"/>
      <c r="H72" s="1264"/>
      <c r="I72" s="1264"/>
      <c r="J72" s="1264"/>
      <c r="K72" s="1264"/>
      <c r="L72" s="1264"/>
      <c r="M72" s="1264"/>
      <c r="O72" s="141"/>
      <c r="P72" s="141"/>
      <c r="Q72" s="141"/>
      <c r="R72" s="141"/>
    </row>
    <row r="73" spans="1:18">
      <c r="A73" s="481">
        <f t="shared" si="20"/>
        <v>64</v>
      </c>
      <c r="C73" s="919" t="s">
        <v>333</v>
      </c>
      <c r="D73" s="124" t="s">
        <v>332</v>
      </c>
      <c r="E73" s="1072">
        <f t="shared" ref="E73:E83" si="21">+$E$8</f>
        <v>2023</v>
      </c>
      <c r="F73" s="918">
        <v>0</v>
      </c>
      <c r="G73" s="1281"/>
      <c r="H73" s="1264"/>
      <c r="I73" s="1264"/>
      <c r="J73" s="1264"/>
      <c r="K73" s="1264"/>
      <c r="L73" s="1264"/>
      <c r="M73" s="1264"/>
      <c r="O73" s="141"/>
      <c r="P73" s="141"/>
      <c r="Q73" s="141"/>
      <c r="R73" s="141"/>
    </row>
    <row r="74" spans="1:18">
      <c r="A74" s="481">
        <f t="shared" si="20"/>
        <v>65</v>
      </c>
      <c r="C74" s="919" t="s">
        <v>334</v>
      </c>
      <c r="D74" s="124" t="s">
        <v>332</v>
      </c>
      <c r="E74" s="1072">
        <f t="shared" si="21"/>
        <v>2023</v>
      </c>
      <c r="F74" s="918">
        <v>0</v>
      </c>
      <c r="G74" s="1281"/>
      <c r="H74" s="1264"/>
      <c r="I74" s="1264"/>
      <c r="J74" s="1264"/>
      <c r="K74" s="1264"/>
      <c r="L74" s="1264"/>
      <c r="M74" s="1264"/>
      <c r="O74" s="141"/>
      <c r="P74" s="141"/>
      <c r="Q74" s="141"/>
      <c r="R74" s="141"/>
    </row>
    <row r="75" spans="1:18">
      <c r="A75" s="481">
        <f t="shared" si="20"/>
        <v>66</v>
      </c>
      <c r="C75" s="919" t="s">
        <v>335</v>
      </c>
      <c r="D75" s="124" t="s">
        <v>332</v>
      </c>
      <c r="E75" s="1072">
        <f t="shared" si="21"/>
        <v>2023</v>
      </c>
      <c r="F75" s="918">
        <v>0</v>
      </c>
      <c r="G75" s="1281"/>
      <c r="H75" s="1264"/>
      <c r="I75" s="1264"/>
      <c r="J75" s="1264"/>
      <c r="K75" s="1264"/>
      <c r="L75" s="1264"/>
      <c r="M75" s="1264"/>
      <c r="O75" s="141"/>
      <c r="P75" s="141"/>
      <c r="Q75" s="141"/>
      <c r="R75" s="141"/>
    </row>
    <row r="76" spans="1:18">
      <c r="A76" s="481">
        <f t="shared" si="20"/>
        <v>67</v>
      </c>
      <c r="C76" s="919" t="s">
        <v>336</v>
      </c>
      <c r="D76" s="124" t="s">
        <v>332</v>
      </c>
      <c r="E76" s="1072">
        <f t="shared" si="21"/>
        <v>2023</v>
      </c>
      <c r="F76" s="918">
        <v>0</v>
      </c>
      <c r="G76" s="1281"/>
      <c r="H76" s="1264"/>
      <c r="I76" s="1264"/>
      <c r="J76" s="1264"/>
      <c r="K76" s="1264"/>
      <c r="L76" s="1264"/>
      <c r="M76" s="1264"/>
      <c r="O76" s="141"/>
      <c r="P76" s="141"/>
      <c r="Q76" s="141"/>
      <c r="R76" s="141"/>
    </row>
    <row r="77" spans="1:18">
      <c r="A77" s="481">
        <f t="shared" si="20"/>
        <v>68</v>
      </c>
      <c r="C77" s="919" t="s">
        <v>337</v>
      </c>
      <c r="D77" s="124" t="s">
        <v>332</v>
      </c>
      <c r="E77" s="1072">
        <f t="shared" si="21"/>
        <v>2023</v>
      </c>
      <c r="F77" s="918">
        <v>0</v>
      </c>
      <c r="G77" s="1281"/>
      <c r="H77" s="1264"/>
      <c r="I77" s="1264"/>
      <c r="J77" s="1264"/>
      <c r="K77" s="1264"/>
      <c r="L77" s="1264"/>
      <c r="M77" s="1264"/>
      <c r="O77" s="141"/>
      <c r="P77" s="141"/>
      <c r="Q77" s="141"/>
      <c r="R77" s="141"/>
    </row>
    <row r="78" spans="1:18">
      <c r="A78" s="481">
        <f t="shared" si="20"/>
        <v>69</v>
      </c>
      <c r="C78" s="919" t="s">
        <v>338</v>
      </c>
      <c r="D78" s="124" t="s">
        <v>332</v>
      </c>
      <c r="E78" s="1072">
        <f t="shared" si="21"/>
        <v>2023</v>
      </c>
      <c r="F78" s="918">
        <v>0</v>
      </c>
      <c r="G78" s="1281"/>
      <c r="H78" s="1264"/>
      <c r="I78" s="1264"/>
      <c r="J78" s="1264"/>
      <c r="K78" s="1264"/>
      <c r="L78" s="1264"/>
      <c r="M78" s="1264"/>
      <c r="O78" s="141"/>
      <c r="P78" s="141"/>
      <c r="Q78" s="141"/>
      <c r="R78" s="141"/>
    </row>
    <row r="79" spans="1:18">
      <c r="A79" s="481">
        <f t="shared" si="20"/>
        <v>70</v>
      </c>
      <c r="C79" s="919" t="s">
        <v>339</v>
      </c>
      <c r="D79" s="124" t="s">
        <v>332</v>
      </c>
      <c r="E79" s="1072">
        <f t="shared" si="21"/>
        <v>2023</v>
      </c>
      <c r="F79" s="918">
        <v>0</v>
      </c>
      <c r="G79" s="1281"/>
      <c r="H79" s="1264"/>
      <c r="I79" s="1264"/>
      <c r="J79" s="1264"/>
      <c r="K79" s="1264"/>
      <c r="L79" s="1264"/>
      <c r="M79" s="1264"/>
      <c r="O79" s="141"/>
      <c r="P79" s="141"/>
      <c r="Q79" s="141"/>
      <c r="R79" s="141"/>
    </row>
    <row r="80" spans="1:18">
      <c r="A80" s="481">
        <f t="shared" si="20"/>
        <v>71</v>
      </c>
      <c r="C80" s="919" t="s">
        <v>340</v>
      </c>
      <c r="D80" s="124" t="s">
        <v>332</v>
      </c>
      <c r="E80" s="1072">
        <f t="shared" si="21"/>
        <v>2023</v>
      </c>
      <c r="F80" s="918">
        <v>0</v>
      </c>
      <c r="G80" s="1281"/>
      <c r="H80" s="1264"/>
      <c r="I80" s="1264"/>
      <c r="J80" s="1264"/>
      <c r="K80" s="1264"/>
      <c r="L80" s="1264"/>
      <c r="M80" s="1264"/>
      <c r="O80" s="141"/>
      <c r="P80" s="141"/>
      <c r="Q80" s="141"/>
      <c r="R80" s="141"/>
    </row>
    <row r="81" spans="1:18">
      <c r="A81" s="481">
        <f t="shared" si="20"/>
        <v>72</v>
      </c>
      <c r="C81" s="919" t="s">
        <v>347</v>
      </c>
      <c r="D81" s="124" t="s">
        <v>332</v>
      </c>
      <c r="E81" s="1072">
        <f t="shared" si="21"/>
        <v>2023</v>
      </c>
      <c r="F81" s="918">
        <v>0</v>
      </c>
      <c r="G81" s="1281"/>
      <c r="H81" s="1264"/>
      <c r="I81" s="1264"/>
      <c r="J81" s="1264"/>
      <c r="K81" s="1264"/>
      <c r="L81" s="1264"/>
      <c r="M81" s="1264"/>
      <c r="O81" s="141"/>
      <c r="P81" s="141"/>
      <c r="Q81" s="141"/>
      <c r="R81" s="141"/>
    </row>
    <row r="82" spans="1:18">
      <c r="A82" s="481">
        <f t="shared" si="20"/>
        <v>73</v>
      </c>
      <c r="C82" s="919" t="s">
        <v>342</v>
      </c>
      <c r="D82" s="124" t="s">
        <v>332</v>
      </c>
      <c r="E82" s="1072">
        <f t="shared" si="21"/>
        <v>2023</v>
      </c>
      <c r="F82" s="918">
        <v>0</v>
      </c>
      <c r="G82" s="1281"/>
      <c r="H82" s="1264"/>
      <c r="I82" s="1264"/>
      <c r="J82" s="1264"/>
      <c r="K82" s="1264"/>
      <c r="L82" s="1264"/>
      <c r="M82" s="1264"/>
      <c r="O82" s="141"/>
      <c r="P82" s="141"/>
      <c r="Q82" s="141"/>
      <c r="R82" s="141"/>
    </row>
    <row r="83" spans="1:18">
      <c r="A83" s="481">
        <f t="shared" si="20"/>
        <v>74</v>
      </c>
      <c r="C83" s="920" t="s">
        <v>329</v>
      </c>
      <c r="D83" s="916" t="s">
        <v>360</v>
      </c>
      <c r="E83" s="1073">
        <f t="shared" si="21"/>
        <v>2023</v>
      </c>
      <c r="F83" s="921">
        <v>0</v>
      </c>
      <c r="G83" s="1281"/>
      <c r="H83" s="1264"/>
      <c r="I83" s="1264"/>
      <c r="J83" s="1264"/>
      <c r="K83" s="1264"/>
      <c r="L83" s="1264"/>
      <c r="M83" s="1264"/>
    </row>
    <row r="84" spans="1:18">
      <c r="A84" s="481">
        <f t="shared" si="20"/>
        <v>75</v>
      </c>
      <c r="C84" s="922" t="s">
        <v>361</v>
      </c>
      <c r="D84" s="124" t="str">
        <f>"(sum lines "&amp;A71&amp;"-"&amp;A83&amp;") /13"</f>
        <v>(sum lines 62-74) /13</v>
      </c>
      <c r="E84" s="923"/>
      <c r="F84" s="924">
        <f>SUM(F71:F83)/13</f>
        <v>0</v>
      </c>
      <c r="G84" s="1282"/>
      <c r="H84" s="1262"/>
      <c r="I84" s="1262"/>
      <c r="J84" s="1262"/>
      <c r="K84" s="1262"/>
      <c r="L84" s="1262"/>
      <c r="M84" s="1264"/>
      <c r="N84" s="207"/>
      <c r="O84" s="141"/>
      <c r="P84" s="141"/>
      <c r="Q84" s="141"/>
      <c r="R84" s="141"/>
    </row>
    <row r="85" spans="1:18">
      <c r="A85" s="481"/>
      <c r="C85" s="919"/>
      <c r="E85" s="925"/>
      <c r="F85" s="926"/>
      <c r="G85" s="919"/>
      <c r="H85" s="1262"/>
      <c r="I85" s="1262"/>
      <c r="J85" s="1262"/>
      <c r="K85" s="1262"/>
      <c r="L85" s="1262"/>
      <c r="M85" s="1263"/>
      <c r="N85" s="142"/>
      <c r="O85" s="141"/>
      <c r="P85" s="141"/>
      <c r="Q85" s="141"/>
      <c r="R85" s="141"/>
    </row>
    <row r="86" spans="1:18">
      <c r="A86" s="481">
        <f>+A84+1</f>
        <v>76</v>
      </c>
      <c r="C86" s="482" t="s">
        <v>362</v>
      </c>
      <c r="D86" s="478" t="str">
        <f>"(sum lines "&amp;A20&amp;", "&amp;A36&amp;", "&amp;A52&amp;", "&amp;A68&amp;", &amp; "&amp;A84&amp;")"</f>
        <v>(sum lines 15, 30, 45, 60, &amp; 75)</v>
      </c>
      <c r="E86" s="923"/>
      <c r="F86" s="930">
        <f>F20+F36+F52+F68+F84</f>
        <v>741304555.46153843</v>
      </c>
      <c r="G86" s="1274"/>
      <c r="H86" s="1265">
        <f>H20+H36+H52+H68+H84</f>
        <v>312681937.69230771</v>
      </c>
      <c r="I86" s="1265">
        <f t="shared" ref="I86:M86" si="22">I20+I36+I52+I68+I84</f>
        <v>2761080.846153846</v>
      </c>
      <c r="J86" s="1265">
        <f t="shared" si="22"/>
        <v>146944248.23076922</v>
      </c>
      <c r="K86" s="1265">
        <f>K20+K36+K52+K68+K84</f>
        <v>58304128</v>
      </c>
      <c r="L86" s="1265">
        <f t="shared" si="22"/>
        <v>6150671.692307692</v>
      </c>
      <c r="M86" s="1266">
        <f t="shared" si="22"/>
        <v>214462489</v>
      </c>
      <c r="N86" s="207"/>
      <c r="O86" s="1277">
        <f>SUM(G86:N86)</f>
        <v>741304555.46153855</v>
      </c>
    </row>
    <row r="87" spans="1:18" ht="16.2" thickBot="1">
      <c r="A87" s="696"/>
      <c r="B87" s="931"/>
      <c r="C87" s="932"/>
      <c r="D87" s="167"/>
      <c r="E87" s="933"/>
      <c r="F87" s="934"/>
      <c r="G87" s="919"/>
      <c r="H87" s="1265"/>
      <c r="I87" s="1265"/>
      <c r="J87" s="1265"/>
      <c r="K87" s="1265"/>
      <c r="L87" s="1265"/>
      <c r="M87" s="1263"/>
      <c r="N87" s="127"/>
      <c r="O87" s="141"/>
      <c r="P87" s="141"/>
      <c r="Q87" s="141"/>
      <c r="R87" s="141"/>
    </row>
    <row r="88" spans="1:18">
      <c r="A88" s="481"/>
      <c r="B88" s="479"/>
      <c r="C88" s="919"/>
      <c r="E88" s="925"/>
      <c r="F88" s="926"/>
      <c r="G88" s="919"/>
      <c r="H88" s="1265"/>
      <c r="I88" s="1265"/>
      <c r="J88" s="1265"/>
      <c r="K88" s="1265"/>
      <c r="L88" s="1265"/>
      <c r="M88" s="1263"/>
      <c r="N88" s="127"/>
      <c r="O88" s="141"/>
      <c r="P88" s="141"/>
      <c r="Q88" s="141"/>
      <c r="R88" s="141"/>
    </row>
    <row r="89" spans="1:18" ht="7.5" customHeight="1">
      <c r="A89" s="481"/>
      <c r="B89" s="479"/>
      <c r="C89" s="919"/>
      <c r="E89" s="925"/>
      <c r="F89" s="926"/>
      <c r="G89" s="919"/>
      <c r="H89" s="1262"/>
      <c r="I89" s="1262"/>
      <c r="J89" s="1262"/>
      <c r="K89" s="1262"/>
      <c r="L89" s="1262"/>
      <c r="M89" s="1263"/>
      <c r="N89" s="127"/>
      <c r="O89" s="141"/>
      <c r="P89" s="141"/>
      <c r="Q89" s="141"/>
      <c r="R89" s="141"/>
    </row>
    <row r="90" spans="1:18" ht="16.2" thickBot="1">
      <c r="A90" s="935" t="s">
        <v>363</v>
      </c>
      <c r="F90" s="487"/>
      <c r="H90" s="1264"/>
      <c r="I90" s="1264"/>
      <c r="J90" s="1264"/>
      <c r="K90" s="1264"/>
      <c r="L90" s="1264"/>
      <c r="M90" s="1264"/>
    </row>
    <row r="91" spans="1:18">
      <c r="A91" s="1306" t="s">
        <v>364</v>
      </c>
      <c r="B91" s="1307"/>
      <c r="C91" s="1307"/>
      <c r="D91" s="1307"/>
      <c r="E91" s="1307"/>
      <c r="F91" s="1308"/>
      <c r="G91" s="1280"/>
      <c r="H91" s="1288"/>
      <c r="I91" s="1288"/>
      <c r="J91" s="1288"/>
      <c r="K91" s="1288"/>
      <c r="L91" s="1288"/>
      <c r="M91" s="1288"/>
      <c r="N91" s="621"/>
      <c r="O91" s="1304"/>
      <c r="P91" s="1305"/>
      <c r="Q91" s="1305"/>
      <c r="R91" s="1305"/>
    </row>
    <row r="92" spans="1:18" ht="40.200000000000003">
      <c r="A92" s="481">
        <f>+A86+1</f>
        <v>77</v>
      </c>
      <c r="C92" s="482" t="s">
        <v>365</v>
      </c>
      <c r="D92" s="124" t="s">
        <v>323</v>
      </c>
      <c r="E92" s="479" t="s">
        <v>324</v>
      </c>
      <c r="F92" s="917" t="s">
        <v>325</v>
      </c>
      <c r="G92" s="483"/>
      <c r="H92" s="1275" t="str">
        <f>H6</f>
        <v>Segment B Facilities - NYES Capped</v>
      </c>
      <c r="I92" s="1275" t="str">
        <f t="shared" ref="I92:L92" si="23">I6</f>
        <v>Segment B Facilities - NYES Unforeseen</v>
      </c>
      <c r="J92" s="1275" t="str">
        <f t="shared" si="23"/>
        <v>Segment B Facilities - NYES Third Party</v>
      </c>
      <c r="K92" s="1275" t="str">
        <f>K6</f>
        <v>Segment B Additions - RTS</v>
      </c>
      <c r="L92" s="1275" t="str">
        <f t="shared" si="23"/>
        <v>Segment B Facilities - Dover PARs</v>
      </c>
      <c r="M92" s="1261" t="str">
        <f>M6</f>
        <v>TOTS</v>
      </c>
      <c r="O92" s="141"/>
      <c r="P92" s="141"/>
      <c r="Q92" s="141"/>
      <c r="R92" s="141"/>
    </row>
    <row r="93" spans="1:18">
      <c r="A93" s="481">
        <f t="shared" ref="A93:A106" si="24">+A92+1</f>
        <v>78</v>
      </c>
      <c r="C93" s="124" t="s">
        <v>329</v>
      </c>
      <c r="D93" s="478" t="s">
        <v>366</v>
      </c>
      <c r="E93" s="1072">
        <f>+$E$7</f>
        <v>2022</v>
      </c>
      <c r="F93" s="918">
        <v>12130668</v>
      </c>
      <c r="G93" s="1281"/>
      <c r="H93" s="1289">
        <v>1701869</v>
      </c>
      <c r="I93" s="1289">
        <v>0</v>
      </c>
      <c r="J93" s="1289">
        <v>0</v>
      </c>
      <c r="K93" s="1289">
        <v>0</v>
      </c>
      <c r="L93" s="1289">
        <v>0</v>
      </c>
      <c r="M93" s="1289">
        <v>10428799</v>
      </c>
      <c r="N93" s="142"/>
      <c r="O93" s="1277">
        <f t="shared" ref="O93:O106" si="25">SUM(G93:N93)</f>
        <v>12130668</v>
      </c>
      <c r="P93" s="141"/>
      <c r="Q93" s="141"/>
      <c r="R93" s="141"/>
    </row>
    <row r="94" spans="1:18">
      <c r="A94" s="481">
        <f t="shared" si="24"/>
        <v>79</v>
      </c>
      <c r="C94" s="919" t="s">
        <v>331</v>
      </c>
      <c r="D94" s="124" t="s">
        <v>332</v>
      </c>
      <c r="E94" s="1072">
        <f>+$E$8</f>
        <v>2023</v>
      </c>
      <c r="F94" s="918">
        <v>12772316</v>
      </c>
      <c r="G94" s="1281"/>
      <c r="H94" s="1289">
        <f>H93+388467</f>
        <v>2090336</v>
      </c>
      <c r="I94" s="1289">
        <f t="shared" ref="I94:L94" si="26">I93</f>
        <v>0</v>
      </c>
      <c r="J94" s="1289">
        <f t="shared" si="26"/>
        <v>0</v>
      </c>
      <c r="K94" s="1289">
        <f>K93</f>
        <v>0</v>
      </c>
      <c r="L94" s="1289">
        <f t="shared" si="26"/>
        <v>0</v>
      </c>
      <c r="M94" s="1289">
        <f>M93+253181</f>
        <v>10681980</v>
      </c>
      <c r="O94" s="1277">
        <f t="shared" si="25"/>
        <v>12772316</v>
      </c>
      <c r="P94" s="141"/>
      <c r="Q94" s="141"/>
      <c r="R94" s="141"/>
    </row>
    <row r="95" spans="1:18">
      <c r="A95" s="481">
        <f t="shared" si="24"/>
        <v>80</v>
      </c>
      <c r="B95" s="479"/>
      <c r="C95" s="919" t="s">
        <v>333</v>
      </c>
      <c r="D95" s="124" t="s">
        <v>332</v>
      </c>
      <c r="E95" s="1072">
        <f t="shared" ref="E95:E105" si="27">+$E$8</f>
        <v>2023</v>
      </c>
      <c r="F95" s="918">
        <v>13413964</v>
      </c>
      <c r="G95" s="1281"/>
      <c r="H95" s="1289">
        <f t="shared" ref="H95:H98" si="28">H94+388467</f>
        <v>2478803</v>
      </c>
      <c r="I95" s="1289">
        <f t="shared" ref="I95:I98" si="29">I94</f>
        <v>0</v>
      </c>
      <c r="J95" s="1289">
        <f t="shared" ref="J95:J98" si="30">J94</f>
        <v>0</v>
      </c>
      <c r="K95" s="1289">
        <f t="shared" ref="K95:K98" si="31">K94</f>
        <v>0</v>
      </c>
      <c r="L95" s="1289">
        <f t="shared" ref="L95:L105" si="32">L94</f>
        <v>0</v>
      </c>
      <c r="M95" s="1289">
        <f t="shared" ref="M95:M105" si="33">M94+253181</f>
        <v>10935161</v>
      </c>
      <c r="N95" s="127"/>
      <c r="O95" s="1277">
        <f t="shared" si="25"/>
        <v>13413964</v>
      </c>
      <c r="P95" s="141"/>
      <c r="Q95" s="141"/>
      <c r="R95" s="141"/>
    </row>
    <row r="96" spans="1:18">
      <c r="A96" s="481">
        <f t="shared" si="24"/>
        <v>81</v>
      </c>
      <c r="B96" s="479"/>
      <c r="C96" s="919" t="s">
        <v>334</v>
      </c>
      <c r="D96" s="124" t="s">
        <v>332</v>
      </c>
      <c r="E96" s="1072">
        <f t="shared" si="27"/>
        <v>2023</v>
      </c>
      <c r="F96" s="918">
        <v>14055612</v>
      </c>
      <c r="G96" s="1281"/>
      <c r="H96" s="1289">
        <f t="shared" si="28"/>
        <v>2867270</v>
      </c>
      <c r="I96" s="1289">
        <f t="shared" si="29"/>
        <v>0</v>
      </c>
      <c r="J96" s="1289">
        <f t="shared" si="30"/>
        <v>0</v>
      </c>
      <c r="K96" s="1289">
        <f t="shared" si="31"/>
        <v>0</v>
      </c>
      <c r="L96" s="1289">
        <f t="shared" si="32"/>
        <v>0</v>
      </c>
      <c r="M96" s="1289">
        <f t="shared" si="33"/>
        <v>11188342</v>
      </c>
      <c r="N96" s="127"/>
      <c r="O96" s="1277">
        <f t="shared" si="25"/>
        <v>14055612</v>
      </c>
      <c r="P96" s="141"/>
      <c r="Q96" s="141"/>
      <c r="R96" s="141"/>
    </row>
    <row r="97" spans="1:18">
      <c r="A97" s="481">
        <f t="shared" si="24"/>
        <v>82</v>
      </c>
      <c r="C97" s="919" t="s">
        <v>335</v>
      </c>
      <c r="D97" s="124" t="s">
        <v>332</v>
      </c>
      <c r="E97" s="1072">
        <f t="shared" si="27"/>
        <v>2023</v>
      </c>
      <c r="F97" s="918">
        <v>14697260</v>
      </c>
      <c r="G97" s="1281"/>
      <c r="H97" s="1289">
        <f t="shared" si="28"/>
        <v>3255737</v>
      </c>
      <c r="I97" s="1289">
        <f t="shared" si="29"/>
        <v>0</v>
      </c>
      <c r="J97" s="1289">
        <f t="shared" si="30"/>
        <v>0</v>
      </c>
      <c r="K97" s="1289">
        <f t="shared" si="31"/>
        <v>0</v>
      </c>
      <c r="L97" s="1289">
        <f t="shared" si="32"/>
        <v>0</v>
      </c>
      <c r="M97" s="1289">
        <f t="shared" si="33"/>
        <v>11441523</v>
      </c>
      <c r="N97" s="127"/>
      <c r="O97" s="1277">
        <f t="shared" si="25"/>
        <v>14697260</v>
      </c>
      <c r="P97" s="141"/>
      <c r="Q97" s="141"/>
      <c r="R97" s="141"/>
    </row>
    <row r="98" spans="1:18">
      <c r="A98" s="481">
        <f t="shared" si="24"/>
        <v>83</v>
      </c>
      <c r="C98" s="919" t="s">
        <v>336</v>
      </c>
      <c r="D98" s="124" t="s">
        <v>332</v>
      </c>
      <c r="E98" s="1072">
        <f t="shared" si="27"/>
        <v>2023</v>
      </c>
      <c r="F98" s="918">
        <v>15338908</v>
      </c>
      <c r="G98" s="1281"/>
      <c r="H98" s="1289">
        <f t="shared" si="28"/>
        <v>3644204</v>
      </c>
      <c r="I98" s="1289">
        <f t="shared" si="29"/>
        <v>0</v>
      </c>
      <c r="J98" s="1289">
        <f t="shared" si="30"/>
        <v>0</v>
      </c>
      <c r="K98" s="1289">
        <f t="shared" si="31"/>
        <v>0</v>
      </c>
      <c r="L98" s="1289">
        <f t="shared" si="32"/>
        <v>0</v>
      </c>
      <c r="M98" s="1289">
        <f t="shared" si="33"/>
        <v>11694704</v>
      </c>
      <c r="O98" s="1277">
        <f t="shared" si="25"/>
        <v>15338908</v>
      </c>
    </row>
    <row r="99" spans="1:18">
      <c r="A99" s="481">
        <f t="shared" si="24"/>
        <v>84</v>
      </c>
      <c r="C99" s="919" t="s">
        <v>337</v>
      </c>
      <c r="D99" s="124" t="s">
        <v>332</v>
      </c>
      <c r="E99" s="1072">
        <f t="shared" si="27"/>
        <v>2023</v>
      </c>
      <c r="F99" s="918">
        <v>16696979</v>
      </c>
      <c r="G99" s="1281"/>
      <c r="H99" s="1289">
        <f>H98+656965</f>
        <v>4301169</v>
      </c>
      <c r="I99" s="1289">
        <f>I98+8084</f>
        <v>8084</v>
      </c>
      <c r="J99" s="1289">
        <f>J98+279632</f>
        <v>279632</v>
      </c>
      <c r="K99" s="1289">
        <f>K98+160209</f>
        <v>160209</v>
      </c>
      <c r="L99" s="1289">
        <f t="shared" si="32"/>
        <v>0</v>
      </c>
      <c r="M99" s="1289">
        <f t="shared" si="33"/>
        <v>11947885</v>
      </c>
      <c r="N99" s="142"/>
      <c r="O99" s="1277">
        <f t="shared" si="25"/>
        <v>16696979</v>
      </c>
      <c r="P99" s="141"/>
      <c r="Q99" s="141"/>
      <c r="R99" s="141"/>
    </row>
    <row r="100" spans="1:18">
      <c r="A100" s="481">
        <f t="shared" si="24"/>
        <v>85</v>
      </c>
      <c r="C100" s="919" t="s">
        <v>338</v>
      </c>
      <c r="D100" s="124" t="s">
        <v>332</v>
      </c>
      <c r="E100" s="1072">
        <f t="shared" si="27"/>
        <v>2023</v>
      </c>
      <c r="F100" s="918">
        <v>18055050</v>
      </c>
      <c r="G100" s="1281"/>
      <c r="H100" s="1289">
        <f t="shared" ref="H100:H105" si="34">H99+656965</f>
        <v>4958134</v>
      </c>
      <c r="I100" s="1289">
        <f t="shared" ref="I100:I105" si="35">I99+8084</f>
        <v>16168</v>
      </c>
      <c r="J100" s="1289">
        <f t="shared" ref="J100:J105" si="36">J99+279632</f>
        <v>559264</v>
      </c>
      <c r="K100" s="1289">
        <f t="shared" ref="K100:K105" si="37">K99+160209</f>
        <v>320418</v>
      </c>
      <c r="L100" s="1289">
        <f t="shared" si="32"/>
        <v>0</v>
      </c>
      <c r="M100" s="1289">
        <f t="shared" si="33"/>
        <v>12201066</v>
      </c>
      <c r="O100" s="1277">
        <f t="shared" si="25"/>
        <v>18055050</v>
      </c>
      <c r="P100" s="141"/>
      <c r="Q100" s="141"/>
      <c r="R100" s="141"/>
    </row>
    <row r="101" spans="1:18">
      <c r="A101" s="481">
        <f t="shared" si="24"/>
        <v>86</v>
      </c>
      <c r="B101" s="479"/>
      <c r="C101" s="919" t="s">
        <v>339</v>
      </c>
      <c r="D101" s="124" t="s">
        <v>332</v>
      </c>
      <c r="E101" s="1072">
        <f t="shared" si="27"/>
        <v>2023</v>
      </c>
      <c r="F101" s="918">
        <v>19413121</v>
      </c>
      <c r="G101" s="1281"/>
      <c r="H101" s="1289">
        <f t="shared" si="34"/>
        <v>5615099</v>
      </c>
      <c r="I101" s="1289">
        <f t="shared" si="35"/>
        <v>24252</v>
      </c>
      <c r="J101" s="1289">
        <f t="shared" si="36"/>
        <v>838896</v>
      </c>
      <c r="K101" s="1289">
        <f t="shared" si="37"/>
        <v>480627</v>
      </c>
      <c r="L101" s="1289">
        <f t="shared" si="32"/>
        <v>0</v>
      </c>
      <c r="M101" s="1289">
        <f t="shared" si="33"/>
        <v>12454247</v>
      </c>
      <c r="N101" s="127"/>
      <c r="O101" s="1277">
        <f t="shared" si="25"/>
        <v>19413121</v>
      </c>
      <c r="P101" s="141"/>
      <c r="Q101" s="141"/>
      <c r="R101" s="141"/>
    </row>
    <row r="102" spans="1:18">
      <c r="A102" s="481">
        <f t="shared" si="24"/>
        <v>87</v>
      </c>
      <c r="B102" s="479"/>
      <c r="C102" s="919" t="s">
        <v>340</v>
      </c>
      <c r="D102" s="124" t="s">
        <v>332</v>
      </c>
      <c r="E102" s="1072">
        <f t="shared" si="27"/>
        <v>2023</v>
      </c>
      <c r="F102" s="918">
        <v>20771192</v>
      </c>
      <c r="G102" s="1281"/>
      <c r="H102" s="1289">
        <f t="shared" si="34"/>
        <v>6272064</v>
      </c>
      <c r="I102" s="1289">
        <f t="shared" si="35"/>
        <v>32336</v>
      </c>
      <c r="J102" s="1289">
        <f t="shared" si="36"/>
        <v>1118528</v>
      </c>
      <c r="K102" s="1289">
        <f t="shared" si="37"/>
        <v>640836</v>
      </c>
      <c r="L102" s="1289">
        <f t="shared" si="32"/>
        <v>0</v>
      </c>
      <c r="M102" s="1289">
        <f t="shared" si="33"/>
        <v>12707428</v>
      </c>
      <c r="N102" s="127"/>
      <c r="O102" s="1277">
        <f t="shared" si="25"/>
        <v>20771192</v>
      </c>
      <c r="P102" s="141"/>
      <c r="Q102" s="141"/>
      <c r="R102" s="141"/>
    </row>
    <row r="103" spans="1:18">
      <c r="A103" s="481">
        <f t="shared" si="24"/>
        <v>88</v>
      </c>
      <c r="C103" s="919" t="s">
        <v>347</v>
      </c>
      <c r="D103" s="124" t="s">
        <v>332</v>
      </c>
      <c r="E103" s="1072">
        <f t="shared" si="27"/>
        <v>2023</v>
      </c>
      <c r="F103" s="918">
        <v>22129263</v>
      </c>
      <c r="G103" s="1281"/>
      <c r="H103" s="1289">
        <f t="shared" si="34"/>
        <v>6929029</v>
      </c>
      <c r="I103" s="1289">
        <f t="shared" si="35"/>
        <v>40420</v>
      </c>
      <c r="J103" s="1289">
        <f t="shared" si="36"/>
        <v>1398160</v>
      </c>
      <c r="K103" s="1289">
        <f t="shared" si="37"/>
        <v>801045</v>
      </c>
      <c r="L103" s="1289">
        <f t="shared" si="32"/>
        <v>0</v>
      </c>
      <c r="M103" s="1289">
        <f t="shared" si="33"/>
        <v>12960609</v>
      </c>
      <c r="N103" s="127"/>
      <c r="O103" s="1277">
        <f t="shared" si="25"/>
        <v>22129263</v>
      </c>
      <c r="P103" s="141"/>
      <c r="Q103" s="141"/>
      <c r="R103" s="141"/>
    </row>
    <row r="104" spans="1:18">
      <c r="A104" s="481">
        <f t="shared" si="24"/>
        <v>89</v>
      </c>
      <c r="C104" s="919" t="s">
        <v>342</v>
      </c>
      <c r="D104" s="124" t="s">
        <v>332</v>
      </c>
      <c r="E104" s="1072">
        <f t="shared" si="27"/>
        <v>2023</v>
      </c>
      <c r="F104" s="918">
        <v>23487334</v>
      </c>
      <c r="G104" s="1281"/>
      <c r="H104" s="1289">
        <f t="shared" si="34"/>
        <v>7585994</v>
      </c>
      <c r="I104" s="1289">
        <f t="shared" si="35"/>
        <v>48504</v>
      </c>
      <c r="J104" s="1289">
        <f t="shared" si="36"/>
        <v>1677792</v>
      </c>
      <c r="K104" s="1289">
        <f t="shared" si="37"/>
        <v>961254</v>
      </c>
      <c r="L104" s="1289">
        <f t="shared" si="32"/>
        <v>0</v>
      </c>
      <c r="M104" s="1289">
        <f t="shared" si="33"/>
        <v>13213790</v>
      </c>
      <c r="N104" s="127"/>
      <c r="O104" s="1277">
        <f t="shared" si="25"/>
        <v>23487334</v>
      </c>
      <c r="P104" s="141"/>
      <c r="Q104" s="141"/>
      <c r="R104" s="141"/>
    </row>
    <row r="105" spans="1:18">
      <c r="A105" s="481">
        <f t="shared" si="24"/>
        <v>90</v>
      </c>
      <c r="C105" s="920" t="s">
        <v>329</v>
      </c>
      <c r="D105" s="916" t="s">
        <v>367</v>
      </c>
      <c r="E105" s="1073">
        <f t="shared" si="27"/>
        <v>2023</v>
      </c>
      <c r="F105" s="918">
        <v>24845405</v>
      </c>
      <c r="G105" s="1281"/>
      <c r="H105" s="1289">
        <f t="shared" si="34"/>
        <v>8242959</v>
      </c>
      <c r="I105" s="1289">
        <f t="shared" si="35"/>
        <v>56588</v>
      </c>
      <c r="J105" s="1289">
        <f t="shared" si="36"/>
        <v>1957424</v>
      </c>
      <c r="K105" s="1289">
        <f t="shared" si="37"/>
        <v>1121463</v>
      </c>
      <c r="L105" s="1289">
        <f t="shared" si="32"/>
        <v>0</v>
      </c>
      <c r="M105" s="1289">
        <f t="shared" si="33"/>
        <v>13466971</v>
      </c>
      <c r="O105" s="1277">
        <f t="shared" si="25"/>
        <v>24845405</v>
      </c>
      <c r="P105" s="122">
        <f>+O105-O93</f>
        <v>12714737</v>
      </c>
    </row>
    <row r="106" spans="1:18">
      <c r="A106" s="481">
        <f t="shared" si="24"/>
        <v>91</v>
      </c>
      <c r="C106" s="922" t="s">
        <v>368</v>
      </c>
      <c r="D106" s="124" t="str">
        <f>"(sum lines "&amp;A93&amp;"-"&amp;A105&amp;") /13"</f>
        <v>(sum lines 78-90) /13</v>
      </c>
      <c r="E106" s="927"/>
      <c r="F106" s="958">
        <f t="shared" ref="F106:M106" si="38">SUM(F93:F105)/13</f>
        <v>17523620.923076924</v>
      </c>
      <c r="G106" s="1284"/>
      <c r="H106" s="1276">
        <f>SUM(H93:H105)/13</f>
        <v>4610974.384615385</v>
      </c>
      <c r="I106" s="1276">
        <f t="shared" si="38"/>
        <v>17411.692307692309</v>
      </c>
      <c r="J106" s="1276">
        <f t="shared" si="38"/>
        <v>602284.30769230775</v>
      </c>
      <c r="K106" s="1276">
        <f>SUM(K93:K105)/13</f>
        <v>345065.53846153844</v>
      </c>
      <c r="L106" s="1276">
        <f t="shared" si="38"/>
        <v>0</v>
      </c>
      <c r="M106" s="1269">
        <f t="shared" si="38"/>
        <v>11947885</v>
      </c>
      <c r="O106" s="1277">
        <f t="shared" si="25"/>
        <v>17523620.923076924</v>
      </c>
      <c r="P106" s="141"/>
      <c r="Q106" s="141"/>
      <c r="R106" s="141"/>
    </row>
    <row r="107" spans="1:18">
      <c r="A107" s="481"/>
      <c r="B107" s="479"/>
      <c r="C107" s="919"/>
      <c r="E107" s="927"/>
      <c r="F107" s="926"/>
      <c r="G107" s="919"/>
      <c r="H107" s="1289"/>
      <c r="I107" s="1289"/>
      <c r="J107" s="1289"/>
      <c r="K107" s="1289"/>
      <c r="L107" s="1289"/>
      <c r="M107" s="1290"/>
      <c r="N107" s="127"/>
      <c r="O107" s="141"/>
      <c r="P107" s="141"/>
      <c r="Q107" s="141"/>
      <c r="R107" s="141"/>
    </row>
    <row r="108" spans="1:18">
      <c r="A108" s="481">
        <f>+A106+1</f>
        <v>92</v>
      </c>
      <c r="C108" s="482" t="s">
        <v>369</v>
      </c>
      <c r="D108" s="124" t="s">
        <v>323</v>
      </c>
      <c r="E108" s="834"/>
      <c r="F108" s="487"/>
      <c r="H108" s="1291"/>
      <c r="I108" s="1291"/>
      <c r="J108" s="1291"/>
      <c r="K108" s="1291"/>
      <c r="L108" s="1291"/>
      <c r="M108" s="1291"/>
      <c r="O108" s="141"/>
      <c r="P108" s="141"/>
      <c r="Q108" s="141"/>
      <c r="R108" s="141"/>
    </row>
    <row r="109" spans="1:18">
      <c r="A109" s="481">
        <f t="shared" ref="A109:A122" si="39">+A108+1</f>
        <v>93</v>
      </c>
      <c r="C109" s="124" t="s">
        <v>329</v>
      </c>
      <c r="D109" s="478" t="s">
        <v>370</v>
      </c>
      <c r="E109" s="1072">
        <f>+$E$7</f>
        <v>2022</v>
      </c>
      <c r="F109" s="918">
        <v>0</v>
      </c>
      <c r="G109" s="1281"/>
      <c r="H109" s="1289"/>
      <c r="I109" s="1289"/>
      <c r="J109" s="1289"/>
      <c r="K109" s="1289"/>
      <c r="L109" s="1289"/>
      <c r="M109" s="1290"/>
      <c r="N109" s="142"/>
      <c r="O109" s="141"/>
      <c r="P109" s="141"/>
      <c r="Q109" s="141"/>
      <c r="R109" s="141"/>
    </row>
    <row r="110" spans="1:18">
      <c r="A110" s="481">
        <f t="shared" si="39"/>
        <v>94</v>
      </c>
      <c r="C110" s="919" t="s">
        <v>331</v>
      </c>
      <c r="D110" s="124" t="s">
        <v>332</v>
      </c>
      <c r="E110" s="1072">
        <f>+$E$8</f>
        <v>2023</v>
      </c>
      <c r="F110" s="918">
        <v>0</v>
      </c>
      <c r="G110" s="1281"/>
      <c r="H110" s="1289"/>
      <c r="I110" s="1289"/>
      <c r="J110" s="1289"/>
      <c r="K110" s="1289"/>
      <c r="L110" s="1289"/>
      <c r="M110" s="1291"/>
      <c r="O110" s="141"/>
      <c r="P110" s="141"/>
      <c r="Q110" s="141"/>
      <c r="R110" s="141"/>
    </row>
    <row r="111" spans="1:18">
      <c r="A111" s="481">
        <f t="shared" si="39"/>
        <v>95</v>
      </c>
      <c r="B111" s="479"/>
      <c r="C111" s="919" t="s">
        <v>333</v>
      </c>
      <c r="D111" s="124" t="s">
        <v>332</v>
      </c>
      <c r="E111" s="1072">
        <f t="shared" ref="E111:E121" si="40">+$E$8</f>
        <v>2023</v>
      </c>
      <c r="F111" s="918">
        <v>0</v>
      </c>
      <c r="G111" s="1281"/>
      <c r="H111" s="1289"/>
      <c r="I111" s="1289"/>
      <c r="J111" s="1289"/>
      <c r="K111" s="1289"/>
      <c r="L111" s="1289"/>
      <c r="M111" s="1290"/>
      <c r="N111" s="127"/>
      <c r="O111" s="141"/>
      <c r="P111" s="141"/>
      <c r="Q111" s="141"/>
      <c r="R111" s="141"/>
    </row>
    <row r="112" spans="1:18">
      <c r="A112" s="481">
        <f t="shared" si="39"/>
        <v>96</v>
      </c>
      <c r="B112" s="479"/>
      <c r="C112" s="919" t="s">
        <v>334</v>
      </c>
      <c r="D112" s="124" t="s">
        <v>332</v>
      </c>
      <c r="E112" s="1072">
        <f t="shared" si="40"/>
        <v>2023</v>
      </c>
      <c r="F112" s="918">
        <v>0</v>
      </c>
      <c r="G112" s="1281"/>
      <c r="H112" s="1289"/>
      <c r="I112" s="1289"/>
      <c r="J112" s="1289"/>
      <c r="K112" s="1289"/>
      <c r="L112" s="1289"/>
      <c r="M112" s="1290"/>
      <c r="N112" s="127"/>
      <c r="O112" s="141"/>
      <c r="P112" s="141"/>
      <c r="Q112" s="141"/>
      <c r="R112" s="141"/>
    </row>
    <row r="113" spans="1:18">
      <c r="A113" s="481">
        <f t="shared" si="39"/>
        <v>97</v>
      </c>
      <c r="C113" s="919" t="s">
        <v>335</v>
      </c>
      <c r="D113" s="124" t="s">
        <v>332</v>
      </c>
      <c r="E113" s="1072">
        <f t="shared" si="40"/>
        <v>2023</v>
      </c>
      <c r="F113" s="918">
        <v>0</v>
      </c>
      <c r="G113" s="1281"/>
      <c r="H113" s="1289"/>
      <c r="I113" s="1289"/>
      <c r="J113" s="1289"/>
      <c r="K113" s="1289"/>
      <c r="L113" s="1289"/>
      <c r="M113" s="1290"/>
      <c r="N113" s="127"/>
      <c r="O113" s="141"/>
      <c r="P113" s="141"/>
      <c r="Q113" s="141"/>
      <c r="R113" s="141"/>
    </row>
    <row r="114" spans="1:18">
      <c r="A114" s="481">
        <f t="shared" si="39"/>
        <v>98</v>
      </c>
      <c r="C114" s="919" t="s">
        <v>336</v>
      </c>
      <c r="D114" s="124" t="s">
        <v>332</v>
      </c>
      <c r="E114" s="1072">
        <f t="shared" si="40"/>
        <v>2023</v>
      </c>
      <c r="F114" s="918">
        <v>0</v>
      </c>
      <c r="G114" s="1281"/>
      <c r="H114" s="1291"/>
      <c r="I114" s="1291"/>
      <c r="J114" s="1291"/>
      <c r="K114" s="1291"/>
      <c r="L114" s="1291"/>
      <c r="M114" s="1291"/>
    </row>
    <row r="115" spans="1:18">
      <c r="A115" s="481">
        <f t="shared" si="39"/>
        <v>99</v>
      </c>
      <c r="C115" s="919" t="s">
        <v>337</v>
      </c>
      <c r="D115" s="124" t="s">
        <v>332</v>
      </c>
      <c r="E115" s="1072">
        <f t="shared" si="40"/>
        <v>2023</v>
      </c>
      <c r="F115" s="918">
        <v>0</v>
      </c>
      <c r="G115" s="1281"/>
      <c r="H115" s="1289"/>
      <c r="I115" s="1289"/>
      <c r="J115" s="1289"/>
      <c r="K115" s="1289"/>
      <c r="L115" s="1289"/>
      <c r="M115" s="1290"/>
      <c r="N115" s="142"/>
      <c r="O115" s="141"/>
      <c r="P115" s="141"/>
      <c r="Q115" s="141"/>
      <c r="R115" s="141"/>
    </row>
    <row r="116" spans="1:18">
      <c r="A116" s="481">
        <f t="shared" si="39"/>
        <v>100</v>
      </c>
      <c r="C116" s="919" t="s">
        <v>338</v>
      </c>
      <c r="D116" s="124" t="s">
        <v>332</v>
      </c>
      <c r="E116" s="1072">
        <f t="shared" si="40"/>
        <v>2023</v>
      </c>
      <c r="F116" s="918">
        <v>0</v>
      </c>
      <c r="G116" s="1281"/>
      <c r="H116" s="1289"/>
      <c r="I116" s="1289"/>
      <c r="J116" s="1289"/>
      <c r="K116" s="1289"/>
      <c r="L116" s="1289"/>
      <c r="M116" s="1291"/>
      <c r="O116" s="141"/>
      <c r="P116" s="141"/>
      <c r="Q116" s="141"/>
      <c r="R116" s="141"/>
    </row>
    <row r="117" spans="1:18">
      <c r="A117" s="481">
        <f t="shared" si="39"/>
        <v>101</v>
      </c>
      <c r="B117" s="479"/>
      <c r="C117" s="919" t="s">
        <v>339</v>
      </c>
      <c r="D117" s="124" t="s">
        <v>332</v>
      </c>
      <c r="E117" s="1072">
        <f t="shared" si="40"/>
        <v>2023</v>
      </c>
      <c r="F117" s="918">
        <v>0</v>
      </c>
      <c r="G117" s="1281"/>
      <c r="H117" s="1289"/>
      <c r="I117" s="1289"/>
      <c r="J117" s="1289"/>
      <c r="K117" s="1289"/>
      <c r="L117" s="1289"/>
      <c r="M117" s="1290"/>
      <c r="N117" s="127"/>
      <c r="O117" s="141"/>
      <c r="P117" s="141"/>
      <c r="Q117" s="141"/>
      <c r="R117" s="141"/>
    </row>
    <row r="118" spans="1:18">
      <c r="A118" s="481">
        <f t="shared" si="39"/>
        <v>102</v>
      </c>
      <c r="B118" s="479"/>
      <c r="C118" s="919" t="s">
        <v>340</v>
      </c>
      <c r="D118" s="124" t="s">
        <v>332</v>
      </c>
      <c r="E118" s="1072">
        <f t="shared" si="40"/>
        <v>2023</v>
      </c>
      <c r="F118" s="918">
        <v>0</v>
      </c>
      <c r="G118" s="1281"/>
      <c r="H118" s="1289"/>
      <c r="I118" s="1289"/>
      <c r="J118" s="1289"/>
      <c r="K118" s="1289"/>
      <c r="L118" s="1289"/>
      <c r="M118" s="1290"/>
      <c r="N118" s="127"/>
      <c r="O118" s="141"/>
      <c r="P118" s="141"/>
      <c r="Q118" s="141"/>
      <c r="R118" s="141"/>
    </row>
    <row r="119" spans="1:18">
      <c r="A119" s="481">
        <f t="shared" si="39"/>
        <v>103</v>
      </c>
      <c r="C119" s="919" t="s">
        <v>341</v>
      </c>
      <c r="D119" s="124" t="s">
        <v>332</v>
      </c>
      <c r="E119" s="1072">
        <f t="shared" si="40"/>
        <v>2023</v>
      </c>
      <c r="F119" s="918">
        <v>0</v>
      </c>
      <c r="G119" s="1281"/>
      <c r="H119" s="1289"/>
      <c r="I119" s="1289"/>
      <c r="J119" s="1289"/>
      <c r="K119" s="1289"/>
      <c r="L119" s="1289"/>
      <c r="M119" s="1290"/>
      <c r="N119" s="127"/>
      <c r="O119" s="141"/>
      <c r="P119" s="141"/>
      <c r="Q119" s="141"/>
      <c r="R119" s="141"/>
    </row>
    <row r="120" spans="1:18">
      <c r="A120" s="481">
        <f t="shared" si="39"/>
        <v>104</v>
      </c>
      <c r="C120" s="919" t="s">
        <v>342</v>
      </c>
      <c r="D120" s="124" t="s">
        <v>332</v>
      </c>
      <c r="E120" s="1072">
        <f t="shared" si="40"/>
        <v>2023</v>
      </c>
      <c r="F120" s="918">
        <v>0</v>
      </c>
      <c r="G120" s="1281"/>
      <c r="H120" s="1289"/>
      <c r="I120" s="1289"/>
      <c r="J120" s="1289"/>
      <c r="K120" s="1289"/>
      <c r="L120" s="1289"/>
      <c r="M120" s="1290"/>
      <c r="N120" s="127"/>
      <c r="O120" s="141"/>
      <c r="P120" s="141"/>
      <c r="Q120" s="141"/>
      <c r="R120" s="141"/>
    </row>
    <row r="121" spans="1:18">
      <c r="A121" s="481">
        <f t="shared" si="39"/>
        <v>105</v>
      </c>
      <c r="C121" s="920" t="s">
        <v>329</v>
      </c>
      <c r="D121" s="916" t="s">
        <v>371</v>
      </c>
      <c r="E121" s="1073">
        <f t="shared" si="40"/>
        <v>2023</v>
      </c>
      <c r="F121" s="921">
        <v>0</v>
      </c>
      <c r="G121" s="1281"/>
      <c r="H121" s="1289"/>
      <c r="I121" s="1289"/>
      <c r="J121" s="1289"/>
      <c r="K121" s="1289"/>
      <c r="L121" s="1289"/>
      <c r="M121" s="1291"/>
    </row>
    <row r="122" spans="1:18">
      <c r="A122" s="481">
        <f t="shared" si="39"/>
        <v>106</v>
      </c>
      <c r="C122" s="922" t="s">
        <v>372</v>
      </c>
      <c r="D122" s="124" t="str">
        <f>"(sum lines "&amp;A109&amp;"-"&amp;A121&amp;") /13"</f>
        <v>(sum lines 93-105) /13</v>
      </c>
      <c r="E122" s="927"/>
      <c r="F122" s="924">
        <f>SUM(F109:F121)/13</f>
        <v>0</v>
      </c>
      <c r="G122" s="1282"/>
      <c r="H122" s="1291"/>
      <c r="I122" s="1291"/>
      <c r="J122" s="1291"/>
      <c r="K122" s="1291"/>
      <c r="L122" s="1291"/>
      <c r="M122" s="1291"/>
      <c r="O122" s="141"/>
      <c r="P122" s="141"/>
      <c r="Q122" s="141"/>
      <c r="R122" s="141"/>
    </row>
    <row r="123" spans="1:18">
      <c r="A123" s="481"/>
      <c r="B123" s="479"/>
      <c r="C123" s="919"/>
      <c r="E123" s="927"/>
      <c r="F123" s="926"/>
      <c r="G123" s="919"/>
      <c r="H123" s="1289"/>
      <c r="I123" s="1289"/>
      <c r="J123" s="1289"/>
      <c r="K123" s="1289"/>
      <c r="L123" s="1289"/>
      <c r="M123" s="1290"/>
      <c r="N123" s="127"/>
      <c r="O123" s="141"/>
      <c r="P123" s="141"/>
      <c r="Q123" s="141"/>
      <c r="R123" s="141"/>
    </row>
    <row r="124" spans="1:18">
      <c r="A124" s="481">
        <f>+A122+1</f>
        <v>107</v>
      </c>
      <c r="C124" s="482" t="s">
        <v>373</v>
      </c>
      <c r="D124" s="124" t="s">
        <v>323</v>
      </c>
      <c r="E124" s="834"/>
      <c r="F124" s="487"/>
      <c r="H124" s="1291"/>
      <c r="I124" s="1291"/>
      <c r="J124" s="1291"/>
      <c r="K124" s="1291"/>
      <c r="L124" s="1291"/>
      <c r="M124" s="1291"/>
      <c r="O124" s="141"/>
      <c r="P124" s="141"/>
      <c r="Q124" s="141"/>
      <c r="R124" s="141"/>
    </row>
    <row r="125" spans="1:18">
      <c r="A125" s="481">
        <f>+A124+1</f>
        <v>108</v>
      </c>
      <c r="C125" s="124" t="s">
        <v>329</v>
      </c>
      <c r="D125" s="478" t="s">
        <v>374</v>
      </c>
      <c r="E125" s="1072">
        <f>+$E$7</f>
        <v>2022</v>
      </c>
      <c r="F125" s="918">
        <v>21631093</v>
      </c>
      <c r="G125" s="1281"/>
      <c r="H125" s="1289">
        <v>0</v>
      </c>
      <c r="I125" s="1289">
        <v>0</v>
      </c>
      <c r="J125" s="1289">
        <v>643524</v>
      </c>
      <c r="K125" s="1289">
        <v>0</v>
      </c>
      <c r="L125" s="1289">
        <v>0</v>
      </c>
      <c r="M125" s="1289">
        <v>20987569</v>
      </c>
      <c r="N125" s="142"/>
      <c r="O125" s="1277">
        <f t="shared" ref="O125:O138" si="41">SUM(G125:N125)</f>
        <v>21631093</v>
      </c>
      <c r="P125" s="141"/>
      <c r="Q125" s="141"/>
      <c r="R125" s="141"/>
    </row>
    <row r="126" spans="1:18">
      <c r="A126" s="481">
        <f t="shared" ref="A126:A137" si="42">+A125+1</f>
        <v>109</v>
      </c>
      <c r="C126" s="919" t="s">
        <v>331</v>
      </c>
      <c r="D126" s="124" t="s">
        <v>332</v>
      </c>
      <c r="E126" s="1072">
        <f>+$E$8</f>
        <v>2023</v>
      </c>
      <c r="F126" s="918">
        <v>21842524</v>
      </c>
      <c r="G126" s="1281"/>
      <c r="H126" s="1289">
        <f>H125+2700</f>
        <v>2700</v>
      </c>
      <c r="I126" s="1289">
        <f t="shared" ref="I126:L126" si="43">I125</f>
        <v>0</v>
      </c>
      <c r="J126" s="1289">
        <f>J125+78708</f>
        <v>722232</v>
      </c>
      <c r="K126" s="1289">
        <f t="shared" si="43"/>
        <v>0</v>
      </c>
      <c r="L126" s="1289">
        <f t="shared" si="43"/>
        <v>0</v>
      </c>
      <c r="M126" s="1289">
        <f>M125+130023</f>
        <v>21117592</v>
      </c>
      <c r="N126" s="142"/>
      <c r="O126" s="1277">
        <f t="shared" si="41"/>
        <v>21842524</v>
      </c>
      <c r="P126" s="141"/>
      <c r="Q126" s="141"/>
      <c r="R126" s="141"/>
    </row>
    <row r="127" spans="1:18">
      <c r="A127" s="481">
        <f t="shared" si="42"/>
        <v>110</v>
      </c>
      <c r="C127" s="919" t="s">
        <v>333</v>
      </c>
      <c r="D127" s="124" t="s">
        <v>332</v>
      </c>
      <c r="E127" s="1072">
        <f t="shared" ref="E127:E137" si="44">+$E$8</f>
        <v>2023</v>
      </c>
      <c r="F127" s="918">
        <v>22053955</v>
      </c>
      <c r="G127" s="1281"/>
      <c r="H127" s="1289">
        <f t="shared" ref="H127:H137" si="45">H126+2700</f>
        <v>5400</v>
      </c>
      <c r="I127" s="1289">
        <f t="shared" ref="I127:I137" si="46">I126</f>
        <v>0</v>
      </c>
      <c r="J127" s="1289">
        <f t="shared" ref="J127:J137" si="47">J126+78708</f>
        <v>800940</v>
      </c>
      <c r="K127" s="1289">
        <f t="shared" ref="K127:K137" si="48">K126</f>
        <v>0</v>
      </c>
      <c r="L127" s="1289">
        <f t="shared" ref="L127:L137" si="49">L126</f>
        <v>0</v>
      </c>
      <c r="M127" s="1289">
        <f t="shared" ref="M127:M137" si="50">M126+130023</f>
        <v>21247615</v>
      </c>
      <c r="N127" s="142"/>
      <c r="O127" s="1277">
        <f t="shared" si="41"/>
        <v>22053955</v>
      </c>
      <c r="P127" s="141"/>
      <c r="Q127" s="141"/>
      <c r="R127" s="141"/>
    </row>
    <row r="128" spans="1:18">
      <c r="A128" s="481">
        <f t="shared" si="42"/>
        <v>111</v>
      </c>
      <c r="C128" s="919" t="s">
        <v>334</v>
      </c>
      <c r="D128" s="124" t="s">
        <v>332</v>
      </c>
      <c r="E128" s="1072">
        <f t="shared" si="44"/>
        <v>2023</v>
      </c>
      <c r="F128" s="918">
        <v>22265386</v>
      </c>
      <c r="G128" s="1281"/>
      <c r="H128" s="1289">
        <f t="shared" si="45"/>
        <v>8100</v>
      </c>
      <c r="I128" s="1289">
        <f t="shared" si="46"/>
        <v>0</v>
      </c>
      <c r="J128" s="1289">
        <f t="shared" si="47"/>
        <v>879648</v>
      </c>
      <c r="K128" s="1289">
        <f t="shared" si="48"/>
        <v>0</v>
      </c>
      <c r="L128" s="1289">
        <f t="shared" si="49"/>
        <v>0</v>
      </c>
      <c r="M128" s="1289">
        <f t="shared" si="50"/>
        <v>21377638</v>
      </c>
      <c r="N128" s="142"/>
      <c r="O128" s="1277">
        <f t="shared" si="41"/>
        <v>22265386</v>
      </c>
      <c r="P128" s="141"/>
      <c r="Q128" s="141"/>
      <c r="R128" s="141"/>
    </row>
    <row r="129" spans="1:18">
      <c r="A129" s="481">
        <f t="shared" si="42"/>
        <v>112</v>
      </c>
      <c r="C129" s="919" t="s">
        <v>335</v>
      </c>
      <c r="D129" s="124" t="s">
        <v>332</v>
      </c>
      <c r="E129" s="1072">
        <f t="shared" si="44"/>
        <v>2023</v>
      </c>
      <c r="F129" s="918">
        <v>22476817</v>
      </c>
      <c r="G129" s="1281"/>
      <c r="H129" s="1289">
        <f t="shared" si="45"/>
        <v>10800</v>
      </c>
      <c r="I129" s="1289">
        <f t="shared" si="46"/>
        <v>0</v>
      </c>
      <c r="J129" s="1289">
        <f t="shared" si="47"/>
        <v>958356</v>
      </c>
      <c r="K129" s="1289">
        <f t="shared" si="48"/>
        <v>0</v>
      </c>
      <c r="L129" s="1289">
        <f t="shared" si="49"/>
        <v>0</v>
      </c>
      <c r="M129" s="1289">
        <f t="shared" si="50"/>
        <v>21507661</v>
      </c>
      <c r="N129" s="142"/>
      <c r="O129" s="1277">
        <f t="shared" si="41"/>
        <v>22476817</v>
      </c>
      <c r="P129" s="141"/>
      <c r="Q129" s="141"/>
      <c r="R129" s="141"/>
    </row>
    <row r="130" spans="1:18">
      <c r="A130" s="481">
        <f t="shared" si="42"/>
        <v>113</v>
      </c>
      <c r="C130" s="919" t="s">
        <v>336</v>
      </c>
      <c r="D130" s="124" t="s">
        <v>332</v>
      </c>
      <c r="E130" s="1072">
        <f t="shared" si="44"/>
        <v>2023</v>
      </c>
      <c r="F130" s="918">
        <v>22688248</v>
      </c>
      <c r="G130" s="1281"/>
      <c r="H130" s="1289">
        <f t="shared" si="45"/>
        <v>13500</v>
      </c>
      <c r="I130" s="1289">
        <f t="shared" si="46"/>
        <v>0</v>
      </c>
      <c r="J130" s="1289">
        <f t="shared" si="47"/>
        <v>1037064</v>
      </c>
      <c r="K130" s="1289">
        <f t="shared" si="48"/>
        <v>0</v>
      </c>
      <c r="L130" s="1289">
        <f t="shared" si="49"/>
        <v>0</v>
      </c>
      <c r="M130" s="1289">
        <f t="shared" si="50"/>
        <v>21637684</v>
      </c>
      <c r="N130" s="142"/>
      <c r="O130" s="1277">
        <f t="shared" si="41"/>
        <v>22688248</v>
      </c>
      <c r="P130" s="141"/>
      <c r="Q130" s="141"/>
      <c r="R130" s="141"/>
    </row>
    <row r="131" spans="1:18">
      <c r="A131" s="481">
        <f t="shared" si="42"/>
        <v>114</v>
      </c>
      <c r="C131" s="919" t="s">
        <v>337</v>
      </c>
      <c r="D131" s="124" t="s">
        <v>332</v>
      </c>
      <c r="E131" s="1072">
        <f t="shared" si="44"/>
        <v>2023</v>
      </c>
      <c r="F131" s="918">
        <v>22899679</v>
      </c>
      <c r="G131" s="1281"/>
      <c r="H131" s="1289">
        <f t="shared" si="45"/>
        <v>16200</v>
      </c>
      <c r="I131" s="1289">
        <f t="shared" si="46"/>
        <v>0</v>
      </c>
      <c r="J131" s="1289">
        <f t="shared" si="47"/>
        <v>1115772</v>
      </c>
      <c r="K131" s="1289">
        <f t="shared" si="48"/>
        <v>0</v>
      </c>
      <c r="L131" s="1289">
        <f t="shared" si="49"/>
        <v>0</v>
      </c>
      <c r="M131" s="1289">
        <f t="shared" si="50"/>
        <v>21767707</v>
      </c>
      <c r="N131" s="142"/>
      <c r="O131" s="1277">
        <f t="shared" si="41"/>
        <v>22899679</v>
      </c>
      <c r="P131" s="141"/>
      <c r="Q131" s="141"/>
      <c r="R131" s="141"/>
    </row>
    <row r="132" spans="1:18">
      <c r="A132" s="481">
        <f t="shared" si="42"/>
        <v>115</v>
      </c>
      <c r="C132" s="919" t="s">
        <v>338</v>
      </c>
      <c r="D132" s="124" t="s">
        <v>332</v>
      </c>
      <c r="E132" s="1072">
        <f t="shared" si="44"/>
        <v>2023</v>
      </c>
      <c r="F132" s="918">
        <v>23111110</v>
      </c>
      <c r="G132" s="1281"/>
      <c r="H132" s="1289">
        <f t="shared" si="45"/>
        <v>18900</v>
      </c>
      <c r="I132" s="1289">
        <f t="shared" si="46"/>
        <v>0</v>
      </c>
      <c r="J132" s="1289">
        <f t="shared" si="47"/>
        <v>1194480</v>
      </c>
      <c r="K132" s="1289">
        <f t="shared" si="48"/>
        <v>0</v>
      </c>
      <c r="L132" s="1289">
        <f t="shared" si="49"/>
        <v>0</v>
      </c>
      <c r="M132" s="1289">
        <f t="shared" si="50"/>
        <v>21897730</v>
      </c>
      <c r="N132" s="142"/>
      <c r="O132" s="1277">
        <f t="shared" si="41"/>
        <v>23111110</v>
      </c>
      <c r="P132" s="141"/>
      <c r="Q132" s="141"/>
      <c r="R132" s="141"/>
    </row>
    <row r="133" spans="1:18">
      <c r="A133" s="481">
        <f t="shared" si="42"/>
        <v>116</v>
      </c>
      <c r="C133" s="919" t="s">
        <v>339</v>
      </c>
      <c r="D133" s="124" t="s">
        <v>332</v>
      </c>
      <c r="E133" s="1072">
        <f t="shared" si="44"/>
        <v>2023</v>
      </c>
      <c r="F133" s="918">
        <v>23322541</v>
      </c>
      <c r="G133" s="1281"/>
      <c r="H133" s="1289">
        <f t="shared" si="45"/>
        <v>21600</v>
      </c>
      <c r="I133" s="1289">
        <f t="shared" si="46"/>
        <v>0</v>
      </c>
      <c r="J133" s="1289">
        <f t="shared" si="47"/>
        <v>1273188</v>
      </c>
      <c r="K133" s="1289">
        <f t="shared" si="48"/>
        <v>0</v>
      </c>
      <c r="L133" s="1289">
        <f t="shared" si="49"/>
        <v>0</v>
      </c>
      <c r="M133" s="1289">
        <f t="shared" si="50"/>
        <v>22027753</v>
      </c>
      <c r="N133" s="142"/>
      <c r="O133" s="1277">
        <f t="shared" si="41"/>
        <v>23322541</v>
      </c>
      <c r="P133" s="141"/>
      <c r="Q133" s="141"/>
      <c r="R133" s="141"/>
    </row>
    <row r="134" spans="1:18">
      <c r="A134" s="481">
        <f t="shared" si="42"/>
        <v>117</v>
      </c>
      <c r="C134" s="919" t="s">
        <v>340</v>
      </c>
      <c r="D134" s="124" t="s">
        <v>332</v>
      </c>
      <c r="E134" s="1072">
        <f t="shared" si="44"/>
        <v>2023</v>
      </c>
      <c r="F134" s="918">
        <v>23533972</v>
      </c>
      <c r="G134" s="1281"/>
      <c r="H134" s="1289">
        <f t="shared" si="45"/>
        <v>24300</v>
      </c>
      <c r="I134" s="1289">
        <f t="shared" si="46"/>
        <v>0</v>
      </c>
      <c r="J134" s="1289">
        <f t="shared" si="47"/>
        <v>1351896</v>
      </c>
      <c r="K134" s="1289">
        <f t="shared" si="48"/>
        <v>0</v>
      </c>
      <c r="L134" s="1289">
        <f t="shared" si="49"/>
        <v>0</v>
      </c>
      <c r="M134" s="1289">
        <f t="shared" si="50"/>
        <v>22157776</v>
      </c>
      <c r="N134" s="142"/>
      <c r="O134" s="1277">
        <f t="shared" si="41"/>
        <v>23533972</v>
      </c>
      <c r="P134" s="141"/>
      <c r="Q134" s="141"/>
      <c r="R134" s="141"/>
    </row>
    <row r="135" spans="1:18">
      <c r="A135" s="481">
        <f t="shared" si="42"/>
        <v>118</v>
      </c>
      <c r="C135" s="919" t="s">
        <v>341</v>
      </c>
      <c r="D135" s="124" t="s">
        <v>332</v>
      </c>
      <c r="E135" s="1072">
        <f t="shared" si="44"/>
        <v>2023</v>
      </c>
      <c r="F135" s="918">
        <v>23745403</v>
      </c>
      <c r="G135" s="1281"/>
      <c r="H135" s="1289">
        <f t="shared" si="45"/>
        <v>27000</v>
      </c>
      <c r="I135" s="1289">
        <f t="shared" si="46"/>
        <v>0</v>
      </c>
      <c r="J135" s="1289">
        <f t="shared" si="47"/>
        <v>1430604</v>
      </c>
      <c r="K135" s="1289">
        <f t="shared" si="48"/>
        <v>0</v>
      </c>
      <c r="L135" s="1289">
        <f t="shared" si="49"/>
        <v>0</v>
      </c>
      <c r="M135" s="1289">
        <f t="shared" si="50"/>
        <v>22287799</v>
      </c>
      <c r="N135" s="142"/>
      <c r="O135" s="1277">
        <f t="shared" si="41"/>
        <v>23745403</v>
      </c>
      <c r="P135" s="141"/>
      <c r="Q135" s="141"/>
      <c r="R135" s="141"/>
    </row>
    <row r="136" spans="1:18">
      <c r="A136" s="481">
        <f t="shared" si="42"/>
        <v>119</v>
      </c>
      <c r="C136" s="919" t="s">
        <v>342</v>
      </c>
      <c r="D136" s="124" t="s">
        <v>332</v>
      </c>
      <c r="E136" s="1072">
        <f t="shared" si="44"/>
        <v>2023</v>
      </c>
      <c r="F136" s="918">
        <v>23956834</v>
      </c>
      <c r="G136" s="1281"/>
      <c r="H136" s="1289">
        <f t="shared" si="45"/>
        <v>29700</v>
      </c>
      <c r="I136" s="1289">
        <f t="shared" si="46"/>
        <v>0</v>
      </c>
      <c r="J136" s="1289">
        <f t="shared" si="47"/>
        <v>1509312</v>
      </c>
      <c r="K136" s="1289">
        <f t="shared" si="48"/>
        <v>0</v>
      </c>
      <c r="L136" s="1289">
        <f t="shared" si="49"/>
        <v>0</v>
      </c>
      <c r="M136" s="1289">
        <f t="shared" si="50"/>
        <v>22417822</v>
      </c>
      <c r="N136" s="142"/>
      <c r="O136" s="1277">
        <f t="shared" si="41"/>
        <v>23956834</v>
      </c>
      <c r="P136" s="141"/>
      <c r="Q136" s="141"/>
      <c r="R136" s="141"/>
    </row>
    <row r="137" spans="1:18">
      <c r="A137" s="481">
        <f t="shared" si="42"/>
        <v>120</v>
      </c>
      <c r="C137" s="920" t="s">
        <v>329</v>
      </c>
      <c r="D137" s="916" t="s">
        <v>375</v>
      </c>
      <c r="E137" s="1073">
        <f t="shared" si="44"/>
        <v>2023</v>
      </c>
      <c r="F137" s="1250">
        <v>24168265</v>
      </c>
      <c r="G137" s="1285"/>
      <c r="H137" s="1289">
        <f t="shared" si="45"/>
        <v>32400</v>
      </c>
      <c r="I137" s="1289">
        <f t="shared" si="46"/>
        <v>0</v>
      </c>
      <c r="J137" s="1289">
        <f t="shared" si="47"/>
        <v>1588020</v>
      </c>
      <c r="K137" s="1289">
        <f t="shared" si="48"/>
        <v>0</v>
      </c>
      <c r="L137" s="1289">
        <f t="shared" si="49"/>
        <v>0</v>
      </c>
      <c r="M137" s="1289">
        <f t="shared" si="50"/>
        <v>22547845</v>
      </c>
      <c r="O137" s="1277">
        <f t="shared" si="41"/>
        <v>24168265</v>
      </c>
      <c r="P137" s="122">
        <f>+O137-O125</f>
        <v>2537172</v>
      </c>
    </row>
    <row r="138" spans="1:18">
      <c r="A138" s="481">
        <f>+A137+1</f>
        <v>121</v>
      </c>
      <c r="C138" s="922" t="s">
        <v>376</v>
      </c>
      <c r="D138" s="124" t="str">
        <f>"(sum lines "&amp;A125&amp;"-"&amp;A137&amp;") /13"</f>
        <v>(sum lines 108-120) /13</v>
      </c>
      <c r="E138" s="927"/>
      <c r="F138" s="924">
        <f>SUM(F125:F137)/13</f>
        <v>22899679</v>
      </c>
      <c r="G138" s="1282"/>
      <c r="H138" s="1292">
        <f>SUM(H125:H137)/13</f>
        <v>16200</v>
      </c>
      <c r="I138" s="1292">
        <f t="shared" ref="I138" si="51">SUM(I125:I137)/13</f>
        <v>0</v>
      </c>
      <c r="J138" s="1292">
        <f t="shared" ref="J138:L138" si="52">SUM(J125:J137)/13</f>
        <v>1115772</v>
      </c>
      <c r="K138" s="1292">
        <f>SUM(K125:K137)/13</f>
        <v>0</v>
      </c>
      <c r="L138" s="1292">
        <f t="shared" si="52"/>
        <v>0</v>
      </c>
      <c r="M138" s="1269">
        <f t="shared" ref="M138" si="53">SUM(M125:M137)/13</f>
        <v>21767707</v>
      </c>
      <c r="O138" s="1277">
        <f t="shared" si="41"/>
        <v>22899679</v>
      </c>
      <c r="P138" s="141"/>
      <c r="Q138" s="141"/>
      <c r="R138" s="141"/>
    </row>
    <row r="139" spans="1:18">
      <c r="A139" s="481"/>
      <c r="C139" s="919"/>
      <c r="E139" s="928"/>
      <c r="F139" s="926"/>
      <c r="G139" s="919"/>
      <c r="H139" s="1289"/>
      <c r="I139" s="1289"/>
      <c r="J139" s="1289"/>
      <c r="K139" s="1289"/>
      <c r="L139" s="1289"/>
      <c r="M139" s="1290"/>
      <c r="N139" s="127"/>
      <c r="O139" s="141"/>
      <c r="P139" s="141"/>
      <c r="Q139" s="141"/>
      <c r="R139" s="141"/>
    </row>
    <row r="140" spans="1:18">
      <c r="A140" s="481">
        <f>+A138+1</f>
        <v>122</v>
      </c>
      <c r="C140" s="482" t="s">
        <v>377</v>
      </c>
      <c r="D140" s="124" t="s">
        <v>323</v>
      </c>
      <c r="E140" s="834"/>
      <c r="F140" s="487"/>
      <c r="H140" s="1291"/>
      <c r="I140" s="1291"/>
      <c r="J140" s="1291"/>
      <c r="K140" s="1291"/>
      <c r="L140" s="1291"/>
      <c r="M140" s="1291"/>
      <c r="O140" s="141"/>
      <c r="P140" s="141"/>
      <c r="Q140" s="141"/>
      <c r="R140" s="141"/>
    </row>
    <row r="141" spans="1:18">
      <c r="A141" s="481">
        <f>+A140+1</f>
        <v>123</v>
      </c>
      <c r="C141" s="124" t="s">
        <v>329</v>
      </c>
      <c r="D141" s="478" t="s">
        <v>378</v>
      </c>
      <c r="E141" s="1072">
        <f>+$E$7</f>
        <v>2022</v>
      </c>
      <c r="F141" s="918">
        <v>8851</v>
      </c>
      <c r="G141" s="1281"/>
      <c r="H141" s="1289">
        <v>0</v>
      </c>
      <c r="I141" s="1289">
        <v>0</v>
      </c>
      <c r="J141" s="1289">
        <v>0</v>
      </c>
      <c r="K141" s="1289">
        <v>0</v>
      </c>
      <c r="L141" s="1289">
        <v>0</v>
      </c>
      <c r="M141" s="1289">
        <v>8851</v>
      </c>
      <c r="N141" s="142"/>
      <c r="O141" s="1277">
        <f t="shared" ref="O141:O154" si="54">SUM(G141:N141)</f>
        <v>8851</v>
      </c>
      <c r="P141" s="141"/>
      <c r="Q141" s="141"/>
      <c r="R141" s="141"/>
    </row>
    <row r="142" spans="1:18">
      <c r="A142" s="481">
        <f t="shared" ref="A142:A153" si="55">+A141+1</f>
        <v>124</v>
      </c>
      <c r="C142" s="919" t="s">
        <v>331</v>
      </c>
      <c r="D142" s="124" t="s">
        <v>332</v>
      </c>
      <c r="E142" s="1072">
        <f>+$E$8</f>
        <v>2023</v>
      </c>
      <c r="F142" s="918">
        <v>50264</v>
      </c>
      <c r="G142" s="1281"/>
      <c r="H142" s="1289">
        <f>H141+40000</f>
        <v>40000</v>
      </c>
      <c r="I142" s="1289">
        <v>0</v>
      </c>
      <c r="J142" s="1289">
        <v>0</v>
      </c>
      <c r="K142" s="1289">
        <v>0</v>
      </c>
      <c r="L142" s="1289">
        <v>0</v>
      </c>
      <c r="M142" s="1289">
        <f>M141+1413</f>
        <v>10264</v>
      </c>
      <c r="N142" s="142"/>
      <c r="O142" s="1277">
        <f t="shared" si="54"/>
        <v>50264</v>
      </c>
      <c r="P142" s="141"/>
      <c r="Q142" s="141"/>
      <c r="R142" s="141"/>
    </row>
    <row r="143" spans="1:18">
      <c r="A143" s="481">
        <f t="shared" si="55"/>
        <v>125</v>
      </c>
      <c r="C143" s="919" t="s">
        <v>333</v>
      </c>
      <c r="D143" s="124" t="s">
        <v>332</v>
      </c>
      <c r="E143" s="1072">
        <f t="shared" ref="E143:E153" si="56">+$E$8</f>
        <v>2023</v>
      </c>
      <c r="F143" s="918">
        <v>91677</v>
      </c>
      <c r="G143" s="1281"/>
      <c r="H143" s="1289">
        <f t="shared" ref="H143:H153" si="57">H142+40000</f>
        <v>80000</v>
      </c>
      <c r="I143" s="1289">
        <v>0</v>
      </c>
      <c r="J143" s="1289">
        <v>0</v>
      </c>
      <c r="K143" s="1289">
        <v>0</v>
      </c>
      <c r="L143" s="1289">
        <v>0</v>
      </c>
      <c r="M143" s="1289">
        <f t="shared" ref="M143:M153" si="58">M142+1413</f>
        <v>11677</v>
      </c>
      <c r="N143" s="142"/>
      <c r="O143" s="1277">
        <f t="shared" si="54"/>
        <v>91677</v>
      </c>
      <c r="P143" s="141"/>
      <c r="Q143" s="141"/>
      <c r="R143" s="141"/>
    </row>
    <row r="144" spans="1:18">
      <c r="A144" s="481">
        <f t="shared" si="55"/>
        <v>126</v>
      </c>
      <c r="C144" s="919" t="s">
        <v>334</v>
      </c>
      <c r="D144" s="124" t="s">
        <v>332</v>
      </c>
      <c r="E144" s="1072">
        <f t="shared" si="56"/>
        <v>2023</v>
      </c>
      <c r="F144" s="918">
        <v>133090</v>
      </c>
      <c r="G144" s="1281"/>
      <c r="H144" s="1289">
        <f t="shared" si="57"/>
        <v>120000</v>
      </c>
      <c r="I144" s="1289">
        <v>0</v>
      </c>
      <c r="J144" s="1289">
        <v>0</v>
      </c>
      <c r="K144" s="1289">
        <v>0</v>
      </c>
      <c r="L144" s="1289">
        <v>0</v>
      </c>
      <c r="M144" s="1289">
        <f t="shared" si="58"/>
        <v>13090</v>
      </c>
      <c r="N144" s="142"/>
      <c r="O144" s="1277">
        <f t="shared" si="54"/>
        <v>133090</v>
      </c>
      <c r="P144" s="141"/>
      <c r="Q144" s="141"/>
      <c r="R144" s="141"/>
    </row>
    <row r="145" spans="1:18">
      <c r="A145" s="481">
        <f t="shared" si="55"/>
        <v>127</v>
      </c>
      <c r="C145" s="919" t="s">
        <v>335</v>
      </c>
      <c r="D145" s="124" t="s">
        <v>332</v>
      </c>
      <c r="E145" s="1072">
        <f t="shared" si="56"/>
        <v>2023</v>
      </c>
      <c r="F145" s="918">
        <v>174503</v>
      </c>
      <c r="G145" s="1281"/>
      <c r="H145" s="1289">
        <f t="shared" si="57"/>
        <v>160000</v>
      </c>
      <c r="I145" s="1289">
        <v>0</v>
      </c>
      <c r="J145" s="1289">
        <v>0</v>
      </c>
      <c r="K145" s="1289">
        <v>0</v>
      </c>
      <c r="L145" s="1289">
        <v>0</v>
      </c>
      <c r="M145" s="1289">
        <f t="shared" si="58"/>
        <v>14503</v>
      </c>
      <c r="N145" s="142"/>
      <c r="O145" s="1277">
        <f t="shared" si="54"/>
        <v>174503</v>
      </c>
      <c r="P145" s="141"/>
      <c r="Q145" s="141"/>
      <c r="R145" s="141"/>
    </row>
    <row r="146" spans="1:18">
      <c r="A146" s="481">
        <f t="shared" si="55"/>
        <v>128</v>
      </c>
      <c r="C146" s="919" t="s">
        <v>336</v>
      </c>
      <c r="D146" s="124" t="s">
        <v>332</v>
      </c>
      <c r="E146" s="1072">
        <f t="shared" si="56"/>
        <v>2023</v>
      </c>
      <c r="F146" s="918">
        <v>215916</v>
      </c>
      <c r="G146" s="1281"/>
      <c r="H146" s="1289">
        <f t="shared" si="57"/>
        <v>200000</v>
      </c>
      <c r="I146" s="1289">
        <v>0</v>
      </c>
      <c r="J146" s="1289">
        <v>0</v>
      </c>
      <c r="K146" s="1289">
        <v>0</v>
      </c>
      <c r="L146" s="1289">
        <v>0</v>
      </c>
      <c r="M146" s="1289">
        <f t="shared" si="58"/>
        <v>15916</v>
      </c>
      <c r="N146" s="142"/>
      <c r="O146" s="1277">
        <f t="shared" si="54"/>
        <v>215916</v>
      </c>
      <c r="P146" s="141"/>
      <c r="Q146" s="141"/>
      <c r="R146" s="141"/>
    </row>
    <row r="147" spans="1:18">
      <c r="A147" s="481">
        <f t="shared" si="55"/>
        <v>129</v>
      </c>
      <c r="C147" s="919" t="s">
        <v>337</v>
      </c>
      <c r="D147" s="124" t="s">
        <v>332</v>
      </c>
      <c r="E147" s="1072">
        <f t="shared" si="56"/>
        <v>2023</v>
      </c>
      <c r="F147" s="918">
        <v>257329</v>
      </c>
      <c r="G147" s="1281"/>
      <c r="H147" s="1289">
        <f t="shared" si="57"/>
        <v>240000</v>
      </c>
      <c r="I147" s="1289">
        <v>0</v>
      </c>
      <c r="J147" s="1289">
        <v>0</v>
      </c>
      <c r="K147" s="1289">
        <v>0</v>
      </c>
      <c r="L147" s="1289">
        <v>0</v>
      </c>
      <c r="M147" s="1289">
        <f t="shared" si="58"/>
        <v>17329</v>
      </c>
      <c r="N147" s="142"/>
      <c r="O147" s="1277">
        <f t="shared" si="54"/>
        <v>257329</v>
      </c>
      <c r="P147" s="141"/>
      <c r="Q147" s="141"/>
      <c r="R147" s="141"/>
    </row>
    <row r="148" spans="1:18">
      <c r="A148" s="481">
        <f t="shared" si="55"/>
        <v>130</v>
      </c>
      <c r="C148" s="919" t="s">
        <v>338</v>
      </c>
      <c r="D148" s="124" t="s">
        <v>332</v>
      </c>
      <c r="E148" s="1072">
        <f t="shared" si="56"/>
        <v>2023</v>
      </c>
      <c r="F148" s="918">
        <v>298742</v>
      </c>
      <c r="G148" s="1281"/>
      <c r="H148" s="1289">
        <f t="shared" si="57"/>
        <v>280000</v>
      </c>
      <c r="I148" s="1289">
        <v>0</v>
      </c>
      <c r="J148" s="1289">
        <v>0</v>
      </c>
      <c r="K148" s="1289">
        <v>0</v>
      </c>
      <c r="L148" s="1289">
        <v>0</v>
      </c>
      <c r="M148" s="1289">
        <f t="shared" si="58"/>
        <v>18742</v>
      </c>
      <c r="N148" s="142"/>
      <c r="O148" s="1277">
        <f t="shared" si="54"/>
        <v>298742</v>
      </c>
      <c r="P148" s="141"/>
      <c r="Q148" s="141"/>
      <c r="R148" s="141"/>
    </row>
    <row r="149" spans="1:18">
      <c r="A149" s="481">
        <f t="shared" si="55"/>
        <v>131</v>
      </c>
      <c r="C149" s="919" t="s">
        <v>339</v>
      </c>
      <c r="D149" s="124" t="s">
        <v>332</v>
      </c>
      <c r="E149" s="1072">
        <f t="shared" si="56"/>
        <v>2023</v>
      </c>
      <c r="F149" s="918">
        <v>340155</v>
      </c>
      <c r="G149" s="1281"/>
      <c r="H149" s="1289">
        <f t="shared" si="57"/>
        <v>320000</v>
      </c>
      <c r="I149" s="1289">
        <v>0</v>
      </c>
      <c r="J149" s="1289">
        <v>0</v>
      </c>
      <c r="K149" s="1289">
        <v>0</v>
      </c>
      <c r="L149" s="1289">
        <v>0</v>
      </c>
      <c r="M149" s="1289">
        <f t="shared" si="58"/>
        <v>20155</v>
      </c>
      <c r="N149" s="142"/>
      <c r="O149" s="1277">
        <f t="shared" si="54"/>
        <v>340155</v>
      </c>
      <c r="P149" s="141"/>
      <c r="Q149" s="141"/>
      <c r="R149" s="141"/>
    </row>
    <row r="150" spans="1:18">
      <c r="A150" s="481">
        <f t="shared" si="55"/>
        <v>132</v>
      </c>
      <c r="C150" s="919" t="s">
        <v>340</v>
      </c>
      <c r="D150" s="124" t="s">
        <v>332</v>
      </c>
      <c r="E150" s="1072">
        <f t="shared" si="56"/>
        <v>2023</v>
      </c>
      <c r="F150" s="918">
        <v>381568</v>
      </c>
      <c r="G150" s="1281"/>
      <c r="H150" s="1289">
        <f t="shared" si="57"/>
        <v>360000</v>
      </c>
      <c r="I150" s="1289">
        <v>0</v>
      </c>
      <c r="J150" s="1289">
        <v>0</v>
      </c>
      <c r="K150" s="1289">
        <v>0</v>
      </c>
      <c r="L150" s="1289">
        <v>0</v>
      </c>
      <c r="M150" s="1289">
        <f t="shared" si="58"/>
        <v>21568</v>
      </c>
      <c r="N150" s="142"/>
      <c r="O150" s="1277">
        <f t="shared" si="54"/>
        <v>381568</v>
      </c>
      <c r="P150" s="141"/>
      <c r="Q150" s="141"/>
      <c r="R150" s="141"/>
    </row>
    <row r="151" spans="1:18">
      <c r="A151" s="481">
        <f t="shared" si="55"/>
        <v>133</v>
      </c>
      <c r="C151" s="919" t="s">
        <v>341</v>
      </c>
      <c r="D151" s="124" t="s">
        <v>332</v>
      </c>
      <c r="E151" s="1072">
        <f t="shared" si="56"/>
        <v>2023</v>
      </c>
      <c r="F151" s="918">
        <v>422981</v>
      </c>
      <c r="G151" s="1281"/>
      <c r="H151" s="1289">
        <f t="shared" si="57"/>
        <v>400000</v>
      </c>
      <c r="I151" s="1289">
        <v>0</v>
      </c>
      <c r="J151" s="1289">
        <v>0</v>
      </c>
      <c r="K151" s="1289">
        <v>0</v>
      </c>
      <c r="L151" s="1289">
        <v>0</v>
      </c>
      <c r="M151" s="1289">
        <f t="shared" si="58"/>
        <v>22981</v>
      </c>
      <c r="N151" s="142"/>
      <c r="O151" s="1277">
        <f t="shared" si="54"/>
        <v>422981</v>
      </c>
      <c r="P151" s="141"/>
      <c r="Q151" s="141"/>
      <c r="R151" s="141"/>
    </row>
    <row r="152" spans="1:18">
      <c r="A152" s="481">
        <f t="shared" si="55"/>
        <v>134</v>
      </c>
      <c r="C152" s="919" t="s">
        <v>342</v>
      </c>
      <c r="D152" s="124" t="s">
        <v>332</v>
      </c>
      <c r="E152" s="1072">
        <f t="shared" si="56"/>
        <v>2023</v>
      </c>
      <c r="F152" s="918">
        <v>464394</v>
      </c>
      <c r="G152" s="1281"/>
      <c r="H152" s="1289">
        <f t="shared" si="57"/>
        <v>440000</v>
      </c>
      <c r="I152" s="1289">
        <v>0</v>
      </c>
      <c r="J152" s="1289">
        <v>0</v>
      </c>
      <c r="K152" s="1289">
        <v>0</v>
      </c>
      <c r="L152" s="1289">
        <v>0</v>
      </c>
      <c r="M152" s="1289">
        <f t="shared" si="58"/>
        <v>24394</v>
      </c>
      <c r="N152" s="142"/>
      <c r="O152" s="1277">
        <f t="shared" si="54"/>
        <v>464394</v>
      </c>
      <c r="P152" s="141"/>
      <c r="Q152" s="141"/>
      <c r="R152" s="141"/>
    </row>
    <row r="153" spans="1:18">
      <c r="A153" s="481">
        <f t="shared" si="55"/>
        <v>135</v>
      </c>
      <c r="C153" s="920" t="s">
        <v>329</v>
      </c>
      <c r="D153" s="916" t="s">
        <v>379</v>
      </c>
      <c r="E153" s="1073">
        <f t="shared" si="56"/>
        <v>2023</v>
      </c>
      <c r="F153" s="921">
        <v>505807</v>
      </c>
      <c r="G153" s="1281"/>
      <c r="H153" s="1289">
        <f t="shared" si="57"/>
        <v>480000</v>
      </c>
      <c r="I153" s="1289">
        <v>0</v>
      </c>
      <c r="J153" s="1289">
        <v>0</v>
      </c>
      <c r="K153" s="1289">
        <v>0</v>
      </c>
      <c r="L153" s="1289">
        <v>0</v>
      </c>
      <c r="M153" s="1289">
        <f t="shared" si="58"/>
        <v>25807</v>
      </c>
      <c r="O153" s="1277">
        <f t="shared" si="54"/>
        <v>505807</v>
      </c>
      <c r="P153" s="122">
        <f>+O153-O141</f>
        <v>496956</v>
      </c>
    </row>
    <row r="154" spans="1:18">
      <c r="A154" s="481">
        <f>+A153+1</f>
        <v>136</v>
      </c>
      <c r="C154" s="922" t="s">
        <v>380</v>
      </c>
      <c r="D154" s="124" t="str">
        <f>"(sum lines "&amp;A141&amp;"-"&amp;A153&amp;") /13"</f>
        <v>(sum lines 123-135) /13</v>
      </c>
      <c r="E154" s="927"/>
      <c r="F154" s="924">
        <f>SUM(F141:F153)/13</f>
        <v>257329</v>
      </c>
      <c r="G154" s="1282"/>
      <c r="H154" s="1292">
        <f>SUM(H141:H153)/13</f>
        <v>240000</v>
      </c>
      <c r="I154" s="1292">
        <f t="shared" ref="I154" si="59">SUM(I141:I153)/13</f>
        <v>0</v>
      </c>
      <c r="J154" s="1292">
        <f t="shared" ref="J154" si="60">SUM(J141:J153)/13</f>
        <v>0</v>
      </c>
      <c r="K154" s="1292">
        <f>SUM(K141:K153)/13</f>
        <v>0</v>
      </c>
      <c r="L154" s="1292">
        <f t="shared" ref="L154" si="61">SUM(L141:L153)/13</f>
        <v>0</v>
      </c>
      <c r="M154" s="1269">
        <f>SUM(M141:M153)/13</f>
        <v>17329</v>
      </c>
      <c r="O154" s="1277">
        <f t="shared" si="54"/>
        <v>257329</v>
      </c>
      <c r="P154" s="141"/>
      <c r="Q154" s="141"/>
      <c r="R154" s="141"/>
    </row>
    <row r="155" spans="1:18">
      <c r="A155" s="481"/>
      <c r="C155" s="919"/>
      <c r="D155" s="478"/>
      <c r="E155" s="928"/>
      <c r="F155" s="929"/>
      <c r="G155" s="1283"/>
      <c r="H155" s="1291"/>
      <c r="I155" s="1291"/>
      <c r="J155" s="1291"/>
      <c r="K155" s="1291"/>
      <c r="L155" s="1291"/>
      <c r="M155" s="1291"/>
    </row>
    <row r="156" spans="1:18">
      <c r="A156" s="481">
        <f>+A154+1</f>
        <v>137</v>
      </c>
      <c r="C156" s="482" t="s">
        <v>381</v>
      </c>
      <c r="D156" s="124" t="s">
        <v>323</v>
      </c>
      <c r="E156" s="834"/>
      <c r="F156" s="487"/>
      <c r="H156" s="1291"/>
      <c r="I156" s="1291"/>
      <c r="J156" s="1291"/>
      <c r="K156" s="1291"/>
      <c r="L156" s="1291"/>
      <c r="M156" s="1291"/>
      <c r="O156" s="141"/>
      <c r="P156" s="141"/>
      <c r="Q156" s="141"/>
      <c r="R156" s="141"/>
    </row>
    <row r="157" spans="1:18">
      <c r="A157" s="481">
        <f t="shared" ref="A157:A170" si="62">+A156+1</f>
        <v>138</v>
      </c>
      <c r="C157" s="124" t="s">
        <v>329</v>
      </c>
      <c r="D157" s="478" t="s">
        <v>382</v>
      </c>
      <c r="E157" s="1072">
        <f>+$E$7</f>
        <v>2022</v>
      </c>
      <c r="F157" s="918">
        <v>0</v>
      </c>
      <c r="G157" s="1281"/>
      <c r="H157" s="1291"/>
      <c r="I157" s="1291"/>
      <c r="J157" s="1291"/>
      <c r="K157" s="1291"/>
      <c r="L157" s="1291"/>
      <c r="M157" s="1291"/>
      <c r="O157" s="141"/>
      <c r="P157" s="141"/>
      <c r="Q157" s="141"/>
      <c r="R157" s="141"/>
    </row>
    <row r="158" spans="1:18">
      <c r="A158" s="481">
        <f t="shared" si="62"/>
        <v>139</v>
      </c>
      <c r="C158" s="919" t="s">
        <v>331</v>
      </c>
      <c r="D158" s="124" t="s">
        <v>332</v>
      </c>
      <c r="E158" s="1072">
        <f>+$E$8</f>
        <v>2023</v>
      </c>
      <c r="F158" s="918">
        <v>0</v>
      </c>
      <c r="G158" s="1281"/>
      <c r="H158" s="1291"/>
      <c r="I158" s="1291"/>
      <c r="J158" s="1291"/>
      <c r="K158" s="1291"/>
      <c r="L158" s="1291"/>
      <c r="M158" s="1291"/>
      <c r="O158" s="141"/>
      <c r="P158" s="141"/>
      <c r="Q158" s="141"/>
      <c r="R158" s="141"/>
    </row>
    <row r="159" spans="1:18">
      <c r="A159" s="481">
        <f t="shared" si="62"/>
        <v>140</v>
      </c>
      <c r="C159" s="919" t="s">
        <v>333</v>
      </c>
      <c r="D159" s="124" t="s">
        <v>332</v>
      </c>
      <c r="E159" s="1072">
        <f t="shared" ref="E159:E169" si="63">+$E$8</f>
        <v>2023</v>
      </c>
      <c r="F159" s="918">
        <v>0</v>
      </c>
      <c r="G159" s="1281"/>
      <c r="H159" s="1291"/>
      <c r="I159" s="1291"/>
      <c r="J159" s="1291"/>
      <c r="K159" s="1291"/>
      <c r="L159" s="1291"/>
      <c r="M159" s="1291"/>
      <c r="O159" s="141"/>
      <c r="P159" s="141"/>
      <c r="Q159" s="141"/>
      <c r="R159" s="141"/>
    </row>
    <row r="160" spans="1:18">
      <c r="A160" s="481">
        <f t="shared" si="62"/>
        <v>141</v>
      </c>
      <c r="C160" s="919" t="s">
        <v>334</v>
      </c>
      <c r="D160" s="124" t="s">
        <v>332</v>
      </c>
      <c r="E160" s="1072">
        <f t="shared" si="63"/>
        <v>2023</v>
      </c>
      <c r="F160" s="918">
        <v>0</v>
      </c>
      <c r="G160" s="1281"/>
      <c r="H160" s="1291"/>
      <c r="I160" s="1291"/>
      <c r="J160" s="1291"/>
      <c r="K160" s="1291"/>
      <c r="L160" s="1291"/>
      <c r="M160" s="1291"/>
      <c r="O160" s="141"/>
      <c r="P160" s="141"/>
      <c r="Q160" s="141"/>
      <c r="R160" s="141"/>
    </row>
    <row r="161" spans="1:18">
      <c r="A161" s="481">
        <f t="shared" si="62"/>
        <v>142</v>
      </c>
      <c r="C161" s="919" t="s">
        <v>335</v>
      </c>
      <c r="D161" s="124" t="s">
        <v>332</v>
      </c>
      <c r="E161" s="1072">
        <f t="shared" si="63"/>
        <v>2023</v>
      </c>
      <c r="F161" s="918">
        <v>0</v>
      </c>
      <c r="G161" s="1281"/>
      <c r="H161" s="1291"/>
      <c r="I161" s="1291"/>
      <c r="J161" s="1291"/>
      <c r="K161" s="1291"/>
      <c r="L161" s="1291"/>
      <c r="M161" s="1291"/>
      <c r="O161" s="141"/>
      <c r="P161" s="141"/>
      <c r="Q161" s="141"/>
      <c r="R161" s="141"/>
    </row>
    <row r="162" spans="1:18">
      <c r="A162" s="481">
        <f t="shared" si="62"/>
        <v>143</v>
      </c>
      <c r="C162" s="919" t="s">
        <v>336</v>
      </c>
      <c r="D162" s="124" t="s">
        <v>332</v>
      </c>
      <c r="E162" s="1072">
        <f t="shared" si="63"/>
        <v>2023</v>
      </c>
      <c r="F162" s="918">
        <v>0</v>
      </c>
      <c r="G162" s="1281"/>
      <c r="H162" s="1291"/>
      <c r="I162" s="1291"/>
      <c r="J162" s="1291"/>
      <c r="K162" s="1291"/>
      <c r="L162" s="1291"/>
      <c r="M162" s="1291"/>
      <c r="O162" s="141"/>
      <c r="P162" s="141"/>
      <c r="Q162" s="141"/>
      <c r="R162" s="141"/>
    </row>
    <row r="163" spans="1:18">
      <c r="A163" s="481">
        <f t="shared" si="62"/>
        <v>144</v>
      </c>
      <c r="C163" s="919" t="s">
        <v>337</v>
      </c>
      <c r="D163" s="124" t="s">
        <v>332</v>
      </c>
      <c r="E163" s="1072">
        <f t="shared" si="63"/>
        <v>2023</v>
      </c>
      <c r="F163" s="918">
        <v>0</v>
      </c>
      <c r="G163" s="1281"/>
      <c r="H163" s="1291"/>
      <c r="I163" s="1291"/>
      <c r="J163" s="1291"/>
      <c r="K163" s="1291"/>
      <c r="L163" s="1291"/>
      <c r="M163" s="1291"/>
      <c r="O163" s="141"/>
      <c r="P163" s="141"/>
      <c r="Q163" s="141"/>
      <c r="R163" s="141"/>
    </row>
    <row r="164" spans="1:18">
      <c r="A164" s="481">
        <f t="shared" si="62"/>
        <v>145</v>
      </c>
      <c r="C164" s="919" t="s">
        <v>338</v>
      </c>
      <c r="D164" s="124" t="s">
        <v>332</v>
      </c>
      <c r="E164" s="1072">
        <f t="shared" si="63"/>
        <v>2023</v>
      </c>
      <c r="F164" s="918">
        <v>0</v>
      </c>
      <c r="G164" s="1281"/>
      <c r="H164" s="1291"/>
      <c r="I164" s="1291"/>
      <c r="J164" s="1291"/>
      <c r="K164" s="1291"/>
      <c r="L164" s="1291"/>
      <c r="M164" s="1291"/>
      <c r="O164" s="141"/>
      <c r="P164" s="141"/>
      <c r="Q164" s="141"/>
      <c r="R164" s="141"/>
    </row>
    <row r="165" spans="1:18">
      <c r="A165" s="481">
        <f t="shared" si="62"/>
        <v>146</v>
      </c>
      <c r="C165" s="919" t="s">
        <v>339</v>
      </c>
      <c r="D165" s="124" t="s">
        <v>332</v>
      </c>
      <c r="E165" s="1072">
        <f t="shared" si="63"/>
        <v>2023</v>
      </c>
      <c r="F165" s="918">
        <v>0</v>
      </c>
      <c r="G165" s="1281"/>
      <c r="H165" s="1291"/>
      <c r="I165" s="1291"/>
      <c r="J165" s="1291"/>
      <c r="K165" s="1291"/>
      <c r="L165" s="1291"/>
      <c r="M165" s="1291"/>
      <c r="O165" s="141"/>
      <c r="P165" s="141"/>
      <c r="Q165" s="141"/>
      <c r="R165" s="141"/>
    </row>
    <row r="166" spans="1:18">
      <c r="A166" s="481">
        <f t="shared" si="62"/>
        <v>147</v>
      </c>
      <c r="C166" s="919" t="s">
        <v>340</v>
      </c>
      <c r="D166" s="124" t="s">
        <v>332</v>
      </c>
      <c r="E166" s="1072">
        <f t="shared" si="63"/>
        <v>2023</v>
      </c>
      <c r="F166" s="918">
        <v>0</v>
      </c>
      <c r="G166" s="1281"/>
      <c r="H166" s="1291"/>
      <c r="I166" s="1291"/>
      <c r="J166" s="1291"/>
      <c r="K166" s="1291"/>
      <c r="L166" s="1291"/>
      <c r="M166" s="1291"/>
      <c r="O166" s="141"/>
      <c r="P166" s="141"/>
      <c r="Q166" s="141"/>
      <c r="R166" s="141"/>
    </row>
    <row r="167" spans="1:18">
      <c r="A167" s="481">
        <f t="shared" si="62"/>
        <v>148</v>
      </c>
      <c r="C167" s="919" t="s">
        <v>341</v>
      </c>
      <c r="D167" s="124" t="s">
        <v>332</v>
      </c>
      <c r="E167" s="1072">
        <f t="shared" si="63"/>
        <v>2023</v>
      </c>
      <c r="F167" s="918">
        <v>0</v>
      </c>
      <c r="G167" s="1281"/>
      <c r="H167" s="1291"/>
      <c r="I167" s="1291"/>
      <c r="J167" s="1291"/>
      <c r="K167" s="1291"/>
      <c r="L167" s="1291"/>
      <c r="M167" s="1291"/>
      <c r="O167" s="141"/>
      <c r="P167" s="141"/>
      <c r="Q167" s="141"/>
      <c r="R167" s="141"/>
    </row>
    <row r="168" spans="1:18">
      <c r="A168" s="481">
        <f t="shared" si="62"/>
        <v>149</v>
      </c>
      <c r="C168" s="919" t="s">
        <v>342</v>
      </c>
      <c r="D168" s="124" t="s">
        <v>332</v>
      </c>
      <c r="E168" s="1072">
        <f t="shared" si="63"/>
        <v>2023</v>
      </c>
      <c r="F168" s="918">
        <v>0</v>
      </c>
      <c r="G168" s="1281"/>
      <c r="H168" s="1289"/>
      <c r="I168" s="1289"/>
      <c r="J168" s="1289"/>
      <c r="K168" s="1289"/>
      <c r="L168" s="1289"/>
      <c r="M168" s="1290"/>
      <c r="N168" s="142"/>
      <c r="O168" s="141"/>
      <c r="P168" s="141"/>
      <c r="Q168" s="141"/>
      <c r="R168" s="141"/>
    </row>
    <row r="169" spans="1:18">
      <c r="A169" s="481">
        <f t="shared" si="62"/>
        <v>150</v>
      </c>
      <c r="C169" s="920" t="s">
        <v>329</v>
      </c>
      <c r="D169" s="916" t="s">
        <v>383</v>
      </c>
      <c r="E169" s="1073">
        <f t="shared" si="63"/>
        <v>2023</v>
      </c>
      <c r="F169" s="921">
        <v>0</v>
      </c>
      <c r="G169" s="1281"/>
      <c r="H169" s="1289"/>
      <c r="I169" s="1289"/>
      <c r="J169" s="1289"/>
      <c r="K169" s="1289"/>
      <c r="L169" s="1289"/>
      <c r="M169" s="1291"/>
    </row>
    <row r="170" spans="1:18">
      <c r="A170" s="481">
        <f t="shared" si="62"/>
        <v>151</v>
      </c>
      <c r="C170" s="922" t="s">
        <v>384</v>
      </c>
      <c r="D170" s="124" t="str">
        <f>"(sum lines "&amp;A157&amp;"-"&amp;A169&amp;") /13"</f>
        <v>(sum lines 138-150) /13</v>
      </c>
      <c r="E170" s="923"/>
      <c r="F170" s="924">
        <f>SUM(F157:F169)/13</f>
        <v>0</v>
      </c>
      <c r="G170" s="1282"/>
      <c r="H170" s="1291"/>
      <c r="I170" s="1291"/>
      <c r="J170" s="1291"/>
      <c r="K170" s="1291"/>
      <c r="L170" s="1291"/>
      <c r="M170" s="1291"/>
      <c r="O170" s="141"/>
      <c r="P170" s="141"/>
      <c r="Q170" s="141"/>
      <c r="R170" s="141"/>
    </row>
    <row r="171" spans="1:18">
      <c r="A171" s="481"/>
      <c r="C171" s="919"/>
      <c r="E171" s="925"/>
      <c r="F171" s="926"/>
      <c r="G171" s="919"/>
      <c r="H171" s="1289"/>
      <c r="I171" s="1289"/>
      <c r="J171" s="1289"/>
      <c r="K171" s="1289"/>
      <c r="L171" s="1289"/>
      <c r="M171" s="1290"/>
      <c r="N171" s="142"/>
      <c r="O171" s="141"/>
      <c r="P171" s="1293">
        <f>+P105+P137+P153</f>
        <v>15748865</v>
      </c>
      <c r="Q171" s="141"/>
      <c r="R171" s="141"/>
    </row>
    <row r="172" spans="1:18">
      <c r="A172" s="481"/>
      <c r="C172" s="922"/>
      <c r="E172" s="923"/>
      <c r="F172" s="924"/>
      <c r="G172" s="1282"/>
      <c r="H172" s="1289"/>
      <c r="I172" s="1289"/>
      <c r="J172" s="1289"/>
      <c r="K172" s="1289"/>
      <c r="L172" s="1289"/>
      <c r="M172" s="1290"/>
      <c r="N172" s="127"/>
      <c r="O172" s="141"/>
      <c r="P172" s="141"/>
      <c r="Q172" s="141"/>
      <c r="R172" s="141"/>
    </row>
    <row r="173" spans="1:18">
      <c r="A173" s="481">
        <f>+A170+1</f>
        <v>152</v>
      </c>
      <c r="C173" s="482" t="s">
        <v>385</v>
      </c>
      <c r="D173" s="478" t="str">
        <f>"(sum lines "&amp;A106&amp;", "&amp;A122&amp;", "&amp;A138&amp;", "&amp;A154&amp;", &amp; "&amp;A170&amp;")"</f>
        <v>(sum lines 91, 106, 121, 136, &amp; 151)</v>
      </c>
      <c r="E173" s="923"/>
      <c r="F173" s="930">
        <f>F106+F122+F138+F154+F170</f>
        <v>40680628.923076928</v>
      </c>
      <c r="G173" s="1274"/>
      <c r="H173" s="1274">
        <f>H106+H122+H138+H154+H170</f>
        <v>4867174.384615385</v>
      </c>
      <c r="I173" s="1274">
        <f t="shared" ref="I173:M173" si="64">I106+I122+I138+I154+I170</f>
        <v>17411.692307692309</v>
      </c>
      <c r="J173" s="1274">
        <f t="shared" si="64"/>
        <v>1718056.3076923077</v>
      </c>
      <c r="K173" s="1274">
        <f>K106+K122+K138+K154+K170</f>
        <v>345065.53846153844</v>
      </c>
      <c r="L173" s="1274">
        <f t="shared" si="64"/>
        <v>0</v>
      </c>
      <c r="M173" s="1274">
        <f t="shared" si="64"/>
        <v>33732921</v>
      </c>
      <c r="O173" s="1277">
        <f>SUM(G173:N173)</f>
        <v>40680628.92307692</v>
      </c>
    </row>
    <row r="174" spans="1:18" ht="16.2" thickBot="1">
      <c r="A174" s="696"/>
      <c r="B174" s="931"/>
      <c r="C174" s="932"/>
      <c r="D174" s="167"/>
      <c r="E174" s="933"/>
      <c r="F174" s="934"/>
      <c r="G174" s="919"/>
      <c r="H174" s="1265"/>
      <c r="I174" s="1265"/>
      <c r="J174" s="1265"/>
      <c r="K174" s="1265"/>
      <c r="L174" s="1265"/>
      <c r="M174" s="1263"/>
      <c r="N174" s="127"/>
      <c r="O174" s="141"/>
      <c r="P174" s="141"/>
      <c r="Q174" s="141"/>
      <c r="R174" s="141"/>
    </row>
    <row r="175" spans="1:18">
      <c r="B175" s="479"/>
      <c r="C175" s="919"/>
      <c r="E175" s="925"/>
      <c r="F175" s="919"/>
      <c r="G175" s="919"/>
      <c r="H175" s="143"/>
      <c r="I175" s="143"/>
      <c r="J175" s="143"/>
      <c r="K175" s="143"/>
      <c r="L175" s="143"/>
      <c r="M175" s="127"/>
      <c r="N175" s="127"/>
      <c r="O175" s="1277">
        <f t="shared" ref="O175:O178" si="65">SUM(G175:N175)</f>
        <v>0</v>
      </c>
      <c r="P175" s="141"/>
      <c r="Q175" s="141"/>
      <c r="R175" s="141"/>
    </row>
    <row r="176" spans="1:18">
      <c r="E176" s="483" t="s">
        <v>386</v>
      </c>
      <c r="F176" s="901">
        <f>F20+F52</f>
        <v>736236866.46153843</v>
      </c>
      <c r="G176" s="901"/>
      <c r="H176" s="901">
        <f>H20+H52</f>
        <v>307681937.69230771</v>
      </c>
      <c r="I176" s="901">
        <f t="shared" ref="I176:M176" si="66">I20+I52</f>
        <v>2761080.846153846</v>
      </c>
      <c r="J176" s="901">
        <f t="shared" si="66"/>
        <v>146944248.23076922</v>
      </c>
      <c r="K176" s="901">
        <f>K20+K52</f>
        <v>58304128</v>
      </c>
      <c r="L176" s="901">
        <f t="shared" si="66"/>
        <v>6150671.692307692</v>
      </c>
      <c r="M176" s="901">
        <f t="shared" si="66"/>
        <v>214394800</v>
      </c>
      <c r="O176" s="1277">
        <f t="shared" si="65"/>
        <v>736236866.46153855</v>
      </c>
    </row>
    <row r="177" spans="5:15">
      <c r="E177" s="483" t="s">
        <v>387</v>
      </c>
      <c r="F177" s="901">
        <f>F106+F138</f>
        <v>40423299.923076928</v>
      </c>
      <c r="G177" s="901"/>
      <c r="H177" s="901">
        <f>H106+H138</f>
        <v>4627174.384615385</v>
      </c>
      <c r="I177" s="901">
        <f t="shared" ref="I177:M177" si="67">I106+I138</f>
        <v>17411.692307692309</v>
      </c>
      <c r="J177" s="901">
        <f t="shared" si="67"/>
        <v>1718056.3076923077</v>
      </c>
      <c r="K177" s="901">
        <f>K106+K138</f>
        <v>345065.53846153844</v>
      </c>
      <c r="L177" s="901">
        <f t="shared" si="67"/>
        <v>0</v>
      </c>
      <c r="M177" s="901">
        <f t="shared" si="67"/>
        <v>33715592</v>
      </c>
      <c r="O177" s="1277">
        <f t="shared" si="65"/>
        <v>40423299.92307692</v>
      </c>
    </row>
    <row r="178" spans="5:15">
      <c r="E178" s="483" t="s">
        <v>388</v>
      </c>
      <c r="F178" s="1286">
        <f>+F176-F177</f>
        <v>695813566.53846145</v>
      </c>
      <c r="G178" s="1286"/>
      <c r="H178" s="1286">
        <f>+H176-H177</f>
        <v>303054763.30769235</v>
      </c>
      <c r="I178" s="1286">
        <f t="shared" ref="I178" si="68">+I176-I177</f>
        <v>2743669.1538461535</v>
      </c>
      <c r="J178" s="1286">
        <f t="shared" ref="J178:L178" si="69">+J176-J177</f>
        <v>145226191.9230769</v>
      </c>
      <c r="K178" s="1286">
        <f>+K176-K177</f>
        <v>57959062.461538464</v>
      </c>
      <c r="L178" s="1286">
        <f t="shared" si="69"/>
        <v>6150671.692307692</v>
      </c>
      <c r="M178" s="1286">
        <f t="shared" ref="M178" si="70">+M176-M177</f>
        <v>180679208</v>
      </c>
      <c r="O178" s="1277">
        <f t="shared" si="65"/>
        <v>695813566.53846157</v>
      </c>
    </row>
    <row r="179" spans="5:15">
      <c r="E179" s="483" t="s">
        <v>389</v>
      </c>
      <c r="F179" s="1089">
        <f>F194</f>
        <v>1</v>
      </c>
      <c r="G179" s="1089"/>
      <c r="H179" s="1089">
        <f>H194</f>
        <v>1</v>
      </c>
      <c r="I179" s="1089">
        <f t="shared" ref="I179" si="71">I194</f>
        <v>1</v>
      </c>
      <c r="J179" s="1089">
        <f t="shared" ref="J179:L179" si="72">J194</f>
        <v>1</v>
      </c>
      <c r="K179" s="1089">
        <f>K194</f>
        <v>1</v>
      </c>
      <c r="L179" s="1089">
        <f t="shared" si="72"/>
        <v>1</v>
      </c>
      <c r="M179" s="1089">
        <f t="shared" ref="M179" si="73">M194</f>
        <v>1</v>
      </c>
    </row>
    <row r="180" spans="5:15">
      <c r="E180" s="483" t="s">
        <v>390</v>
      </c>
      <c r="F180" s="1286">
        <f>F178*F179</f>
        <v>695813566.53846145</v>
      </c>
      <c r="G180" s="1286"/>
      <c r="H180" s="1286">
        <f>H178*H179</f>
        <v>303054763.30769235</v>
      </c>
      <c r="I180" s="1286">
        <f t="shared" ref="I180" si="74">I178*I179</f>
        <v>2743669.1538461535</v>
      </c>
      <c r="J180" s="1286">
        <f t="shared" ref="J180:L180" si="75">J178*J179</f>
        <v>145226191.9230769</v>
      </c>
      <c r="K180" s="1286">
        <f>K178*K179</f>
        <v>57959062.461538464</v>
      </c>
      <c r="L180" s="1286">
        <f t="shared" si="75"/>
        <v>6150671.692307692</v>
      </c>
      <c r="M180" s="1286">
        <f t="shared" ref="M180" si="76">M178*M179</f>
        <v>180679208</v>
      </c>
      <c r="O180" s="1277">
        <f>SUM(G180:N180)</f>
        <v>695813566.53846157</v>
      </c>
    </row>
    <row r="181" spans="5:15">
      <c r="E181" s="483" t="s">
        <v>391</v>
      </c>
      <c r="F181" s="1286">
        <f>+F178-F180</f>
        <v>0</v>
      </c>
      <c r="G181" s="1286"/>
      <c r="H181" s="1286">
        <f>+H178-H180</f>
        <v>0</v>
      </c>
      <c r="I181" s="1286">
        <f t="shared" ref="I181" si="77">+I178-I180</f>
        <v>0</v>
      </c>
      <c r="J181" s="1286">
        <f t="shared" ref="J181:L181" si="78">+J178-J180</f>
        <v>0</v>
      </c>
      <c r="K181" s="1286">
        <f>+K178-K180</f>
        <v>0</v>
      </c>
      <c r="L181" s="1286">
        <f t="shared" si="78"/>
        <v>0</v>
      </c>
      <c r="M181" s="1286">
        <f t="shared" ref="M181" si="79">+M178-M180</f>
        <v>0</v>
      </c>
    </row>
    <row r="182" spans="5:15">
      <c r="E182" s="483"/>
      <c r="H182" s="124"/>
      <c r="I182" s="124"/>
      <c r="J182" s="124"/>
      <c r="K182" s="124"/>
      <c r="L182" s="124"/>
      <c r="M182" s="124"/>
    </row>
    <row r="183" spans="5:15">
      <c r="E183" s="483" t="s">
        <v>392</v>
      </c>
      <c r="F183" s="901">
        <f>+F68</f>
        <v>5067689</v>
      </c>
      <c r="G183" s="901"/>
      <c r="H183" s="901">
        <f>+H68</f>
        <v>5000000</v>
      </c>
      <c r="I183" s="901">
        <f t="shared" ref="I183" si="80">+I68</f>
        <v>0</v>
      </c>
      <c r="J183" s="901">
        <f t="shared" ref="J183:L183" si="81">+J68</f>
        <v>0</v>
      </c>
      <c r="K183" s="901">
        <f>+K68</f>
        <v>0</v>
      </c>
      <c r="L183" s="901">
        <f t="shared" si="81"/>
        <v>0</v>
      </c>
      <c r="M183" s="901">
        <f t="shared" ref="M183" si="82">+M68</f>
        <v>67689</v>
      </c>
      <c r="O183" s="1277">
        <f t="shared" ref="O183:O185" si="83">SUM(G183:N183)</f>
        <v>5067689</v>
      </c>
    </row>
    <row r="184" spans="5:15">
      <c r="E184" s="483" t="s">
        <v>393</v>
      </c>
      <c r="F184" s="1090">
        <f>+F154</f>
        <v>257329</v>
      </c>
      <c r="G184" s="1090"/>
      <c r="H184" s="1090">
        <f>+H154</f>
        <v>240000</v>
      </c>
      <c r="I184" s="1090">
        <f t="shared" ref="I184" si="84">+I154</f>
        <v>0</v>
      </c>
      <c r="J184" s="1090">
        <f t="shared" ref="J184:L184" si="85">+J154</f>
        <v>0</v>
      </c>
      <c r="K184" s="1090">
        <f>+K154</f>
        <v>0</v>
      </c>
      <c r="L184" s="1090">
        <f t="shared" si="85"/>
        <v>0</v>
      </c>
      <c r="M184" s="1090">
        <f t="shared" ref="M184" si="86">+M154</f>
        <v>17329</v>
      </c>
      <c r="O184" s="1277">
        <f t="shared" si="83"/>
        <v>257329</v>
      </c>
    </row>
    <row r="185" spans="5:15">
      <c r="E185" s="483" t="s">
        <v>394</v>
      </c>
      <c r="F185" s="901">
        <f>+F183-F184</f>
        <v>4810360</v>
      </c>
      <c r="G185" s="901"/>
      <c r="H185" s="901">
        <f>+H183-H184</f>
        <v>4760000</v>
      </c>
      <c r="I185" s="901">
        <f t="shared" ref="I185" si="87">+I183-I184</f>
        <v>0</v>
      </c>
      <c r="J185" s="901">
        <f t="shared" ref="J185:L185" si="88">+J183-J184</f>
        <v>0</v>
      </c>
      <c r="K185" s="901">
        <f>+K183-K184</f>
        <v>0</v>
      </c>
      <c r="L185" s="901">
        <f t="shared" si="88"/>
        <v>0</v>
      </c>
      <c r="M185" s="901">
        <f t="shared" ref="M185" si="89">+M183-M184</f>
        <v>50360</v>
      </c>
      <c r="O185" s="1277">
        <f t="shared" si="83"/>
        <v>4810360</v>
      </c>
    </row>
    <row r="186" spans="5:15">
      <c r="E186" s="483"/>
      <c r="H186" s="124"/>
      <c r="I186" s="124"/>
      <c r="J186" s="124"/>
      <c r="K186" s="124"/>
      <c r="L186" s="124"/>
      <c r="M186" s="124"/>
    </row>
    <row r="187" spans="5:15">
      <c r="E187" s="483" t="s">
        <v>395</v>
      </c>
      <c r="F187" s="901">
        <f>+F176+F183</f>
        <v>741304555.46153843</v>
      </c>
      <c r="G187" s="901"/>
      <c r="H187" s="901">
        <f>+H176+H183</f>
        <v>312681937.69230771</v>
      </c>
      <c r="I187" s="901">
        <f t="shared" ref="I187" si="90">+I176+I183</f>
        <v>2761080.846153846</v>
      </c>
      <c r="J187" s="901">
        <f t="shared" ref="J187:L187" si="91">+J176+J183</f>
        <v>146944248.23076922</v>
      </c>
      <c r="K187" s="901">
        <f>+K176+K183</f>
        <v>58304128</v>
      </c>
      <c r="L187" s="901">
        <f t="shared" si="91"/>
        <v>6150671.692307692</v>
      </c>
      <c r="M187" s="901">
        <f t="shared" ref="M187" si="92">+M176+M183</f>
        <v>214462489</v>
      </c>
      <c r="O187" s="1277">
        <f t="shared" ref="O187:O189" si="93">SUM(G187:N187)</f>
        <v>741304555.46153855</v>
      </c>
    </row>
    <row r="188" spans="5:15">
      <c r="E188" s="483" t="s">
        <v>396</v>
      </c>
      <c r="F188" s="1090">
        <f>+F177+F184</f>
        <v>40680628.923076928</v>
      </c>
      <c r="G188" s="1090"/>
      <c r="H188" s="1090">
        <f>+H177+H184</f>
        <v>4867174.384615385</v>
      </c>
      <c r="I188" s="1090">
        <f t="shared" ref="I188" si="94">+I177+I184</f>
        <v>17411.692307692309</v>
      </c>
      <c r="J188" s="1090">
        <f t="shared" ref="J188:L188" si="95">+J177+J184</f>
        <v>1718056.3076923077</v>
      </c>
      <c r="K188" s="1090">
        <f>+K177+K184</f>
        <v>345065.53846153844</v>
      </c>
      <c r="L188" s="1090">
        <f t="shared" si="95"/>
        <v>0</v>
      </c>
      <c r="M188" s="1090">
        <f t="shared" ref="M188" si="96">+M177+M184</f>
        <v>33732921</v>
      </c>
      <c r="O188" s="1277">
        <f t="shared" si="93"/>
        <v>40680628.92307692</v>
      </c>
    </row>
    <row r="189" spans="5:15">
      <c r="E189" s="483" t="s">
        <v>397</v>
      </c>
      <c r="F189" s="901">
        <f>+F187-F188</f>
        <v>700623926.53846145</v>
      </c>
      <c r="G189" s="901"/>
      <c r="H189" s="901">
        <f>+H187-H188</f>
        <v>307814763.30769235</v>
      </c>
      <c r="I189" s="901">
        <f t="shared" ref="I189" si="97">+I187-I188</f>
        <v>2743669.1538461535</v>
      </c>
      <c r="J189" s="901">
        <f t="shared" ref="J189:L189" si="98">+J187-J188</f>
        <v>145226191.9230769</v>
      </c>
      <c r="K189" s="901">
        <f>+K187-K188</f>
        <v>57959062.461538464</v>
      </c>
      <c r="L189" s="901">
        <f t="shared" si="98"/>
        <v>6150671.692307692</v>
      </c>
      <c r="M189" s="901">
        <f t="shared" ref="M189" si="99">+M187-M188</f>
        <v>180729568</v>
      </c>
      <c r="O189" s="1277">
        <f t="shared" si="93"/>
        <v>700623926.53846157</v>
      </c>
    </row>
    <row r="190" spans="5:15">
      <c r="E190" s="483"/>
      <c r="H190" s="124"/>
      <c r="I190" s="124"/>
      <c r="J190" s="124"/>
      <c r="K190" s="124"/>
      <c r="L190" s="124"/>
      <c r="M190" s="124"/>
    </row>
    <row r="191" spans="5:15">
      <c r="E191" s="483"/>
      <c r="H191" s="124"/>
      <c r="I191" s="124"/>
      <c r="J191" s="124"/>
      <c r="K191" s="124"/>
      <c r="L191" s="124"/>
      <c r="M191" s="124"/>
    </row>
    <row r="192" spans="5:15">
      <c r="E192" s="483" t="s">
        <v>398</v>
      </c>
      <c r="F192" s="901"/>
      <c r="G192" s="901"/>
      <c r="H192" s="901"/>
      <c r="I192" s="901"/>
      <c r="J192" s="901"/>
      <c r="K192" s="901"/>
      <c r="L192" s="901"/>
      <c r="M192" s="901"/>
    </row>
    <row r="193" spans="5:15">
      <c r="E193" s="483" t="s">
        <v>399</v>
      </c>
      <c r="F193" s="901"/>
      <c r="G193" s="901"/>
      <c r="H193" s="901"/>
      <c r="I193" s="901"/>
      <c r="J193" s="901"/>
      <c r="K193" s="901"/>
      <c r="L193" s="901"/>
      <c r="M193" s="901"/>
    </row>
    <row r="194" spans="5:15">
      <c r="E194" s="483"/>
      <c r="F194" s="1091">
        <v>1</v>
      </c>
      <c r="G194" s="1091"/>
      <c r="H194" s="1091">
        <v>1</v>
      </c>
      <c r="I194" s="1091">
        <v>1</v>
      </c>
      <c r="J194" s="1091">
        <v>1</v>
      </c>
      <c r="K194" s="1091">
        <v>1</v>
      </c>
      <c r="L194" s="1091">
        <v>1</v>
      </c>
      <c r="M194" s="1091">
        <v>1</v>
      </c>
    </row>
    <row r="195" spans="5:15">
      <c r="E195" s="483"/>
      <c r="H195" s="124"/>
      <c r="I195" s="124"/>
      <c r="J195" s="124"/>
      <c r="K195" s="124"/>
      <c r="L195" s="124"/>
      <c r="M195" s="124"/>
    </row>
    <row r="196" spans="5:15">
      <c r="E196" s="483" t="s">
        <v>400</v>
      </c>
      <c r="F196" s="901">
        <f>F181+F185</f>
        <v>4810360</v>
      </c>
      <c r="G196" s="901"/>
      <c r="H196" s="901">
        <f>H181+H185</f>
        <v>4760000</v>
      </c>
      <c r="I196" s="901">
        <f t="shared" ref="I196" si="100">I181+I185</f>
        <v>0</v>
      </c>
      <c r="J196" s="901">
        <f t="shared" ref="J196:L196" si="101">J181+J185</f>
        <v>0</v>
      </c>
      <c r="K196" s="901">
        <f>K181+K185</f>
        <v>0</v>
      </c>
      <c r="L196" s="901">
        <f t="shared" si="101"/>
        <v>0</v>
      </c>
      <c r="M196" s="901">
        <f t="shared" ref="M196" si="102">M181+M185</f>
        <v>50360</v>
      </c>
      <c r="O196" s="1277">
        <f>SUM(G196:N196)</f>
        <v>4810360</v>
      </c>
    </row>
    <row r="198" spans="5:15">
      <c r="F198" s="901">
        <f>+F86-F173</f>
        <v>700623926.53846145</v>
      </c>
      <c r="G198" s="901"/>
      <c r="H198" s="901">
        <f>+H86-H173</f>
        <v>307814763.30769235</v>
      </c>
      <c r="I198" s="901">
        <f t="shared" ref="I198:O198" si="103">+I86-I173</f>
        <v>2743669.1538461535</v>
      </c>
      <c r="J198" s="901">
        <f t="shared" si="103"/>
        <v>145226191.9230769</v>
      </c>
      <c r="K198" s="901">
        <f>+K86-K173</f>
        <v>57959062.461538464</v>
      </c>
      <c r="L198" s="901">
        <f t="shared" si="103"/>
        <v>6150671.692307692</v>
      </c>
      <c r="M198" s="901">
        <f t="shared" si="103"/>
        <v>180729568</v>
      </c>
      <c r="O198" s="901">
        <f t="shared" si="103"/>
        <v>700623926.53846169</v>
      </c>
    </row>
    <row r="201" spans="5:15">
      <c r="E201" s="124" t="s">
        <v>1202</v>
      </c>
      <c r="H201" s="1264">
        <f>+H105-H93+H137-H125+H153-H141</f>
        <v>7053490</v>
      </c>
      <c r="I201" s="1264">
        <f t="shared" ref="I201:M201" si="104">+I105-I93+I137-I125+I153-I141</f>
        <v>56588</v>
      </c>
      <c r="J201" s="1264">
        <f t="shared" si="104"/>
        <v>2901920</v>
      </c>
      <c r="K201" s="1264">
        <f t="shared" si="104"/>
        <v>1121463</v>
      </c>
      <c r="L201" s="1264">
        <f t="shared" si="104"/>
        <v>0</v>
      </c>
      <c r="M201" s="1264">
        <f t="shared" si="104"/>
        <v>4615404</v>
      </c>
      <c r="O201" s="901">
        <f>SUM(H201:N201)</f>
        <v>15748865</v>
      </c>
    </row>
    <row r="202" spans="5:15">
      <c r="M202" s="1264"/>
      <c r="O202" s="122"/>
    </row>
  </sheetData>
  <mergeCells count="6">
    <mergeCell ref="O5:R5"/>
    <mergeCell ref="A5:F5"/>
    <mergeCell ref="A91:F91"/>
    <mergeCell ref="O91:R91"/>
    <mergeCell ref="A1:F1"/>
    <mergeCell ref="A2:F2"/>
  </mergeCells>
  <phoneticPr fontId="0" type="noConversion"/>
  <printOptions horizontalCentered="1"/>
  <pageMargins left="0.25" right="0.25" top="0.75" bottom="0.75" header="0.5" footer="0.5"/>
  <pageSetup scale="85" fitToHeight="0" orientation="landscape" r:id="rId1"/>
  <headerFooter alignWithMargins="0"/>
  <rowBreaks count="4" manualBreakCount="4">
    <brk id="36" max="5" man="1"/>
    <brk id="69" max="5" man="1"/>
    <brk id="107" max="5" man="1"/>
    <brk id="139"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Q252"/>
  <sheetViews>
    <sheetView view="pageBreakPreview" zoomScale="80" zoomScaleNormal="90" zoomScaleSheetLayoutView="80" workbookViewId="0"/>
  </sheetViews>
  <sheetFormatPr defaultColWidth="8.81640625" defaultRowHeight="13.2"/>
  <cols>
    <col min="1" max="1" width="5" style="127" customWidth="1"/>
    <col min="2" max="2" width="3.1796875" style="98" customWidth="1"/>
    <col min="3" max="3" width="48.1796875" style="98" customWidth="1"/>
    <col min="4" max="4" width="18.6328125" style="98" customWidth="1"/>
    <col min="5" max="5" width="13.6328125" style="98" customWidth="1"/>
    <col min="6" max="6" width="15.81640625" style="98" customWidth="1"/>
    <col min="7" max="7" width="15.1796875" style="98" customWidth="1"/>
    <col min="8" max="8" width="15.54296875" style="98" customWidth="1"/>
    <col min="9" max="9" width="13" style="98" customWidth="1"/>
    <col min="10" max="10" width="10.6328125" style="98" customWidth="1"/>
    <col min="11" max="11" width="9" style="98" customWidth="1"/>
    <col min="12" max="12" width="11.6328125" style="98" bestFit="1" customWidth="1"/>
    <col min="13" max="13" width="9" style="98" customWidth="1"/>
    <col min="14" max="16384" width="8.81640625" style="98"/>
  </cols>
  <sheetData>
    <row r="1" spans="1:16" ht="17.399999999999999">
      <c r="B1" s="127"/>
      <c r="C1" s="149"/>
      <c r="D1" s="1339" t="s">
        <v>401</v>
      </c>
      <c r="E1" s="1339"/>
      <c r="F1" s="1339"/>
      <c r="G1" s="1339"/>
      <c r="H1" s="1339"/>
      <c r="I1" s="1339"/>
      <c r="J1" s="141"/>
      <c r="K1" s="141"/>
      <c r="L1" s="141"/>
      <c r="M1" s="141"/>
    </row>
    <row r="2" spans="1:16" ht="18" thickBot="1">
      <c r="A2" s="145"/>
      <c r="D2" s="1339" t="str">
        <f>'Appendix A'!$E$9</f>
        <v>New York Transco LLC</v>
      </c>
      <c r="E2" s="1339"/>
      <c r="F2" s="1339"/>
      <c r="G2" s="1339"/>
      <c r="H2" s="1339"/>
      <c r="I2" s="1339"/>
    </row>
    <row r="3" spans="1:16" ht="50.25" customHeight="1" thickBot="1">
      <c r="A3" s="1340"/>
      <c r="B3" s="1341"/>
      <c r="C3" s="1341"/>
      <c r="D3" s="1341"/>
      <c r="E3" s="1341"/>
      <c r="F3" s="1342"/>
      <c r="G3" s="206"/>
      <c r="H3" s="206"/>
      <c r="I3" s="206"/>
      <c r="J3" s="1343" t="s">
        <v>402</v>
      </c>
      <c r="K3" s="1344"/>
      <c r="L3" s="1344"/>
      <c r="M3" s="1345"/>
    </row>
    <row r="4" spans="1:16">
      <c r="A4" s="1009" t="s">
        <v>403</v>
      </c>
      <c r="B4" s="203"/>
      <c r="C4" s="205"/>
      <c r="D4" s="204"/>
      <c r="E4" s="203" t="s">
        <v>404</v>
      </c>
      <c r="F4" s="203" t="s">
        <v>405</v>
      </c>
      <c r="G4" s="202" t="s">
        <v>406</v>
      </c>
      <c r="H4" s="201"/>
      <c r="I4" s="200"/>
      <c r="J4" s="199"/>
      <c r="K4" s="938"/>
      <c r="L4" s="938"/>
      <c r="M4" s="939"/>
    </row>
    <row r="5" spans="1:16" s="1" customFormat="1" ht="15">
      <c r="A5" s="198">
        <f>+'2 - Cost Support '!A173+1</f>
        <v>153</v>
      </c>
      <c r="B5" s="197"/>
      <c r="C5" s="197" t="s">
        <v>407</v>
      </c>
      <c r="D5" s="197" t="s">
        <v>408</v>
      </c>
      <c r="E5" s="148">
        <v>0</v>
      </c>
      <c r="F5" s="148">
        <v>0</v>
      </c>
      <c r="G5" s="475">
        <f>+E5/2+F5/2</f>
        <v>0</v>
      </c>
      <c r="H5" s="195"/>
      <c r="I5" s="194"/>
      <c r="J5" s="194"/>
      <c r="K5" s="194"/>
      <c r="L5" s="193"/>
      <c r="M5" s="92"/>
      <c r="N5" s="81"/>
      <c r="O5" s="29"/>
      <c r="P5" s="16"/>
    </row>
    <row r="6" spans="1:16" s="1" customFormat="1" ht="15">
      <c r="A6" s="198"/>
      <c r="B6" s="197"/>
      <c r="C6" s="197"/>
      <c r="D6" s="197"/>
      <c r="E6" s="194"/>
      <c r="F6" s="194"/>
      <c r="G6" s="475"/>
      <c r="H6" s="195"/>
      <c r="I6" s="194"/>
      <c r="J6" s="194"/>
      <c r="K6" s="194"/>
      <c r="L6" s="193"/>
      <c r="M6" s="92"/>
      <c r="N6" s="81"/>
      <c r="O6" s="29"/>
      <c r="P6" s="16"/>
    </row>
    <row r="7" spans="1:16" s="1" customFormat="1" ht="15.6">
      <c r="A7" s="198">
        <f>+A5+1</f>
        <v>154</v>
      </c>
      <c r="B7" s="197"/>
      <c r="C7" s="197" t="s">
        <v>104</v>
      </c>
      <c r="D7" s="194" t="s">
        <v>409</v>
      </c>
      <c r="E7" s="951"/>
      <c r="F7" s="951"/>
      <c r="G7" s="538">
        <f>+'10 - Workpaper'!Z41</f>
        <v>0</v>
      </c>
      <c r="H7" s="90"/>
      <c r="I7" s="8"/>
      <c r="J7" s="8"/>
      <c r="K7" s="194"/>
      <c r="L7" s="193"/>
      <c r="M7" s="92"/>
      <c r="N7" s="81"/>
      <c r="O7" s="718"/>
      <c r="P7" s="16"/>
    </row>
    <row r="8" spans="1:16" s="1" customFormat="1" ht="15">
      <c r="A8" s="198"/>
      <c r="B8" s="197"/>
      <c r="C8" s="197" t="s">
        <v>410</v>
      </c>
      <c r="D8" s="194"/>
      <c r="E8" s="194"/>
      <c r="F8" s="194"/>
      <c r="G8" s="476"/>
      <c r="H8" s="195" t="s">
        <v>411</v>
      </c>
      <c r="I8" s="8"/>
      <c r="K8" s="194"/>
      <c r="L8" s="193"/>
      <c r="M8" s="92"/>
      <c r="N8" s="81"/>
      <c r="P8" s="16"/>
    </row>
    <row r="9" spans="1:16" s="1" customFormat="1" ht="15">
      <c r="A9" s="198">
        <f>+A7+1</f>
        <v>155</v>
      </c>
      <c r="B9" s="197"/>
      <c r="C9" s="197" t="s">
        <v>412</v>
      </c>
      <c r="D9" s="194" t="s">
        <v>413</v>
      </c>
      <c r="E9" s="194"/>
      <c r="G9" s="960"/>
      <c r="H9" s="959">
        <f>+'10 - Workpaper'!I41</f>
        <v>0</v>
      </c>
      <c r="I9" s="8"/>
      <c r="K9" s="194"/>
      <c r="L9" s="193"/>
      <c r="M9" s="92"/>
      <c r="N9" s="81"/>
      <c r="O9" s="29"/>
      <c r="P9" s="16"/>
    </row>
    <row r="10" spans="1:16" s="1" customFormat="1" ht="15">
      <c r="A10" s="198"/>
      <c r="B10" s="197"/>
      <c r="C10" s="197"/>
      <c r="D10" s="194"/>
      <c r="E10" s="194"/>
      <c r="F10" s="194"/>
      <c r="G10" s="476"/>
      <c r="H10" s="90"/>
      <c r="I10" s="8"/>
      <c r="K10" s="194"/>
      <c r="L10" s="193"/>
      <c r="M10" s="92"/>
      <c r="N10" s="81"/>
      <c r="O10" s="29"/>
      <c r="P10" s="16"/>
    </row>
    <row r="11" spans="1:16" s="1" customFormat="1" ht="15">
      <c r="A11" s="198">
        <f>+A9+1</f>
        <v>156</v>
      </c>
      <c r="B11" s="197"/>
      <c r="C11" s="197" t="s">
        <v>414</v>
      </c>
      <c r="E11" s="143"/>
      <c r="F11" s="143"/>
      <c r="G11" s="476"/>
      <c r="H11" s="90"/>
      <c r="I11" s="8"/>
      <c r="J11" s="8"/>
      <c r="K11" s="194"/>
      <c r="L11" s="193"/>
      <c r="M11" s="92"/>
      <c r="N11" s="81"/>
      <c r="O11" s="29"/>
      <c r="P11" s="16"/>
    </row>
    <row r="12" spans="1:16" s="1" customFormat="1" ht="15">
      <c r="A12" s="198"/>
      <c r="B12" s="197"/>
      <c r="C12" s="197" t="s">
        <v>415</v>
      </c>
      <c r="D12" s="197"/>
      <c r="E12" s="127" t="s">
        <v>324</v>
      </c>
      <c r="F12" s="144" t="s">
        <v>325</v>
      </c>
      <c r="G12" s="196"/>
      <c r="H12" s="195"/>
      <c r="I12" s="194"/>
      <c r="J12" s="194"/>
      <c r="K12" s="194"/>
      <c r="L12" s="193"/>
      <c r="M12" s="92"/>
      <c r="N12" s="81"/>
      <c r="O12" s="29"/>
      <c r="P12" s="16"/>
    </row>
    <row r="13" spans="1:16" s="1" customFormat="1" ht="15">
      <c r="A13" s="150">
        <f>+A11+1</f>
        <v>157</v>
      </c>
      <c r="B13" s="127"/>
      <c r="C13" s="98" t="s">
        <v>329</v>
      </c>
      <c r="D13" s="194" t="s">
        <v>416</v>
      </c>
      <c r="E13" s="1092">
        <v>2022</v>
      </c>
      <c r="F13" s="647">
        <v>405152</v>
      </c>
      <c r="G13" s="960"/>
      <c r="I13" s="194"/>
      <c r="J13" s="194"/>
      <c r="K13" s="194"/>
      <c r="L13" s="193"/>
      <c r="M13" s="92"/>
      <c r="N13" s="81"/>
      <c r="O13" s="29"/>
      <c r="P13" s="16"/>
    </row>
    <row r="14" spans="1:16" s="1" customFormat="1" ht="15">
      <c r="A14" s="150">
        <f t="shared" ref="A14:A26" si="0">+A13+1</f>
        <v>158</v>
      </c>
      <c r="B14" s="127"/>
      <c r="C14" s="149" t="s">
        <v>331</v>
      </c>
      <c r="D14" s="98" t="s">
        <v>332</v>
      </c>
      <c r="E14" s="1092">
        <v>2023</v>
      </c>
      <c r="F14" s="647">
        <v>457874</v>
      </c>
      <c r="G14" s="960"/>
      <c r="I14" s="194"/>
      <c r="J14" s="194"/>
      <c r="K14" s="194"/>
      <c r="L14" s="193"/>
      <c r="M14" s="92"/>
      <c r="N14" s="81"/>
      <c r="O14" s="29"/>
      <c r="P14" s="16"/>
    </row>
    <row r="15" spans="1:16" s="1" customFormat="1" ht="15">
      <c r="A15" s="150">
        <f t="shared" si="0"/>
        <v>159</v>
      </c>
      <c r="B15" s="127"/>
      <c r="C15" s="149" t="s">
        <v>333</v>
      </c>
      <c r="D15" s="98" t="s">
        <v>332</v>
      </c>
      <c r="E15" s="1092">
        <v>2023</v>
      </c>
      <c r="F15" s="647">
        <v>370597</v>
      </c>
      <c r="G15" s="960"/>
      <c r="I15" s="194"/>
      <c r="J15" s="194"/>
      <c r="K15" s="194"/>
      <c r="L15" s="193"/>
      <c r="M15" s="92"/>
      <c r="N15" s="81"/>
      <c r="O15" s="29"/>
      <c r="P15" s="16"/>
    </row>
    <row r="16" spans="1:16" s="1" customFormat="1" ht="15">
      <c r="A16" s="150">
        <f t="shared" si="0"/>
        <v>160</v>
      </c>
      <c r="B16" s="127"/>
      <c r="C16" s="149" t="s">
        <v>334</v>
      </c>
      <c r="D16" s="98" t="s">
        <v>332</v>
      </c>
      <c r="E16" s="1092">
        <v>2023</v>
      </c>
      <c r="F16" s="647">
        <v>283319</v>
      </c>
      <c r="G16" s="960"/>
      <c r="I16" s="194"/>
      <c r="J16" s="194"/>
      <c r="K16" s="194"/>
      <c r="L16" s="193"/>
      <c r="M16" s="92"/>
      <c r="N16" s="81"/>
      <c r="O16" s="29"/>
      <c r="P16" s="16"/>
    </row>
    <row r="17" spans="1:16" s="1" customFormat="1" ht="15">
      <c r="A17" s="150">
        <f t="shared" si="0"/>
        <v>161</v>
      </c>
      <c r="B17" s="127"/>
      <c r="C17" s="149" t="s">
        <v>335</v>
      </c>
      <c r="D17" s="98" t="s">
        <v>332</v>
      </c>
      <c r="E17" s="1092">
        <v>2023</v>
      </c>
      <c r="F17" s="647">
        <v>260791</v>
      </c>
      <c r="G17" s="960"/>
      <c r="I17" s="194"/>
      <c r="J17" s="194"/>
      <c r="K17" s="194"/>
      <c r="L17" s="193"/>
      <c r="M17" s="92"/>
      <c r="N17" s="81"/>
      <c r="O17" s="29"/>
      <c r="P17" s="16"/>
    </row>
    <row r="18" spans="1:16" s="1" customFormat="1" ht="15">
      <c r="A18" s="150">
        <f t="shared" si="0"/>
        <v>162</v>
      </c>
      <c r="B18" s="127"/>
      <c r="C18" s="149" t="s">
        <v>336</v>
      </c>
      <c r="D18" s="98" t="s">
        <v>332</v>
      </c>
      <c r="E18" s="1092">
        <v>2023</v>
      </c>
      <c r="F18" s="647">
        <v>770264</v>
      </c>
      <c r="G18" s="960"/>
      <c r="I18" s="194"/>
      <c r="J18" s="194"/>
      <c r="K18" s="194"/>
      <c r="L18" s="193"/>
      <c r="M18" s="92"/>
      <c r="N18" s="81"/>
      <c r="O18" s="29"/>
      <c r="P18" s="16"/>
    </row>
    <row r="19" spans="1:16" s="1" customFormat="1" ht="15">
      <c r="A19" s="150">
        <f t="shared" si="0"/>
        <v>163</v>
      </c>
      <c r="B19" s="127"/>
      <c r="C19" s="149" t="s">
        <v>337</v>
      </c>
      <c r="D19" s="98" t="s">
        <v>332</v>
      </c>
      <c r="E19" s="1092">
        <v>2023</v>
      </c>
      <c r="F19" s="647">
        <v>680347</v>
      </c>
      <c r="G19" s="960"/>
      <c r="I19" s="194"/>
      <c r="J19" s="194"/>
      <c r="K19" s="194"/>
      <c r="L19" s="193"/>
      <c r="M19" s="92"/>
      <c r="N19" s="81"/>
      <c r="O19" s="29"/>
      <c r="P19" s="16"/>
    </row>
    <row r="20" spans="1:16" s="1" customFormat="1" ht="15">
      <c r="A20" s="150">
        <f t="shared" si="0"/>
        <v>164</v>
      </c>
      <c r="B20" s="127"/>
      <c r="C20" s="149" t="s">
        <v>338</v>
      </c>
      <c r="D20" s="98" t="s">
        <v>332</v>
      </c>
      <c r="E20" s="1092">
        <v>2023</v>
      </c>
      <c r="F20" s="647">
        <v>700597</v>
      </c>
      <c r="G20" s="960"/>
      <c r="I20" s="194"/>
      <c r="J20" s="194"/>
      <c r="K20" s="194"/>
      <c r="L20" s="193"/>
      <c r="M20" s="92"/>
      <c r="N20" s="81"/>
      <c r="O20" s="29"/>
      <c r="P20" s="16"/>
    </row>
    <row r="21" spans="1:16" s="1" customFormat="1" ht="15">
      <c r="A21" s="150">
        <f t="shared" si="0"/>
        <v>165</v>
      </c>
      <c r="B21" s="127"/>
      <c r="C21" s="149" t="s">
        <v>339</v>
      </c>
      <c r="D21" s="98" t="s">
        <v>332</v>
      </c>
      <c r="E21" s="1092">
        <v>2023</v>
      </c>
      <c r="F21" s="647">
        <v>609847</v>
      </c>
      <c r="G21" s="960"/>
      <c r="I21" s="194"/>
      <c r="J21" s="194"/>
      <c r="K21" s="194"/>
      <c r="L21" s="193"/>
      <c r="M21" s="92"/>
      <c r="N21" s="81"/>
      <c r="O21" s="29"/>
      <c r="P21" s="16"/>
    </row>
    <row r="22" spans="1:16" s="1" customFormat="1" ht="15">
      <c r="A22" s="150">
        <f t="shared" si="0"/>
        <v>166</v>
      </c>
      <c r="B22" s="127"/>
      <c r="C22" s="149" t="s">
        <v>340</v>
      </c>
      <c r="D22" s="98" t="s">
        <v>332</v>
      </c>
      <c r="E22" s="1092">
        <v>2023</v>
      </c>
      <c r="F22" s="647">
        <v>589847</v>
      </c>
      <c r="G22" s="960"/>
      <c r="I22" s="194"/>
      <c r="J22" s="194"/>
      <c r="K22" s="194"/>
      <c r="L22" s="193"/>
      <c r="M22" s="92"/>
      <c r="N22" s="81"/>
      <c r="O22" s="29"/>
      <c r="P22" s="16"/>
    </row>
    <row r="23" spans="1:16" s="1" customFormat="1" ht="15">
      <c r="A23" s="150">
        <f t="shared" si="0"/>
        <v>167</v>
      </c>
      <c r="B23" s="127"/>
      <c r="C23" s="149" t="s">
        <v>341</v>
      </c>
      <c r="D23" s="98" t="s">
        <v>332</v>
      </c>
      <c r="E23" s="1092">
        <v>2023</v>
      </c>
      <c r="F23" s="647">
        <v>498847</v>
      </c>
      <c r="G23" s="960"/>
      <c r="I23" s="194"/>
      <c r="J23" s="194"/>
      <c r="K23" s="194"/>
      <c r="L23" s="193"/>
      <c r="M23" s="92"/>
      <c r="N23" s="81"/>
      <c r="O23" s="29"/>
      <c r="P23" s="16"/>
    </row>
    <row r="24" spans="1:16" s="1" customFormat="1" ht="15">
      <c r="A24" s="150">
        <f t="shared" si="0"/>
        <v>168</v>
      </c>
      <c r="B24" s="127"/>
      <c r="C24" s="149" t="s">
        <v>342</v>
      </c>
      <c r="D24" s="98" t="s">
        <v>332</v>
      </c>
      <c r="E24" s="1092">
        <v>2023</v>
      </c>
      <c r="F24" s="647">
        <v>561943</v>
      </c>
      <c r="G24" s="960"/>
      <c r="I24" s="194"/>
      <c r="J24" s="194"/>
      <c r="K24" s="194"/>
      <c r="L24" s="193"/>
      <c r="M24" s="92"/>
      <c r="N24" s="81"/>
      <c r="O24" s="29"/>
      <c r="P24" s="16"/>
    </row>
    <row r="25" spans="1:16" s="1" customFormat="1" ht="15">
      <c r="A25" s="150">
        <f t="shared" si="0"/>
        <v>169</v>
      </c>
      <c r="B25" s="127"/>
      <c r="C25" s="147" t="s">
        <v>329</v>
      </c>
      <c r="D25" s="589" t="s">
        <v>417</v>
      </c>
      <c r="E25" s="1093">
        <v>2023</v>
      </c>
      <c r="F25" s="1247">
        <v>467288</v>
      </c>
      <c r="G25" s="960"/>
      <c r="I25" s="194"/>
      <c r="J25" s="194"/>
      <c r="K25" s="194"/>
      <c r="L25" s="193"/>
      <c r="M25" s="92"/>
      <c r="N25" s="81"/>
      <c r="O25" s="29"/>
      <c r="P25" s="16"/>
    </row>
    <row r="26" spans="1:16" s="1" customFormat="1" ht="15">
      <c r="A26" s="150">
        <f t="shared" si="0"/>
        <v>170</v>
      </c>
      <c r="B26" s="127"/>
      <c r="C26" s="164" t="s">
        <v>418</v>
      </c>
      <c r="D26" s="98" t="str">
        <f>"(sum lines "&amp;A13&amp;"-"&amp;A25&amp;") /13"</f>
        <v>(sum lines 157-169) /13</v>
      </c>
      <c r="E26" s="162"/>
      <c r="F26" s="1112">
        <f>SUM(F13:F25)/13</f>
        <v>512054.84615384613</v>
      </c>
      <c r="G26" s="960"/>
      <c r="I26" s="194"/>
      <c r="J26" s="194"/>
      <c r="K26" s="194"/>
      <c r="L26" s="193"/>
      <c r="M26" s="92"/>
      <c r="N26" s="81"/>
      <c r="O26" s="29"/>
      <c r="P26" s="16"/>
    </row>
    <row r="27" spans="1:16" s="1" customFormat="1" ht="15.6" thickBot="1">
      <c r="A27" s="198"/>
      <c r="B27" s="197"/>
      <c r="C27" s="197"/>
      <c r="D27" s="197"/>
      <c r="E27" s="194"/>
      <c r="F27" s="194"/>
      <c r="G27" s="961"/>
      <c r="H27" s="962"/>
      <c r="I27" s="963"/>
      <c r="J27" s="963"/>
      <c r="K27" s="963"/>
      <c r="L27" s="964"/>
      <c r="M27" s="965"/>
      <c r="N27" s="81"/>
      <c r="O27" s="29"/>
      <c r="P27" s="16"/>
    </row>
    <row r="28" spans="1:16" ht="13.8" thickBot="1">
      <c r="A28" s="139"/>
      <c r="B28" s="156"/>
      <c r="C28" s="1239"/>
      <c r="D28" s="642"/>
      <c r="E28" s="185"/>
      <c r="F28" s="138"/>
      <c r="G28" s="643"/>
      <c r="H28" s="192"/>
      <c r="I28" s="187"/>
      <c r="J28" s="644"/>
      <c r="K28" s="645"/>
      <c r="L28" s="645"/>
      <c r="M28" s="646"/>
    </row>
    <row r="29" spans="1:16">
      <c r="A29" s="191"/>
      <c r="B29" s="191"/>
      <c r="C29" s="191"/>
      <c r="D29" s="191"/>
      <c r="F29" s="190"/>
      <c r="G29" s="136"/>
      <c r="H29" s="151"/>
      <c r="I29" s="189"/>
      <c r="J29" s="188"/>
      <c r="K29" s="141"/>
      <c r="L29" s="141"/>
      <c r="M29" s="141"/>
    </row>
    <row r="30" spans="1:16">
      <c r="B30" s="127"/>
      <c r="C30" s="164"/>
      <c r="D30" s="186"/>
      <c r="E30" s="171"/>
      <c r="F30" s="149"/>
      <c r="G30" s="142"/>
      <c r="H30" s="142"/>
      <c r="I30" s="142"/>
      <c r="J30" s="141"/>
      <c r="K30" s="141"/>
      <c r="L30" s="141"/>
      <c r="M30" s="141"/>
    </row>
    <row r="31" spans="1:16" ht="12" customHeight="1"/>
    <row r="32" spans="1:16" ht="13.8" thickBot="1">
      <c r="A32" s="145" t="s">
        <v>419</v>
      </c>
    </row>
    <row r="33" spans="1:13">
      <c r="A33" s="1319"/>
      <c r="B33" s="1320"/>
      <c r="C33" s="1320"/>
      <c r="D33" s="1320"/>
      <c r="E33" s="1320"/>
      <c r="F33" s="1320"/>
      <c r="G33" s="152"/>
      <c r="H33" s="152"/>
      <c r="I33" s="152"/>
      <c r="J33" s="1323"/>
      <c r="K33" s="1346"/>
      <c r="L33" s="1346"/>
      <c r="M33" s="1347"/>
    </row>
    <row r="34" spans="1:13">
      <c r="A34" s="150" t="s">
        <v>420</v>
      </c>
      <c r="B34" s="163"/>
      <c r="C34" s="724" t="s">
        <v>192</v>
      </c>
      <c r="D34" s="724" t="s">
        <v>193</v>
      </c>
      <c r="E34" s="724" t="s">
        <v>421</v>
      </c>
      <c r="F34" s="724" t="s">
        <v>422</v>
      </c>
      <c r="G34" s="724" t="s">
        <v>423</v>
      </c>
      <c r="H34" s="724" t="s">
        <v>424</v>
      </c>
      <c r="I34" s="724" t="s">
        <v>425</v>
      </c>
      <c r="J34" s="1321"/>
      <c r="K34" s="1305"/>
      <c r="L34" s="1305"/>
      <c r="M34" s="1325"/>
    </row>
    <row r="35" spans="1:13" ht="92.4">
      <c r="A35" s="150"/>
      <c r="B35"/>
      <c r="C35" s="725"/>
      <c r="D35" s="726" t="s">
        <v>39</v>
      </c>
      <c r="E35" s="726" t="s">
        <v>426</v>
      </c>
      <c r="F35" s="726" t="s">
        <v>427</v>
      </c>
      <c r="G35" s="726" t="s">
        <v>428</v>
      </c>
      <c r="H35" s="727" t="s">
        <v>429</v>
      </c>
      <c r="I35" s="727" t="s">
        <v>430</v>
      </c>
      <c r="J35"/>
      <c r="K35" s="374"/>
      <c r="L35" s="374"/>
      <c r="M35" s="1240"/>
    </row>
    <row r="36" spans="1:13" ht="15">
      <c r="A36" s="150"/>
      <c r="B36"/>
      <c r="C36" s="728" t="s">
        <v>431</v>
      </c>
      <c r="D36" s="729">
        <v>0</v>
      </c>
      <c r="E36" s="729">
        <v>0</v>
      </c>
      <c r="F36" s="729">
        <v>0</v>
      </c>
      <c r="G36" s="729">
        <v>0</v>
      </c>
      <c r="H36" s="729">
        <v>0</v>
      </c>
      <c r="I36" s="730">
        <f t="shared" ref="I36:I41" si="1">+H36*E36*D36*F36*G36</f>
        <v>0</v>
      </c>
      <c r="J36"/>
      <c r="K36" s="374"/>
      <c r="L36" s="374"/>
      <c r="M36" s="1240"/>
    </row>
    <row r="37" spans="1:13" ht="15">
      <c r="A37" s="150"/>
      <c r="B37"/>
      <c r="C37" s="728" t="s">
        <v>432</v>
      </c>
      <c r="D37" s="731">
        <v>0</v>
      </c>
      <c r="E37" s="731">
        <v>0</v>
      </c>
      <c r="F37" s="731">
        <v>0</v>
      </c>
      <c r="G37" s="731">
        <v>0</v>
      </c>
      <c r="H37" s="731">
        <v>0</v>
      </c>
      <c r="I37" s="730">
        <f t="shared" si="1"/>
        <v>0</v>
      </c>
      <c r="J37"/>
      <c r="K37" s="374"/>
      <c r="L37" s="374"/>
      <c r="M37" s="1240"/>
    </row>
    <row r="38" spans="1:13" ht="15">
      <c r="A38" s="150"/>
      <c r="B38"/>
      <c r="C38" s="728" t="s">
        <v>433</v>
      </c>
      <c r="D38" s="731">
        <v>0</v>
      </c>
      <c r="E38" s="731">
        <v>0</v>
      </c>
      <c r="F38" s="731">
        <v>0</v>
      </c>
      <c r="G38" s="731">
        <v>0</v>
      </c>
      <c r="H38" s="731">
        <v>0</v>
      </c>
      <c r="I38" s="730">
        <f t="shared" si="1"/>
        <v>0</v>
      </c>
      <c r="J38"/>
      <c r="K38" s="374"/>
      <c r="L38" s="374"/>
      <c r="M38" s="1240"/>
    </row>
    <row r="39" spans="1:13" ht="15">
      <c r="A39" s="150"/>
      <c r="B39"/>
      <c r="C39" s="728" t="s">
        <v>434</v>
      </c>
      <c r="D39" s="731">
        <v>0</v>
      </c>
      <c r="E39" s="731">
        <v>0</v>
      </c>
      <c r="F39" s="731">
        <v>0</v>
      </c>
      <c r="G39" s="731">
        <v>0</v>
      </c>
      <c r="H39" s="731">
        <v>0</v>
      </c>
      <c r="I39" s="730">
        <f t="shared" si="1"/>
        <v>0</v>
      </c>
      <c r="J39"/>
      <c r="K39" s="374"/>
      <c r="L39" s="374"/>
      <c r="M39" s="1240"/>
    </row>
    <row r="40" spans="1:13" ht="15">
      <c r="A40" s="150"/>
      <c r="B40"/>
      <c r="C40" s="728" t="s">
        <v>298</v>
      </c>
      <c r="D40" s="731">
        <v>0</v>
      </c>
      <c r="E40" s="731">
        <v>0</v>
      </c>
      <c r="F40" s="731">
        <v>0</v>
      </c>
      <c r="G40" s="731">
        <v>0</v>
      </c>
      <c r="H40" s="731">
        <v>0</v>
      </c>
      <c r="I40" s="730">
        <f t="shared" si="1"/>
        <v>0</v>
      </c>
      <c r="J40"/>
      <c r="K40" s="374"/>
      <c r="L40" s="374"/>
      <c r="M40" s="1240"/>
    </row>
    <row r="41" spans="1:13" ht="15">
      <c r="A41" s="150"/>
      <c r="B41"/>
      <c r="C41" s="732" t="s">
        <v>298</v>
      </c>
      <c r="D41" s="733">
        <v>0</v>
      </c>
      <c r="E41" s="733">
        <v>0</v>
      </c>
      <c r="F41" s="733">
        <v>0</v>
      </c>
      <c r="G41" s="733">
        <v>0</v>
      </c>
      <c r="H41" s="733">
        <v>0</v>
      </c>
      <c r="I41" s="734">
        <f t="shared" si="1"/>
        <v>0</v>
      </c>
      <c r="J41"/>
      <c r="K41" s="374"/>
      <c r="L41" s="374"/>
      <c r="M41" s="1240"/>
    </row>
    <row r="42" spans="1:13" ht="15">
      <c r="A42" s="150"/>
      <c r="B42"/>
      <c r="C42" s="735" t="s">
        <v>43</v>
      </c>
      <c r="D42" s="736"/>
      <c r="E42" s="737"/>
      <c r="F42" s="738"/>
      <c r="G42" s="738"/>
      <c r="H42" s="737"/>
      <c r="I42" s="730">
        <f>SUM(I36:I41)</f>
        <v>0</v>
      </c>
      <c r="J42"/>
      <c r="K42" s="374"/>
      <c r="L42" s="374"/>
      <c r="M42" s="1240"/>
    </row>
    <row r="43" spans="1:13" ht="15">
      <c r="A43" s="150"/>
      <c r="B43"/>
      <c r="C43" s="735"/>
      <c r="D43" s="736"/>
      <c r="E43" s="737"/>
      <c r="F43" s="738"/>
      <c r="G43" s="738"/>
      <c r="H43" s="737"/>
      <c r="I43" s="730"/>
      <c r="J43"/>
      <c r="K43" s="374"/>
      <c r="L43" s="374"/>
      <c r="M43" s="1240"/>
    </row>
    <row r="44" spans="1:13" ht="15">
      <c r="A44" s="150"/>
      <c r="B44"/>
      <c r="C44" s="1348" t="s">
        <v>435</v>
      </c>
      <c r="D44" s="1349"/>
      <c r="E44" s="1349"/>
      <c r="F44" s="1349"/>
      <c r="G44" s="1349"/>
      <c r="H44" s="1349"/>
      <c r="I44" s="1349"/>
      <c r="J44" s="1349"/>
      <c r="K44" s="374"/>
      <c r="L44" s="374"/>
      <c r="M44" s="1240"/>
    </row>
    <row r="45" spans="1:13" ht="15">
      <c r="A45" s="150"/>
      <c r="B45"/>
      <c r="C45" s="1349"/>
      <c r="D45" s="1349"/>
      <c r="E45" s="1349"/>
      <c r="F45" s="1349"/>
      <c r="G45" s="1349"/>
      <c r="H45" s="1349"/>
      <c r="I45" s="1349"/>
      <c r="J45" s="1349"/>
      <c r="K45" s="374"/>
      <c r="L45" s="374"/>
      <c r="M45" s="1240"/>
    </row>
    <row r="46" spans="1:13" ht="15">
      <c r="A46" s="150"/>
      <c r="B46"/>
      <c r="C46" s="1349"/>
      <c r="D46" s="1349"/>
      <c r="E46" s="1349"/>
      <c r="F46" s="1349"/>
      <c r="G46" s="1349"/>
      <c r="H46" s="1349"/>
      <c r="I46" s="1349"/>
      <c r="J46" s="1349"/>
      <c r="K46" s="374"/>
      <c r="L46" s="374"/>
      <c r="M46" s="1240"/>
    </row>
    <row r="47" spans="1:13" ht="15">
      <c r="A47" s="150"/>
      <c r="B47"/>
      <c r="C47" s="1349"/>
      <c r="D47" s="1349"/>
      <c r="E47" s="1349"/>
      <c r="F47" s="1349"/>
      <c r="G47" s="1349"/>
      <c r="H47" s="1349"/>
      <c r="I47" s="1349"/>
      <c r="J47" s="1349"/>
      <c r="K47" s="374"/>
      <c r="L47" s="374"/>
      <c r="M47" s="1240"/>
    </row>
    <row r="48" spans="1:13" ht="23.4" customHeight="1">
      <c r="A48" s="150"/>
      <c r="B48"/>
      <c r="C48" s="1349"/>
      <c r="D48" s="1349"/>
      <c r="E48" s="1349"/>
      <c r="F48" s="1349"/>
      <c r="G48" s="1349"/>
      <c r="H48" s="1349"/>
      <c r="I48" s="1349"/>
      <c r="J48" s="1349"/>
      <c r="K48" s="374"/>
      <c r="L48" s="374"/>
      <c r="M48" s="1240"/>
    </row>
    <row r="49" spans="1:14" ht="15.6" thickBot="1">
      <c r="A49" s="139"/>
      <c r="B49" s="1107"/>
      <c r="C49" s="1108"/>
      <c r="D49" s="1109"/>
      <c r="E49" s="1110"/>
      <c r="F49" s="1111"/>
      <c r="G49" s="1111"/>
      <c r="H49" s="1110"/>
      <c r="I49" s="734"/>
      <c r="J49" s="1107"/>
      <c r="K49" s="1241"/>
      <c r="L49" s="1241"/>
      <c r="M49" s="1242"/>
    </row>
    <row r="50" spans="1:14" ht="13.8" thickBot="1">
      <c r="B50" s="374"/>
      <c r="C50" s="149"/>
      <c r="D50" s="374"/>
      <c r="F50" s="149"/>
      <c r="G50" s="504"/>
      <c r="H50" s="504"/>
      <c r="I50" s="374"/>
      <c r="J50" s="374"/>
      <c r="K50" s="374"/>
      <c r="L50" s="374"/>
      <c r="M50" s="374"/>
    </row>
    <row r="51" spans="1:14">
      <c r="A51" s="506" t="s">
        <v>436</v>
      </c>
      <c r="B51" s="316"/>
      <c r="C51" s="316"/>
      <c r="D51" s="316"/>
      <c r="E51" s="316"/>
      <c r="F51" s="316"/>
      <c r="G51" s="316"/>
      <c r="H51" s="316"/>
      <c r="I51" s="316"/>
      <c r="J51" s="316"/>
      <c r="K51" s="316"/>
      <c r="L51" s="316"/>
      <c r="M51" s="340"/>
    </row>
    <row r="52" spans="1:14">
      <c r="A52" s="1336"/>
      <c r="B52" s="1337"/>
      <c r="C52" s="1337"/>
      <c r="D52" s="1337"/>
      <c r="E52" s="1337"/>
      <c r="F52" s="1337"/>
      <c r="G52" s="1019" t="s">
        <v>437</v>
      </c>
      <c r="H52" s="1018"/>
      <c r="I52" s="503"/>
      <c r="J52" s="1338" t="s">
        <v>402</v>
      </c>
      <c r="K52" s="1305"/>
      <c r="L52" s="1305"/>
      <c r="M52" s="1325"/>
    </row>
    <row r="53" spans="1:14">
      <c r="A53" s="150"/>
      <c r="B53" s="163" t="s">
        <v>438</v>
      </c>
      <c r="E53" s="142"/>
      <c r="J53" s="1321"/>
      <c r="K53" s="1305"/>
      <c r="L53" s="1305"/>
      <c r="M53" s="1325"/>
    </row>
    <row r="54" spans="1:14" ht="15">
      <c r="A54" s="150"/>
      <c r="B54"/>
      <c r="C54" s="374"/>
      <c r="D54" s="98" t="s">
        <v>28</v>
      </c>
      <c r="E54" s="142" t="s">
        <v>439</v>
      </c>
      <c r="F54" s="127"/>
      <c r="H54" s="141"/>
      <c r="I54" s="374"/>
      <c r="J54"/>
      <c r="K54" s="374"/>
      <c r="L54" s="374"/>
      <c r="M54" s="1240"/>
    </row>
    <row r="55" spans="1:14" ht="15">
      <c r="A55" s="150">
        <v>171</v>
      </c>
      <c r="B55"/>
      <c r="C55" s="149" t="s">
        <v>440</v>
      </c>
      <c r="D55" s="374"/>
      <c r="E55" s="149" t="s">
        <v>441</v>
      </c>
      <c r="F55" s="149"/>
      <c r="G55" s="1243">
        <v>0</v>
      </c>
      <c r="H55" s="504"/>
      <c r="I55" s="374"/>
      <c r="J55"/>
      <c r="K55" s="374"/>
      <c r="L55" s="374"/>
      <c r="M55" s="1240"/>
    </row>
    <row r="56" spans="1:14" ht="15">
      <c r="A56" s="150"/>
      <c r="B56"/>
      <c r="C56" s="149"/>
      <c r="D56" s="374"/>
      <c r="E56" s="149"/>
      <c r="F56" s="149"/>
      <c r="G56" s="504"/>
      <c r="H56" s="504"/>
      <c r="I56" s="374"/>
      <c r="J56"/>
      <c r="K56" s="374"/>
      <c r="L56" s="374"/>
      <c r="M56" s="1240"/>
    </row>
    <row r="57" spans="1:14" ht="14.4">
      <c r="A57" s="173"/>
      <c r="B57" s="374"/>
      <c r="C57" s="511"/>
      <c r="I57" s="374"/>
      <c r="J57" s="374"/>
      <c r="K57" s="374"/>
      <c r="L57" s="374"/>
      <c r="M57" s="1240"/>
    </row>
    <row r="58" spans="1:14" ht="15" thickBot="1">
      <c r="A58" s="139"/>
      <c r="B58" s="138"/>
      <c r="C58" s="512"/>
      <c r="D58" s="138"/>
      <c r="E58" s="138"/>
      <c r="F58" s="138"/>
      <c r="G58" s="138"/>
      <c r="H58" s="138"/>
      <c r="I58" s="138"/>
      <c r="J58" s="138"/>
      <c r="K58" s="138"/>
      <c r="L58" s="138"/>
      <c r="M58" s="137"/>
    </row>
    <row r="59" spans="1:14" ht="14.4">
      <c r="C59" s="505"/>
    </row>
    <row r="60" spans="1:14" s="507" customFormat="1" ht="13.8" thickBot="1">
      <c r="A60" s="509" t="s">
        <v>442</v>
      </c>
      <c r="B60" s="510"/>
      <c r="C60" s="510"/>
      <c r="D60" s="510"/>
      <c r="E60" s="510"/>
      <c r="F60" s="510"/>
      <c r="G60" s="510"/>
      <c r="H60" s="510"/>
      <c r="I60" s="510"/>
      <c r="J60" s="510"/>
      <c r="K60" s="510"/>
      <c r="L60" s="510"/>
      <c r="M60" s="510"/>
      <c r="N60" s="98"/>
    </row>
    <row r="61" spans="1:14" s="507" customFormat="1" ht="26.4">
      <c r="A61" s="1326"/>
      <c r="B61" s="1327"/>
      <c r="C61" s="1327"/>
      <c r="D61" s="1327"/>
      <c r="E61" s="1327"/>
      <c r="F61" s="1327"/>
      <c r="G61" s="508" t="s">
        <v>443</v>
      </c>
      <c r="H61" s="199" t="s">
        <v>444</v>
      </c>
      <c r="I61" s="199" t="s">
        <v>445</v>
      </c>
      <c r="J61" s="1328" t="s">
        <v>446</v>
      </c>
      <c r="K61" s="1329"/>
      <c r="L61" s="1329"/>
      <c r="M61" s="1330"/>
      <c r="N61" s="98"/>
    </row>
    <row r="62" spans="1:14" s="507" customFormat="1">
      <c r="A62" s="150"/>
      <c r="B62" s="163" t="s">
        <v>447</v>
      </c>
      <c r="C62" s="149"/>
      <c r="D62" s="98"/>
      <c r="E62" s="162"/>
      <c r="F62" s="149"/>
      <c r="G62" s="121"/>
      <c r="H62" s="175"/>
      <c r="I62" s="160"/>
      <c r="J62" s="98"/>
      <c r="K62" s="98"/>
      <c r="L62" s="98"/>
      <c r="M62" s="140"/>
      <c r="N62" s="98"/>
    </row>
    <row r="63" spans="1:14" s="507" customFormat="1" ht="14.4">
      <c r="A63" s="150"/>
      <c r="B63" s="163"/>
      <c r="C63" s="149"/>
      <c r="D63" s="98"/>
      <c r="E63" s="162"/>
      <c r="F63" s="149"/>
      <c r="G63" s="121"/>
      <c r="H63" s="175"/>
      <c r="I63" s="160"/>
      <c r="J63" s="515"/>
      <c r="K63" s="98"/>
      <c r="L63" s="98"/>
      <c r="M63" s="140"/>
      <c r="N63" s="98"/>
    </row>
    <row r="64" spans="1:14" s="507" customFormat="1">
      <c r="A64" s="150">
        <f>+A55+1</f>
        <v>172</v>
      </c>
      <c r="B64" s="144"/>
      <c r="C64" s="149" t="s">
        <v>448</v>
      </c>
      <c r="D64" s="171"/>
      <c r="E64" s="171"/>
      <c r="F64" s="149" t="s">
        <v>449</v>
      </c>
      <c r="G64" s="517">
        <v>0</v>
      </c>
      <c r="H64" s="516">
        <v>0</v>
      </c>
      <c r="I64" s="151">
        <f>+G64-H64</f>
        <v>0</v>
      </c>
      <c r="J64" s="98"/>
      <c r="K64" s="98"/>
      <c r="L64" s="98"/>
      <c r="M64" s="140"/>
      <c r="N64" s="98"/>
    </row>
    <row r="65" spans="1:17" s="507" customFormat="1">
      <c r="A65" s="150"/>
      <c r="B65" s="163"/>
      <c r="C65" s="149"/>
      <c r="D65" s="98"/>
      <c r="E65" s="162"/>
      <c r="F65" s="149"/>
      <c r="G65" s="121"/>
      <c r="H65" s="175"/>
      <c r="I65" s="160"/>
      <c r="J65" s="98"/>
      <c r="K65" s="98"/>
      <c r="L65" s="98"/>
      <c r="M65" s="140"/>
      <c r="N65" s="98"/>
    </row>
    <row r="66" spans="1:17" s="507" customFormat="1" ht="13.8" thickBot="1">
      <c r="A66" s="146"/>
      <c r="B66" s="138"/>
      <c r="C66" s="138"/>
      <c r="D66" s="138"/>
      <c r="E66" s="138"/>
      <c r="F66" s="138"/>
      <c r="G66" s="146" t="s">
        <v>450</v>
      </c>
      <c r="H66" s="138"/>
      <c r="I66" s="138"/>
      <c r="J66" s="1334"/>
      <c r="K66" s="1334"/>
      <c r="L66" s="1334"/>
      <c r="M66" s="1335"/>
      <c r="N66" s="98"/>
    </row>
    <row r="69" spans="1:17" ht="13.8" thickBot="1">
      <c r="A69" s="145" t="s">
        <v>451</v>
      </c>
    </row>
    <row r="70" spans="1:17">
      <c r="A70" s="1319"/>
      <c r="B70" s="1320"/>
      <c r="C70" s="1320"/>
      <c r="D70" s="1320"/>
      <c r="E70" s="1320"/>
      <c r="F70" s="1331"/>
      <c r="G70" s="152" t="s">
        <v>452</v>
      </c>
      <c r="H70" s="152" t="s">
        <v>453</v>
      </c>
      <c r="I70" s="152" t="s">
        <v>454</v>
      </c>
      <c r="J70" s="152"/>
      <c r="K70" s="152"/>
      <c r="L70" s="1332" t="s">
        <v>455</v>
      </c>
      <c r="M70" s="1333"/>
    </row>
    <row r="71" spans="1:17">
      <c r="A71" s="150" t="s">
        <v>28</v>
      </c>
      <c r="B71" s="183" t="s">
        <v>456</v>
      </c>
      <c r="E71" s="142"/>
      <c r="F71" s="182"/>
      <c r="M71" s="140"/>
      <c r="Q71" s="184"/>
    </row>
    <row r="72" spans="1:17">
      <c r="A72" s="150"/>
      <c r="B72" s="183"/>
      <c r="C72" s="98" t="s">
        <v>457</v>
      </c>
      <c r="E72" s="142"/>
      <c r="F72" s="182"/>
      <c r="G72" s="606">
        <v>1</v>
      </c>
      <c r="H72" s="358">
        <v>0.35820000000000002</v>
      </c>
      <c r="I72" s="358">
        <v>0.1135</v>
      </c>
      <c r="J72" s="358"/>
      <c r="K72" s="358"/>
      <c r="L72" s="160"/>
      <c r="M72" s="181"/>
    </row>
    <row r="73" spans="1:17">
      <c r="A73" s="150">
        <f>+A64+1</f>
        <v>173</v>
      </c>
      <c r="B73" s="183"/>
      <c r="C73" s="149" t="s">
        <v>458</v>
      </c>
      <c r="E73" s="142"/>
      <c r="F73" s="182"/>
      <c r="G73" s="1104">
        <v>7.2499999999999995E-2</v>
      </c>
      <c r="H73" s="1097">
        <v>2.1749999999999999E-2</v>
      </c>
      <c r="I73" s="1097">
        <v>8.8499999999999995E-2</v>
      </c>
      <c r="J73" s="1097"/>
      <c r="K73" s="371"/>
      <c r="M73" s="1106">
        <f>(G73*G72+H73*H72+I73*I72+J73*J72)</f>
        <v>9.0335600000000002E-2</v>
      </c>
    </row>
    <row r="74" spans="1:17" ht="13.8" thickBot="1">
      <c r="A74" s="146"/>
      <c r="B74" s="156"/>
      <c r="C74" s="138" t="s">
        <v>459</v>
      </c>
      <c r="D74" s="180"/>
      <c r="E74" s="176"/>
      <c r="F74" s="179"/>
      <c r="G74" s="138"/>
      <c r="H74" s="138"/>
      <c r="I74" s="138"/>
      <c r="J74" s="138"/>
      <c r="K74" s="138"/>
      <c r="L74" s="138"/>
      <c r="M74" s="178"/>
      <c r="N74" s="177"/>
      <c r="O74" s="720"/>
    </row>
    <row r="76" spans="1:17" ht="13.8" thickBot="1">
      <c r="A76" s="514" t="s">
        <v>460</v>
      </c>
    </row>
    <row r="77" spans="1:17" ht="39.6">
      <c r="A77" s="1312"/>
      <c r="B77" s="1313"/>
      <c r="C77" s="1313"/>
      <c r="D77" s="1313"/>
      <c r="E77" s="1313"/>
      <c r="F77" s="1314"/>
      <c r="G77" s="1016" t="s">
        <v>443</v>
      </c>
      <c r="H77" s="1017" t="s">
        <v>461</v>
      </c>
      <c r="I77" s="1017" t="s">
        <v>445</v>
      </c>
      <c r="J77" s="1315" t="s">
        <v>402</v>
      </c>
      <c r="K77" s="1315"/>
      <c r="L77" s="1315"/>
      <c r="M77" s="1316"/>
    </row>
    <row r="78" spans="1:17">
      <c r="A78" s="150"/>
      <c r="B78" s="163" t="s">
        <v>447</v>
      </c>
      <c r="E78" s="142"/>
      <c r="F78" s="140"/>
      <c r="G78" s="173"/>
      <c r="M78" s="140"/>
    </row>
    <row r="79" spans="1:17">
      <c r="A79" s="150">
        <f>+A73+1</f>
        <v>174</v>
      </c>
      <c r="B79" s="144"/>
      <c r="C79" s="149" t="s">
        <v>462</v>
      </c>
      <c r="E79" s="127"/>
      <c r="F79" s="98" t="s">
        <v>332</v>
      </c>
      <c r="G79" s="517">
        <v>0</v>
      </c>
      <c r="H79" s="516">
        <v>0</v>
      </c>
      <c r="I79" s="1244">
        <f>G79-H79</f>
        <v>0</v>
      </c>
      <c r="M79" s="140"/>
    </row>
    <row r="80" spans="1:17">
      <c r="A80" s="150"/>
      <c r="B80" s="163"/>
      <c r="E80" s="142"/>
      <c r="F80" s="140"/>
      <c r="G80" s="173"/>
      <c r="M80" s="140"/>
    </row>
    <row r="81" spans="1:14">
      <c r="A81" s="150"/>
      <c r="B81" s="163"/>
      <c r="C81" s="98" t="s">
        <v>463</v>
      </c>
      <c r="E81" s="142"/>
      <c r="F81" s="140"/>
      <c r="G81" s="173"/>
      <c r="M81" s="140"/>
    </row>
    <row r="82" spans="1:14">
      <c r="A82" s="150"/>
      <c r="B82" s="163"/>
      <c r="C82" s="98" t="s">
        <v>464</v>
      </c>
      <c r="E82" s="142"/>
      <c r="F82" s="140"/>
      <c r="G82" s="173"/>
      <c r="M82" s="140"/>
    </row>
    <row r="83" spans="1:14">
      <c r="A83" s="150"/>
      <c r="B83" s="163"/>
      <c r="C83" s="98" t="s">
        <v>465</v>
      </c>
      <c r="E83" s="142"/>
      <c r="F83" s="140"/>
      <c r="G83" s="173"/>
      <c r="M83" s="140"/>
    </row>
    <row r="84" spans="1:14">
      <c r="A84" s="150"/>
      <c r="B84" s="163"/>
      <c r="C84" s="98" t="s">
        <v>466</v>
      </c>
      <c r="F84" s="140"/>
      <c r="G84" s="173"/>
      <c r="M84" s="140"/>
    </row>
    <row r="85" spans="1:14" ht="13.8" thickBot="1">
      <c r="A85" s="146"/>
      <c r="B85" s="138"/>
      <c r="C85" s="138" t="s">
        <v>467</v>
      </c>
      <c r="D85" s="138"/>
      <c r="E85" s="138"/>
      <c r="F85" s="137"/>
      <c r="G85" s="146"/>
      <c r="H85" s="138"/>
      <c r="I85" s="138"/>
      <c r="J85" s="1317"/>
      <c r="K85" s="1317"/>
      <c r="L85" s="1317"/>
      <c r="M85" s="1318"/>
    </row>
    <row r="87" spans="1:14" ht="13.8" thickBot="1">
      <c r="A87" s="145" t="s">
        <v>468</v>
      </c>
    </row>
    <row r="88" spans="1:14" ht="66.75" customHeight="1">
      <c r="A88" s="1319"/>
      <c r="B88" s="1320"/>
      <c r="C88" s="1320"/>
      <c r="D88" s="1320"/>
      <c r="E88" s="1320"/>
      <c r="F88" s="1320"/>
      <c r="G88" s="169" t="str">
        <f>+C90</f>
        <v>Excluded Transmission Facilities</v>
      </c>
      <c r="H88" s="985" t="s">
        <v>469</v>
      </c>
      <c r="I88" s="1323" t="s">
        <v>470</v>
      </c>
      <c r="J88" s="1323"/>
      <c r="K88" s="1323"/>
      <c r="L88" s="1323"/>
      <c r="M88" s="1324"/>
    </row>
    <row r="89" spans="1:14">
      <c r="A89" s="121"/>
      <c r="B89" s="164" t="s">
        <v>471</v>
      </c>
      <c r="C89" s="163"/>
      <c r="D89" s="163"/>
      <c r="E89" s="175"/>
      <c r="F89" s="174"/>
      <c r="G89" s="173"/>
      <c r="M89" s="140"/>
    </row>
    <row r="90" spans="1:14" ht="12.75" customHeight="1">
      <c r="A90" s="150">
        <f>+A79+1</f>
        <v>175</v>
      </c>
      <c r="B90" s="127"/>
      <c r="C90" s="149" t="s">
        <v>472</v>
      </c>
      <c r="D90" s="163"/>
      <c r="E90" s="171"/>
      <c r="F90" s="149"/>
      <c r="G90" s="966">
        <v>0</v>
      </c>
      <c r="H90" s="986">
        <v>0</v>
      </c>
      <c r="I90" s="1321" t="s">
        <v>473</v>
      </c>
      <c r="J90" s="1321"/>
      <c r="K90" s="1321"/>
      <c r="L90" s="1321"/>
      <c r="M90" s="1322"/>
    </row>
    <row r="91" spans="1:14">
      <c r="A91" s="150"/>
      <c r="B91" s="127"/>
      <c r="D91" s="163"/>
      <c r="E91" s="162"/>
      <c r="F91" s="161"/>
      <c r="G91" s="173" t="s">
        <v>474</v>
      </c>
      <c r="M91" s="140"/>
    </row>
    <row r="92" spans="1:14" ht="13.8" thickBot="1">
      <c r="A92" s="139"/>
      <c r="B92" s="138"/>
      <c r="C92" s="138"/>
      <c r="D92" s="138"/>
      <c r="E92" s="138"/>
      <c r="F92" s="138"/>
      <c r="G92" s="146"/>
      <c r="H92" s="138"/>
      <c r="I92" s="138"/>
      <c r="J92" s="138"/>
      <c r="K92" s="172" t="s">
        <v>475</v>
      </c>
      <c r="L92" s="138"/>
      <c r="M92" s="137"/>
    </row>
    <row r="93" spans="1:14">
      <c r="K93" s="170"/>
    </row>
    <row r="94" spans="1:14">
      <c r="B94" s="127"/>
      <c r="C94" s="127"/>
      <c r="D94" s="127"/>
      <c r="E94" s="171"/>
      <c r="F94" s="127"/>
      <c r="K94" s="170"/>
    </row>
    <row r="95" spans="1:14" ht="13.8" thickBot="1">
      <c r="A95" s="145" t="s">
        <v>476</v>
      </c>
      <c r="F95" s="138"/>
    </row>
    <row r="96" spans="1:14">
      <c r="A96" s="166"/>
      <c r="B96" s="651"/>
      <c r="C96" s="651"/>
      <c r="D96" s="165"/>
      <c r="E96" s="165"/>
      <c r="F96" s="165"/>
      <c r="G96" s="152"/>
      <c r="H96" s="152"/>
      <c r="I96" s="152"/>
      <c r="J96" s="152"/>
      <c r="K96" s="152"/>
      <c r="L96" s="152"/>
      <c r="M96" s="652"/>
      <c r="N96" s="168"/>
    </row>
    <row r="97" spans="1:15" ht="13.8">
      <c r="A97" s="121"/>
      <c r="B97" s="164"/>
      <c r="C97" s="218"/>
      <c r="D97" s="219"/>
      <c r="G97" s="162"/>
      <c r="H97" s="164"/>
      <c r="I97" s="161"/>
      <c r="K97" s="160"/>
      <c r="M97" s="140"/>
    </row>
    <row r="98" spans="1:15" ht="31.2">
      <c r="A98" s="150"/>
      <c r="C98" s="136" t="s">
        <v>477</v>
      </c>
      <c r="E98" s="485" t="s">
        <v>478</v>
      </c>
      <c r="F98" s="485" t="s">
        <v>479</v>
      </c>
      <c r="G98" s="141" t="s">
        <v>480</v>
      </c>
      <c r="H98" s="479" t="s">
        <v>43</v>
      </c>
      <c r="I98" s="136"/>
      <c r="J98" s="159"/>
      <c r="K98" s="158"/>
      <c r="L98" s="141"/>
      <c r="M98" s="650"/>
    </row>
    <row r="99" spans="1:15" ht="17.25" customHeight="1">
      <c r="A99" s="150"/>
      <c r="B99" s="127"/>
      <c r="C99" s="98" t="s">
        <v>481</v>
      </c>
      <c r="E99" s="479" t="s">
        <v>482</v>
      </c>
      <c r="F99" s="479" t="s">
        <v>483</v>
      </c>
      <c r="G99" s="479" t="s">
        <v>484</v>
      </c>
      <c r="I99" s="136"/>
      <c r="J99" s="159"/>
      <c r="K99" s="158"/>
      <c r="L99" s="149"/>
      <c r="M99" s="157"/>
      <c r="O99" s="720"/>
    </row>
    <row r="100" spans="1:15" ht="17.25" customHeight="1">
      <c r="A100" s="150">
        <f>+A90+1</f>
        <v>176</v>
      </c>
      <c r="B100" s="127"/>
      <c r="C100" s="98" t="s">
        <v>329</v>
      </c>
      <c r="D100" s="98" t="s">
        <v>485</v>
      </c>
      <c r="E100" s="654">
        <v>0</v>
      </c>
      <c r="F100" s="655">
        <v>0</v>
      </c>
      <c r="G100" s="655">
        <v>0</v>
      </c>
      <c r="H100" s="122">
        <f>+E100+F100+G100</f>
        <v>0</v>
      </c>
      <c r="J100" s="159"/>
      <c r="K100" s="158"/>
      <c r="L100" s="149"/>
      <c r="M100" s="157"/>
    </row>
    <row r="101" spans="1:15" ht="17.25" customHeight="1">
      <c r="A101" s="150">
        <f>+A100+1</f>
        <v>177</v>
      </c>
      <c r="B101" s="127"/>
      <c r="C101" s="149" t="s">
        <v>331</v>
      </c>
      <c r="D101" s="98" t="s">
        <v>486</v>
      </c>
      <c r="E101" s="495">
        <v>0</v>
      </c>
      <c r="F101" s="647">
        <v>0</v>
      </c>
      <c r="G101" s="647">
        <v>0</v>
      </c>
      <c r="H101" s="122">
        <f t="shared" ref="H101:H112" si="2">+E101+F101+G101</f>
        <v>0</v>
      </c>
      <c r="I101" s="136"/>
      <c r="J101" s="159"/>
      <c r="K101" s="158"/>
      <c r="L101" s="149"/>
      <c r="M101" s="157"/>
    </row>
    <row r="102" spans="1:15" ht="17.25" customHeight="1">
      <c r="A102" s="150">
        <f t="shared" ref="A102:A112" si="3">+A101+1</f>
        <v>178</v>
      </c>
      <c r="B102" s="127"/>
      <c r="C102" s="149" t="s">
        <v>333</v>
      </c>
      <c r="D102" s="98" t="s">
        <v>486</v>
      </c>
      <c r="E102" s="495">
        <v>0</v>
      </c>
      <c r="F102" s="647">
        <v>0</v>
      </c>
      <c r="G102" s="647">
        <v>0</v>
      </c>
      <c r="H102" s="122">
        <f t="shared" si="2"/>
        <v>0</v>
      </c>
      <c r="I102" s="136"/>
      <c r="J102" s="159"/>
      <c r="K102" s="158"/>
      <c r="L102" s="149"/>
      <c r="M102" s="157"/>
    </row>
    <row r="103" spans="1:15" ht="17.25" customHeight="1">
      <c r="A103" s="150">
        <f t="shared" si="3"/>
        <v>179</v>
      </c>
      <c r="B103" s="127"/>
      <c r="C103" s="149" t="s">
        <v>334</v>
      </c>
      <c r="D103" s="98" t="s">
        <v>486</v>
      </c>
      <c r="E103" s="495">
        <v>0</v>
      </c>
      <c r="F103" s="647">
        <v>0</v>
      </c>
      <c r="G103" s="647">
        <v>0</v>
      </c>
      <c r="H103" s="122">
        <f t="shared" si="2"/>
        <v>0</v>
      </c>
      <c r="I103" s="136"/>
      <c r="J103" s="159"/>
      <c r="K103" s="158"/>
      <c r="L103" s="149"/>
      <c r="M103" s="157"/>
    </row>
    <row r="104" spans="1:15" ht="17.25" customHeight="1">
      <c r="A104" s="150">
        <f t="shared" si="3"/>
        <v>180</v>
      </c>
      <c r="B104" s="127"/>
      <c r="C104" s="149" t="s">
        <v>335</v>
      </c>
      <c r="D104" s="98" t="s">
        <v>486</v>
      </c>
      <c r="E104" s="495">
        <v>0</v>
      </c>
      <c r="F104" s="647">
        <v>0</v>
      </c>
      <c r="G104" s="647">
        <v>0</v>
      </c>
      <c r="H104" s="122">
        <f t="shared" si="2"/>
        <v>0</v>
      </c>
      <c r="I104" s="136"/>
      <c r="J104" s="159"/>
      <c r="K104" s="158"/>
      <c r="L104" s="149"/>
      <c r="M104" s="157"/>
    </row>
    <row r="105" spans="1:15" ht="17.25" customHeight="1">
      <c r="A105" s="150">
        <f t="shared" si="3"/>
        <v>181</v>
      </c>
      <c r="B105" s="127"/>
      <c r="C105" s="149" t="s">
        <v>336</v>
      </c>
      <c r="D105" s="98" t="s">
        <v>486</v>
      </c>
      <c r="E105" s="495">
        <v>0</v>
      </c>
      <c r="F105" s="647">
        <v>0</v>
      </c>
      <c r="G105" s="647">
        <v>0</v>
      </c>
      <c r="H105" s="122">
        <f t="shared" si="2"/>
        <v>0</v>
      </c>
      <c r="I105" s="136"/>
      <c r="J105" s="159"/>
      <c r="K105" s="158"/>
      <c r="L105" s="149"/>
      <c r="M105" s="157"/>
    </row>
    <row r="106" spans="1:15" ht="17.25" customHeight="1">
      <c r="A106" s="150">
        <f t="shared" si="3"/>
        <v>182</v>
      </c>
      <c r="B106" s="127"/>
      <c r="C106" s="149" t="s">
        <v>337</v>
      </c>
      <c r="D106" s="98" t="s">
        <v>486</v>
      </c>
      <c r="E106" s="495">
        <v>0</v>
      </c>
      <c r="F106" s="647">
        <v>0</v>
      </c>
      <c r="G106" s="647">
        <v>0</v>
      </c>
      <c r="H106" s="122">
        <f t="shared" si="2"/>
        <v>0</v>
      </c>
      <c r="I106" s="136"/>
      <c r="J106" s="159"/>
      <c r="K106" s="158"/>
      <c r="L106" s="149"/>
      <c r="M106" s="157"/>
    </row>
    <row r="107" spans="1:15" ht="17.25" customHeight="1">
      <c r="A107" s="150">
        <f t="shared" si="3"/>
        <v>183</v>
      </c>
      <c r="B107" s="127"/>
      <c r="C107" s="149" t="s">
        <v>338</v>
      </c>
      <c r="D107" s="98" t="s">
        <v>486</v>
      </c>
      <c r="E107" s="495">
        <v>0</v>
      </c>
      <c r="F107" s="647">
        <v>0</v>
      </c>
      <c r="G107" s="647">
        <v>0</v>
      </c>
      <c r="H107" s="122">
        <f t="shared" si="2"/>
        <v>0</v>
      </c>
      <c r="I107" s="136"/>
      <c r="J107" s="159"/>
      <c r="K107" s="158"/>
      <c r="L107" s="149"/>
      <c r="M107" s="157"/>
    </row>
    <row r="108" spans="1:15" ht="17.25" customHeight="1">
      <c r="A108" s="150">
        <f t="shared" si="3"/>
        <v>184</v>
      </c>
      <c r="B108" s="127"/>
      <c r="C108" s="149" t="s">
        <v>339</v>
      </c>
      <c r="D108" s="98" t="s">
        <v>486</v>
      </c>
      <c r="E108" s="495">
        <v>0</v>
      </c>
      <c r="F108" s="647">
        <v>0</v>
      </c>
      <c r="G108" s="647">
        <v>0</v>
      </c>
      <c r="H108" s="122">
        <f t="shared" si="2"/>
        <v>0</v>
      </c>
      <c r="I108" s="136"/>
      <c r="J108" s="159"/>
      <c r="K108" s="158"/>
      <c r="L108" s="149"/>
      <c r="M108" s="157"/>
    </row>
    <row r="109" spans="1:15" ht="17.25" customHeight="1">
      <c r="A109" s="150">
        <f t="shared" si="3"/>
        <v>185</v>
      </c>
      <c r="B109" s="127"/>
      <c r="C109" s="149" t="s">
        <v>340</v>
      </c>
      <c r="D109" s="98" t="s">
        <v>486</v>
      </c>
      <c r="E109" s="495">
        <v>0</v>
      </c>
      <c r="F109" s="647">
        <v>0</v>
      </c>
      <c r="G109" s="647">
        <v>0</v>
      </c>
      <c r="H109" s="122">
        <f t="shared" si="2"/>
        <v>0</v>
      </c>
      <c r="I109" s="136"/>
      <c r="J109" s="159"/>
      <c r="K109" s="158"/>
      <c r="L109" s="149"/>
      <c r="M109" s="157"/>
    </row>
    <row r="110" spans="1:15" ht="15">
      <c r="A110" s="150">
        <f t="shared" si="3"/>
        <v>186</v>
      </c>
      <c r="B110" s="127"/>
      <c r="C110" s="149" t="s">
        <v>341</v>
      </c>
      <c r="D110" s="98" t="s">
        <v>486</v>
      </c>
      <c r="E110" s="495">
        <v>0</v>
      </c>
      <c r="F110" s="647">
        <v>0</v>
      </c>
      <c r="G110" s="647">
        <v>0</v>
      </c>
      <c r="H110" s="122">
        <f t="shared" si="2"/>
        <v>0</v>
      </c>
      <c r="I110" s="136"/>
      <c r="J110" s="159"/>
      <c r="K110" s="158"/>
      <c r="L110" s="149"/>
      <c r="M110" s="157"/>
    </row>
    <row r="111" spans="1:15" ht="17.25" customHeight="1">
      <c r="A111" s="150">
        <f t="shared" si="3"/>
        <v>187</v>
      </c>
      <c r="B111" s="127"/>
      <c r="C111" s="149" t="s">
        <v>342</v>
      </c>
      <c r="D111" s="98" t="s">
        <v>486</v>
      </c>
      <c r="E111" s="495">
        <v>0</v>
      </c>
      <c r="F111" s="647">
        <v>0</v>
      </c>
      <c r="G111" s="647">
        <v>0</v>
      </c>
      <c r="H111" s="122">
        <f t="shared" si="2"/>
        <v>0</v>
      </c>
      <c r="I111" s="136"/>
      <c r="J111" s="159"/>
      <c r="K111" s="158"/>
      <c r="L111" s="149"/>
      <c r="M111" s="157"/>
    </row>
    <row r="112" spans="1:15" ht="17.25" customHeight="1">
      <c r="A112" s="150">
        <f t="shared" si="3"/>
        <v>188</v>
      </c>
      <c r="B112" s="127"/>
      <c r="C112" s="149" t="s">
        <v>329</v>
      </c>
      <c r="D112" s="98" t="s">
        <v>487</v>
      </c>
      <c r="E112" s="495">
        <v>0</v>
      </c>
      <c r="F112" s="647">
        <v>0</v>
      </c>
      <c r="G112" s="647">
        <v>0</v>
      </c>
      <c r="H112" s="122">
        <f t="shared" si="2"/>
        <v>0</v>
      </c>
      <c r="I112" s="136"/>
      <c r="J112" s="159"/>
      <c r="K112" s="158"/>
      <c r="M112" s="157"/>
    </row>
    <row r="113" spans="1:14" ht="17.25" customHeight="1">
      <c r="A113" s="150"/>
      <c r="B113" s="127"/>
      <c r="C113" s="149"/>
      <c r="E113" s="496"/>
      <c r="F113" s="653"/>
      <c r="G113" s="653"/>
      <c r="H113" s="122"/>
      <c r="I113" s="136"/>
      <c r="J113" s="159"/>
      <c r="K113" s="158"/>
      <c r="M113" s="157"/>
    </row>
    <row r="114" spans="1:14" ht="16.2" thickBot="1">
      <c r="A114" s="139">
        <f>+A112+1</f>
        <v>189</v>
      </c>
      <c r="B114" s="156"/>
      <c r="C114" s="167" t="s">
        <v>488</v>
      </c>
      <c r="D114" s="138"/>
      <c r="E114" s="167"/>
      <c r="F114" s="167"/>
      <c r="G114" s="138"/>
      <c r="H114" s="656">
        <f>SUM(H100:H112)/13</f>
        <v>0</v>
      </c>
      <c r="I114" s="657"/>
      <c r="J114" s="641"/>
      <c r="K114" s="641"/>
      <c r="L114" s="645"/>
      <c r="M114" s="646"/>
    </row>
    <row r="115" spans="1:14" ht="15.6">
      <c r="B115" s="127"/>
      <c r="C115" s="133"/>
      <c r="D115" s="124"/>
      <c r="E115" s="124"/>
      <c r="F115" s="124"/>
      <c r="G115" s="155"/>
      <c r="H115" s="153"/>
      <c r="I115" s="154"/>
      <c r="J115" s="153"/>
      <c r="K115" s="153"/>
      <c r="L115" s="141"/>
      <c r="M115" s="141"/>
    </row>
    <row r="116" spans="1:14" ht="15.6">
      <c r="A116" s="479"/>
      <c r="B116" s="124"/>
      <c r="C116" s="124"/>
      <c r="D116" s="124"/>
      <c r="E116" s="124"/>
      <c r="F116" s="124"/>
      <c r="G116" s="124"/>
      <c r="H116" s="124"/>
      <c r="I116" s="124"/>
      <c r="J116" s="124"/>
      <c r="K116" s="124"/>
      <c r="L116" s="124"/>
      <c r="M116" s="124"/>
    </row>
    <row r="117" spans="1:14" ht="16.2" thickBot="1">
      <c r="A117" s="480" t="s">
        <v>489</v>
      </c>
      <c r="B117" s="124"/>
      <c r="C117" s="124"/>
      <c r="D117" s="124"/>
      <c r="E117" s="124"/>
      <c r="F117" s="124"/>
      <c r="G117" s="124"/>
      <c r="H117" s="124"/>
      <c r="I117" s="124"/>
      <c r="J117" s="124"/>
      <c r="K117" s="124"/>
      <c r="L117" s="124"/>
      <c r="M117" s="124"/>
    </row>
    <row r="118" spans="1:14" ht="15.6">
      <c r="A118" s="1306"/>
      <c r="B118" s="1307"/>
      <c r="C118" s="1307"/>
      <c r="D118" s="1307"/>
      <c r="E118" s="1307"/>
      <c r="F118" s="1307"/>
      <c r="G118" s="695"/>
      <c r="H118" s="695"/>
      <c r="I118" s="695"/>
      <c r="J118" s="1309" t="s">
        <v>402</v>
      </c>
      <c r="K118" s="1310"/>
      <c r="L118" s="1310"/>
      <c r="M118" s="1311"/>
    </row>
    <row r="119" spans="1:14" ht="15.6">
      <c r="A119" s="481">
        <f>+A114</f>
        <v>189</v>
      </c>
      <c r="B119" s="124"/>
      <c r="C119" s="482" t="s">
        <v>490</v>
      </c>
      <c r="D119" s="124"/>
      <c r="E119" s="479"/>
      <c r="F119" s="483"/>
      <c r="G119" s="484"/>
      <c r="H119" s="124"/>
      <c r="I119" s="124"/>
      <c r="J119" s="485"/>
      <c r="K119" s="485"/>
      <c r="L119" s="485"/>
      <c r="M119" s="486"/>
      <c r="N119" s="124"/>
    </row>
    <row r="120" spans="1:14" ht="15.6">
      <c r="A120" s="481"/>
      <c r="B120" s="124"/>
      <c r="C120" s="482"/>
      <c r="D120" s="124"/>
      <c r="E120" s="479"/>
      <c r="F120" s="483"/>
      <c r="G120" s="484"/>
      <c r="H120" s="124"/>
      <c r="I120" s="124"/>
      <c r="J120" s="485"/>
      <c r="K120" s="485"/>
      <c r="L120" s="485"/>
      <c r="M120" s="486"/>
      <c r="N120" s="124"/>
    </row>
    <row r="121" spans="1:14" ht="15.6">
      <c r="A121" s="481"/>
      <c r="B121" s="479"/>
      <c r="C121" s="124"/>
      <c r="D121" s="124"/>
      <c r="E121" s="124"/>
      <c r="F121" s="124"/>
      <c r="G121" s="876"/>
      <c r="H121" s="876"/>
      <c r="I121" s="876"/>
      <c r="J121" s="876"/>
      <c r="K121" s="876"/>
      <c r="L121" s="876"/>
      <c r="M121" s="487"/>
      <c r="N121" s="124"/>
    </row>
    <row r="122" spans="1:14" ht="15.6">
      <c r="A122" s="481">
        <f>A119+1</f>
        <v>190</v>
      </c>
      <c r="B122" s="479"/>
      <c r="C122" s="683" t="s">
        <v>491</v>
      </c>
      <c r="D122" s="478"/>
      <c r="E122" s="488"/>
      <c r="F122" s="124"/>
      <c r="G122" s="91"/>
      <c r="H122" s="91"/>
      <c r="I122" s="91"/>
      <c r="J122" s="877"/>
      <c r="K122" s="877"/>
      <c r="L122" s="878"/>
      <c r="M122" s="487"/>
      <c r="N122" s="124"/>
    </row>
    <row r="123" spans="1:14" ht="15.6">
      <c r="A123" s="481">
        <f t="shared" ref="A123:A130" si="4">+A122+1</f>
        <v>191</v>
      </c>
      <c r="B123" s="479"/>
      <c r="C123" s="253" t="s">
        <v>492</v>
      </c>
      <c r="D123" s="253"/>
      <c r="E123" s="124"/>
      <c r="F123" s="699">
        <v>-8800000</v>
      </c>
      <c r="G123" s="91"/>
      <c r="H123" s="91"/>
      <c r="I123" s="91"/>
      <c r="J123" s="877"/>
      <c r="K123" s="877"/>
      <c r="L123" s="878"/>
      <c r="M123" s="487"/>
      <c r="N123" s="124"/>
    </row>
    <row r="124" spans="1:14" ht="15.6">
      <c r="A124" s="481">
        <f t="shared" si="4"/>
        <v>192</v>
      </c>
      <c r="B124" s="479"/>
      <c r="C124" s="253" t="s">
        <v>493</v>
      </c>
      <c r="D124" s="253"/>
      <c r="E124" s="124"/>
      <c r="F124" s="699">
        <v>1444841000</v>
      </c>
      <c r="G124" s="879"/>
      <c r="H124" s="879"/>
      <c r="I124" s="879"/>
      <c r="J124" s="879"/>
      <c r="K124" s="879"/>
      <c r="L124" s="878"/>
      <c r="M124" s="487"/>
      <c r="N124" s="124"/>
    </row>
    <row r="125" spans="1:14" ht="15.6">
      <c r="A125" s="481">
        <f t="shared" si="4"/>
        <v>193</v>
      </c>
      <c r="B125" s="479"/>
      <c r="C125" s="253" t="s">
        <v>494</v>
      </c>
      <c r="D125" s="253"/>
      <c r="E125" s="124"/>
      <c r="F125" s="700">
        <f>+F123/F124</f>
        <v>-6.090635578586156E-3</v>
      </c>
      <c r="G125" s="124"/>
      <c r="H125" s="124"/>
      <c r="I125" s="124"/>
      <c r="J125" s="124"/>
      <c r="K125" s="124"/>
      <c r="L125" s="124"/>
      <c r="M125" s="487"/>
      <c r="N125" s="124"/>
    </row>
    <row r="126" spans="1:14" ht="15.6">
      <c r="A126" s="481">
        <f t="shared" si="4"/>
        <v>194</v>
      </c>
      <c r="B126" s="479"/>
      <c r="C126" s="253" t="s">
        <v>495</v>
      </c>
      <c r="D126" s="253"/>
      <c r="E126" s="124" t="s">
        <v>486</v>
      </c>
      <c r="F126" s="490">
        <v>0</v>
      </c>
      <c r="G126" s="124"/>
      <c r="H126" s="124"/>
      <c r="I126" s="124"/>
      <c r="J126" s="124"/>
      <c r="K126" s="124"/>
      <c r="L126" s="124"/>
      <c r="M126" s="487"/>
      <c r="N126" s="124"/>
    </row>
    <row r="127" spans="1:14" ht="15.6">
      <c r="A127" s="481">
        <f t="shared" si="4"/>
        <v>195</v>
      </c>
      <c r="B127" s="479"/>
      <c r="C127" s="253" t="s">
        <v>496</v>
      </c>
      <c r="D127" s="253"/>
      <c r="E127" s="124"/>
      <c r="F127" s="498">
        <f>+F125*F126</f>
        <v>0</v>
      </c>
      <c r="G127" s="124"/>
      <c r="H127" s="124"/>
      <c r="I127" s="124"/>
      <c r="J127" s="124"/>
      <c r="K127" s="124"/>
      <c r="L127" s="124"/>
      <c r="M127" s="487"/>
      <c r="N127" s="124"/>
    </row>
    <row r="128" spans="1:14" ht="15.6">
      <c r="A128" s="481">
        <f t="shared" si="4"/>
        <v>196</v>
      </c>
      <c r="B128" s="479"/>
      <c r="C128" s="253" t="s">
        <v>497</v>
      </c>
      <c r="D128" s="253"/>
      <c r="E128" s="124" t="s">
        <v>486</v>
      </c>
      <c r="F128" s="497">
        <v>0</v>
      </c>
      <c r="G128" s="124"/>
      <c r="H128" s="124"/>
      <c r="I128" s="124"/>
      <c r="J128" s="124"/>
      <c r="K128" s="124"/>
      <c r="L128" s="124"/>
      <c r="M128" s="487"/>
      <c r="N128" s="124"/>
    </row>
    <row r="129" spans="1:14" ht="15.6">
      <c r="A129" s="481">
        <f t="shared" si="4"/>
        <v>197</v>
      </c>
      <c r="B129" s="479"/>
      <c r="C129" s="253" t="s">
        <v>498</v>
      </c>
      <c r="D129" s="491" t="s">
        <v>28</v>
      </c>
      <c r="E129" s="124"/>
      <c r="F129" s="498">
        <f>+F127-F128</f>
        <v>0</v>
      </c>
      <c r="G129" s="124"/>
      <c r="H129" s="124"/>
      <c r="I129" s="124"/>
      <c r="J129" s="124"/>
      <c r="K129" s="124"/>
      <c r="L129" s="124"/>
      <c r="M129" s="487"/>
      <c r="N129" s="124"/>
    </row>
    <row r="130" spans="1:14" ht="15.6">
      <c r="A130" s="481">
        <f t="shared" si="4"/>
        <v>198</v>
      </c>
      <c r="B130" s="479"/>
      <c r="C130" s="253" t="str">
        <f>"Lines "&amp;A123&amp;"-"&amp;A125&amp;" cannot change absent approval or acceptance by FERC in a separate proceeding. "</f>
        <v xml:space="preserve">Lines 191-193 cannot change absent approval or acceptance by FERC in a separate proceeding. </v>
      </c>
      <c r="D130" s="253"/>
      <c r="E130" s="124"/>
      <c r="F130" s="253"/>
      <c r="G130" s="124"/>
      <c r="H130" s="124"/>
      <c r="I130" s="124"/>
      <c r="J130" s="124"/>
      <c r="K130" s="124"/>
      <c r="L130" s="124"/>
      <c r="M130" s="487"/>
      <c r="N130" s="124"/>
    </row>
    <row r="131" spans="1:14" ht="15.6">
      <c r="A131" s="481"/>
      <c r="B131" s="479"/>
      <c r="C131" s="253"/>
      <c r="D131" s="253"/>
      <c r="E131" s="124"/>
      <c r="F131" s="253"/>
      <c r="G131" s="124"/>
      <c r="H131" s="124"/>
      <c r="I131" s="124"/>
      <c r="J131" s="124"/>
      <c r="K131" s="124"/>
      <c r="L131" s="124"/>
      <c r="M131" s="487"/>
      <c r="N131" s="124"/>
    </row>
    <row r="132" spans="1:14" ht="15.6">
      <c r="A132" s="481">
        <f>+A129+1</f>
        <v>198</v>
      </c>
      <c r="B132" s="124"/>
      <c r="C132" s="683" t="s">
        <v>499</v>
      </c>
      <c r="D132" s="478"/>
      <c r="E132" s="124"/>
      <c r="F132" s="124"/>
      <c r="G132" s="124"/>
      <c r="H132" s="124"/>
      <c r="I132" s="124"/>
      <c r="J132" s="124"/>
      <c r="K132" s="124"/>
      <c r="L132" s="124"/>
      <c r="M132" s="487"/>
      <c r="N132" s="124"/>
    </row>
    <row r="133" spans="1:14" ht="15.6">
      <c r="A133" s="481">
        <f t="shared" ref="A133:A140" si="5">+A132+1</f>
        <v>199</v>
      </c>
      <c r="B133" s="124"/>
      <c r="C133" s="253" t="s">
        <v>492</v>
      </c>
      <c r="D133" s="253"/>
      <c r="E133" s="124"/>
      <c r="F133" s="699">
        <f>16151452+54732191</f>
        <v>70883643</v>
      </c>
      <c r="G133" s="880"/>
      <c r="H133" s="124"/>
      <c r="I133" s="124"/>
      <c r="J133" s="124"/>
      <c r="K133" s="124"/>
      <c r="L133" s="124"/>
      <c r="M133" s="487"/>
      <c r="N133" s="124"/>
    </row>
    <row r="134" spans="1:14" ht="15.6">
      <c r="A134" s="481">
        <f t="shared" si="5"/>
        <v>200</v>
      </c>
      <c r="B134" s="479"/>
      <c r="C134" s="253" t="s">
        <v>493</v>
      </c>
      <c r="D134" s="253"/>
      <c r="E134" s="124"/>
      <c r="F134" s="699">
        <v>313713746</v>
      </c>
      <c r="G134" s="880"/>
      <c r="H134" s="124"/>
      <c r="I134" s="124"/>
      <c r="J134" s="124"/>
      <c r="K134" s="124"/>
      <c r="L134" s="124"/>
      <c r="M134" s="487"/>
      <c r="N134" s="124"/>
    </row>
    <row r="135" spans="1:14" ht="15.6">
      <c r="A135" s="481">
        <f t="shared" si="5"/>
        <v>201</v>
      </c>
      <c r="B135" s="479"/>
      <c r="C135" s="253" t="s">
        <v>494</v>
      </c>
      <c r="D135" s="253"/>
      <c r="E135" s="124"/>
      <c r="F135" s="700">
        <f>+F133/F134</f>
        <v>0.22595007041865484</v>
      </c>
      <c r="G135" s="880"/>
      <c r="H135" s="124"/>
      <c r="I135" s="124"/>
      <c r="J135" s="124"/>
      <c r="K135" s="124"/>
      <c r="L135" s="124"/>
      <c r="M135" s="487"/>
      <c r="N135" s="124"/>
    </row>
    <row r="136" spans="1:14" ht="15.6">
      <c r="A136" s="481">
        <f t="shared" si="5"/>
        <v>202</v>
      </c>
      <c r="B136" s="479"/>
      <c r="C136" s="253" t="s">
        <v>495</v>
      </c>
      <c r="D136" s="253"/>
      <c r="E136" s="124" t="s">
        <v>486</v>
      </c>
      <c r="F136" s="490">
        <v>0</v>
      </c>
      <c r="G136" s="124"/>
      <c r="H136" s="124"/>
      <c r="I136" s="124"/>
      <c r="J136" s="124"/>
      <c r="K136" s="124"/>
      <c r="L136" s="124"/>
      <c r="M136" s="487"/>
      <c r="N136" s="124"/>
    </row>
    <row r="137" spans="1:14" ht="15.6">
      <c r="A137" s="481">
        <f t="shared" si="5"/>
        <v>203</v>
      </c>
      <c r="B137" s="479"/>
      <c r="C137" s="253" t="s">
        <v>496</v>
      </c>
      <c r="D137" s="253"/>
      <c r="E137" s="124"/>
      <c r="F137" s="498">
        <f>+F135*F136</f>
        <v>0</v>
      </c>
      <c r="G137" s="124"/>
      <c r="H137" s="124"/>
      <c r="I137" s="124"/>
      <c r="J137" s="124"/>
      <c r="K137" s="124"/>
      <c r="L137" s="124"/>
      <c r="M137" s="487"/>
      <c r="N137" s="124"/>
    </row>
    <row r="138" spans="1:14" ht="15.6">
      <c r="A138" s="481">
        <f t="shared" si="5"/>
        <v>204</v>
      </c>
      <c r="B138" s="479"/>
      <c r="C138" s="253" t="s">
        <v>497</v>
      </c>
      <c r="D138" s="253"/>
      <c r="E138" s="124" t="s">
        <v>486</v>
      </c>
      <c r="F138" s="497">
        <v>0</v>
      </c>
      <c r="G138" s="124"/>
      <c r="H138" s="124"/>
      <c r="I138" s="124"/>
      <c r="J138" s="124"/>
      <c r="K138" s="124"/>
      <c r="L138" s="124"/>
      <c r="M138" s="487"/>
      <c r="N138" s="124"/>
    </row>
    <row r="139" spans="1:14" ht="15.6">
      <c r="A139" s="481">
        <f t="shared" si="5"/>
        <v>205</v>
      </c>
      <c r="B139" s="479"/>
      <c r="C139" s="253" t="s">
        <v>498</v>
      </c>
      <c r="D139" s="491" t="s">
        <v>28</v>
      </c>
      <c r="E139" s="124"/>
      <c r="F139" s="498">
        <f>+F137-F138</f>
        <v>0</v>
      </c>
      <c r="G139" s="124"/>
      <c r="H139" s="124"/>
      <c r="I139" s="124"/>
      <c r="J139" s="124"/>
      <c r="K139" s="124"/>
      <c r="L139" s="124"/>
      <c r="M139" s="487"/>
      <c r="N139" s="124"/>
    </row>
    <row r="140" spans="1:14" ht="15.6">
      <c r="A140" s="481">
        <f t="shared" si="5"/>
        <v>206</v>
      </c>
      <c r="B140" s="479"/>
      <c r="C140" s="253" t="str">
        <f>"Lines "&amp;A133&amp;"-"&amp;A135&amp;" cannot change absent approval or acceptance by FERC in a separate proceeding. "</f>
        <v xml:space="preserve">Lines 199-201 cannot change absent approval or acceptance by FERC in a separate proceeding. </v>
      </c>
      <c r="D140" s="253"/>
      <c r="E140" s="124"/>
      <c r="F140" s="253"/>
      <c r="G140" s="124"/>
      <c r="H140" s="124"/>
      <c r="I140" s="124"/>
      <c r="J140" s="124"/>
      <c r="K140" s="124"/>
      <c r="L140" s="124"/>
      <c r="M140" s="487"/>
      <c r="N140" s="124"/>
    </row>
    <row r="141" spans="1:14" ht="15.6">
      <c r="A141" s="481"/>
      <c r="B141" s="124"/>
      <c r="C141" s="124"/>
      <c r="D141" s="124"/>
      <c r="E141" s="124"/>
      <c r="F141" s="124"/>
      <c r="G141" s="124"/>
      <c r="H141" s="124"/>
      <c r="I141" s="124"/>
      <c r="J141" s="124"/>
      <c r="K141" s="124"/>
      <c r="L141" s="124"/>
      <c r="M141" s="487"/>
      <c r="N141" s="124"/>
    </row>
    <row r="142" spans="1:14" ht="15.6">
      <c r="A142" s="481">
        <f>+A140+1</f>
        <v>207</v>
      </c>
      <c r="B142" s="124"/>
      <c r="C142" s="683" t="s">
        <v>500</v>
      </c>
      <c r="D142" s="478"/>
      <c r="E142" s="124"/>
      <c r="F142" s="124"/>
      <c r="G142" s="124"/>
      <c r="H142" s="124"/>
      <c r="I142" s="124"/>
      <c r="J142" s="124"/>
      <c r="K142" s="124"/>
      <c r="L142" s="124"/>
      <c r="M142" s="487"/>
      <c r="N142" s="124"/>
    </row>
    <row r="143" spans="1:14" ht="15.6">
      <c r="A143" s="481">
        <f t="shared" ref="A143:A170" si="6">+A142+1</f>
        <v>208</v>
      </c>
      <c r="B143" s="124"/>
      <c r="C143" s="253" t="s">
        <v>492</v>
      </c>
      <c r="D143" s="253"/>
      <c r="E143" s="124"/>
      <c r="F143" s="699">
        <v>2057829</v>
      </c>
      <c r="G143" s="124"/>
      <c r="H143" s="124"/>
      <c r="I143" s="124"/>
      <c r="J143" s="124"/>
      <c r="K143" s="124"/>
      <c r="L143" s="124"/>
      <c r="M143" s="487"/>
      <c r="N143" s="124"/>
    </row>
    <row r="144" spans="1:14" ht="15.6">
      <c r="A144" s="481">
        <f t="shared" si="6"/>
        <v>209</v>
      </c>
      <c r="B144" s="124"/>
      <c r="C144" s="253" t="s">
        <v>493</v>
      </c>
      <c r="D144" s="253"/>
      <c r="E144" s="124"/>
      <c r="F144" s="699">
        <f>150583000+37003000</f>
        <v>187586000</v>
      </c>
      <c r="G144" s="124"/>
      <c r="H144" s="124"/>
      <c r="I144" s="124"/>
      <c r="J144" s="124"/>
      <c r="K144" s="124"/>
      <c r="L144" s="124"/>
      <c r="M144" s="487"/>
      <c r="N144" s="124"/>
    </row>
    <row r="145" spans="1:14" ht="15.6">
      <c r="A145" s="481">
        <f t="shared" si="6"/>
        <v>210</v>
      </c>
      <c r="B145" s="124"/>
      <c r="C145" s="253" t="s">
        <v>494</v>
      </c>
      <c r="D145" s="253"/>
      <c r="E145" s="124"/>
      <c r="F145" s="700">
        <f>+F143/F144</f>
        <v>1.0970056400797502E-2</v>
      </c>
      <c r="G145" s="124"/>
      <c r="H145" s="124"/>
      <c r="I145" s="124"/>
      <c r="J145" s="124"/>
      <c r="K145" s="124"/>
      <c r="L145" s="124"/>
      <c r="M145" s="487"/>
      <c r="N145" s="124"/>
    </row>
    <row r="146" spans="1:14" ht="15.6">
      <c r="A146" s="481">
        <f t="shared" si="6"/>
        <v>211</v>
      </c>
      <c r="B146" s="124"/>
      <c r="C146" s="253" t="s">
        <v>495</v>
      </c>
      <c r="D146" s="253"/>
      <c r="E146" s="124" t="s">
        <v>486</v>
      </c>
      <c r="F146" s="490">
        <v>0</v>
      </c>
      <c r="G146" s="124"/>
      <c r="H146" s="124"/>
      <c r="I146" s="124"/>
      <c r="J146" s="124"/>
      <c r="K146" s="124"/>
      <c r="L146" s="124"/>
      <c r="M146" s="487"/>
      <c r="N146" s="124"/>
    </row>
    <row r="147" spans="1:14" ht="15.6">
      <c r="A147" s="481">
        <f t="shared" si="6"/>
        <v>212</v>
      </c>
      <c r="B147" s="124"/>
      <c r="C147" s="253" t="s">
        <v>496</v>
      </c>
      <c r="D147" s="253"/>
      <c r="E147" s="124"/>
      <c r="F147" s="498">
        <f>+F145*F146</f>
        <v>0</v>
      </c>
      <c r="G147" s="124"/>
      <c r="H147" s="124"/>
      <c r="I147" s="124"/>
      <c r="J147" s="124"/>
      <c r="K147" s="124"/>
      <c r="L147" s="124"/>
      <c r="M147" s="487"/>
      <c r="N147" s="124"/>
    </row>
    <row r="148" spans="1:14" ht="15.6">
      <c r="A148" s="481">
        <f t="shared" si="6"/>
        <v>213</v>
      </c>
      <c r="B148" s="124"/>
      <c r="C148" s="253" t="s">
        <v>497</v>
      </c>
      <c r="D148" s="253"/>
      <c r="E148" s="124" t="s">
        <v>486</v>
      </c>
      <c r="F148" s="497">
        <v>0</v>
      </c>
      <c r="G148" s="124"/>
      <c r="H148" s="124"/>
      <c r="I148" s="124"/>
      <c r="J148" s="124"/>
      <c r="K148" s="124"/>
      <c r="L148" s="124"/>
      <c r="M148" s="487"/>
      <c r="N148" s="124"/>
    </row>
    <row r="149" spans="1:14" ht="15.6">
      <c r="A149" s="481">
        <f t="shared" si="6"/>
        <v>214</v>
      </c>
      <c r="B149" s="124"/>
      <c r="C149" s="253" t="s">
        <v>498</v>
      </c>
      <c r="D149" s="491" t="s">
        <v>28</v>
      </c>
      <c r="E149" s="124"/>
      <c r="F149" s="498">
        <f>+F147-F148</f>
        <v>0</v>
      </c>
      <c r="G149" s="124"/>
      <c r="H149" s="124"/>
      <c r="I149" s="124"/>
      <c r="J149" s="124"/>
      <c r="K149" s="124"/>
      <c r="L149" s="124"/>
      <c r="M149" s="487"/>
      <c r="N149" s="124"/>
    </row>
    <row r="150" spans="1:14" ht="15.6">
      <c r="A150" s="481">
        <f t="shared" si="6"/>
        <v>215</v>
      </c>
      <c r="B150" s="124"/>
      <c r="C150" s="253" t="str">
        <f>"Lines "&amp;A143&amp;"-"&amp;A145&amp;" cannot change absent approval or acceptance by FERC in a separate proceeding. "</f>
        <v xml:space="preserve">Lines 208-210 cannot change absent approval or acceptance by FERC in a separate proceeding. </v>
      </c>
      <c r="D150" s="253"/>
      <c r="E150" s="124"/>
      <c r="F150" s="253"/>
      <c r="G150" s="124"/>
      <c r="H150" s="124"/>
      <c r="I150" s="124"/>
      <c r="J150" s="124"/>
      <c r="K150" s="124"/>
      <c r="L150" s="124"/>
      <c r="M150" s="487"/>
      <c r="N150" s="124"/>
    </row>
    <row r="151" spans="1:14" ht="15.6">
      <c r="A151" s="481"/>
      <c r="B151" s="124"/>
      <c r="C151" s="124"/>
      <c r="D151" s="124"/>
      <c r="E151" s="124"/>
      <c r="F151" s="124"/>
      <c r="G151" s="124"/>
      <c r="H151" s="124"/>
      <c r="I151" s="124"/>
      <c r="J151" s="124"/>
      <c r="K151" s="124"/>
      <c r="L151" s="124"/>
      <c r="M151" s="487"/>
      <c r="N151" s="124"/>
    </row>
    <row r="152" spans="1:14" ht="15.6">
      <c r="A152" s="481">
        <f>+A150+1</f>
        <v>216</v>
      </c>
      <c r="B152" s="124"/>
      <c r="C152" s="683" t="s">
        <v>501</v>
      </c>
      <c r="D152" s="478"/>
      <c r="E152" s="124"/>
      <c r="F152" s="124"/>
      <c r="G152" s="124"/>
      <c r="H152" s="124"/>
      <c r="I152" s="124"/>
      <c r="J152" s="124"/>
      <c r="K152" s="124"/>
      <c r="L152" s="124"/>
      <c r="M152" s="487"/>
      <c r="N152" s="124"/>
    </row>
    <row r="153" spans="1:14" ht="15.6">
      <c r="A153" s="481">
        <f t="shared" si="6"/>
        <v>217</v>
      </c>
      <c r="B153" s="124"/>
      <c r="C153" s="253" t="s">
        <v>492</v>
      </c>
      <c r="D153" s="253"/>
      <c r="E153" s="124"/>
      <c r="F153" s="699">
        <v>3561081</v>
      </c>
      <c r="G153" s="124"/>
      <c r="H153" s="124"/>
      <c r="I153" s="124"/>
      <c r="J153" s="124"/>
      <c r="K153" s="124"/>
      <c r="L153" s="124"/>
      <c r="M153" s="487"/>
      <c r="N153" s="124"/>
    </row>
    <row r="154" spans="1:14" ht="15.6">
      <c r="A154" s="481">
        <f t="shared" si="6"/>
        <v>218</v>
      </c>
      <c r="B154" s="124"/>
      <c r="C154" s="253" t="s">
        <v>493</v>
      </c>
      <c r="D154" s="253"/>
      <c r="E154" s="124"/>
      <c r="F154" s="699">
        <f>52293000+27332000</f>
        <v>79625000</v>
      </c>
      <c r="G154" s="124"/>
      <c r="H154" s="124"/>
      <c r="I154" s="124"/>
      <c r="J154" s="124"/>
      <c r="K154" s="124"/>
      <c r="L154" s="124"/>
      <c r="M154" s="487"/>
      <c r="N154" s="124"/>
    </row>
    <row r="155" spans="1:14" ht="15.6">
      <c r="A155" s="481">
        <f t="shared" si="6"/>
        <v>219</v>
      </c>
      <c r="B155" s="124"/>
      <c r="C155" s="253" t="s">
        <v>494</v>
      </c>
      <c r="D155" s="253"/>
      <c r="E155" s="124"/>
      <c r="F155" s="700">
        <f>+F153/F154</f>
        <v>4.4723152276295135E-2</v>
      </c>
      <c r="G155" s="124"/>
      <c r="H155" s="124"/>
      <c r="I155" s="124"/>
      <c r="J155" s="124"/>
      <c r="K155" s="124"/>
      <c r="L155" s="124"/>
      <c r="M155" s="487"/>
      <c r="N155" s="124"/>
    </row>
    <row r="156" spans="1:14" ht="15.6">
      <c r="A156" s="481">
        <f t="shared" si="6"/>
        <v>220</v>
      </c>
      <c r="B156" s="124"/>
      <c r="C156" s="253" t="s">
        <v>495</v>
      </c>
      <c r="D156" s="253"/>
      <c r="E156" s="124" t="s">
        <v>486</v>
      </c>
      <c r="F156" s="490">
        <v>0</v>
      </c>
      <c r="G156" s="124"/>
      <c r="H156" s="124"/>
      <c r="I156" s="124"/>
      <c r="J156" s="124"/>
      <c r="K156" s="124"/>
      <c r="L156" s="124"/>
      <c r="M156" s="487"/>
      <c r="N156" s="124"/>
    </row>
    <row r="157" spans="1:14" ht="15.6">
      <c r="A157" s="481">
        <f t="shared" si="6"/>
        <v>221</v>
      </c>
      <c r="B157" s="124"/>
      <c r="C157" s="253" t="s">
        <v>496</v>
      </c>
      <c r="D157" s="253"/>
      <c r="E157" s="124"/>
      <c r="F157" s="498">
        <f>+F155*F156</f>
        <v>0</v>
      </c>
      <c r="G157" s="124"/>
      <c r="H157" s="124"/>
      <c r="I157" s="124"/>
      <c r="J157" s="124"/>
      <c r="K157" s="124"/>
      <c r="L157" s="124"/>
      <c r="M157" s="487"/>
      <c r="N157" s="124"/>
    </row>
    <row r="158" spans="1:14" ht="15.6">
      <c r="A158" s="481">
        <f t="shared" si="6"/>
        <v>222</v>
      </c>
      <c r="B158" s="124"/>
      <c r="C158" s="253" t="s">
        <v>497</v>
      </c>
      <c r="D158" s="253"/>
      <c r="E158" s="124" t="s">
        <v>486</v>
      </c>
      <c r="F158" s="497">
        <v>0</v>
      </c>
      <c r="G158" s="124"/>
      <c r="H158" s="124"/>
      <c r="I158" s="124"/>
      <c r="J158" s="124"/>
      <c r="K158" s="124"/>
      <c r="L158" s="124"/>
      <c r="M158" s="487"/>
      <c r="N158" s="124"/>
    </row>
    <row r="159" spans="1:14" ht="15.6">
      <c r="A159" s="481">
        <f t="shared" si="6"/>
        <v>223</v>
      </c>
      <c r="B159" s="124"/>
      <c r="C159" s="253" t="s">
        <v>498</v>
      </c>
      <c r="D159" s="491" t="s">
        <v>28</v>
      </c>
      <c r="E159" s="124"/>
      <c r="F159" s="498">
        <f>+F157-F158</f>
        <v>0</v>
      </c>
      <c r="G159" s="124"/>
      <c r="H159" s="124"/>
      <c r="I159" s="124"/>
      <c r="J159" s="124"/>
      <c r="K159" s="124"/>
      <c r="L159" s="124"/>
      <c r="M159" s="487"/>
      <c r="N159" s="124"/>
    </row>
    <row r="160" spans="1:14" ht="15.6">
      <c r="A160" s="481">
        <f t="shared" si="6"/>
        <v>224</v>
      </c>
      <c r="B160" s="124"/>
      <c r="C160" s="253" t="str">
        <f>"Lines "&amp;A153&amp;"-"&amp;A155&amp;" cannot change absent approval or acceptance by FERC in a separate proceeding. "</f>
        <v xml:space="preserve">Lines 217-219 cannot change absent approval or acceptance by FERC in a separate proceeding. </v>
      </c>
      <c r="D160" s="253"/>
      <c r="E160" s="124"/>
      <c r="F160" s="253"/>
      <c r="G160" s="124"/>
      <c r="H160" s="124"/>
      <c r="I160" s="124"/>
      <c r="J160" s="124"/>
      <c r="K160" s="124"/>
      <c r="L160" s="124"/>
      <c r="M160" s="487"/>
      <c r="N160" s="124"/>
    </row>
    <row r="161" spans="1:14" ht="15.6">
      <c r="A161" s="481"/>
      <c r="B161" s="124"/>
      <c r="C161" s="124"/>
      <c r="D161" s="124"/>
      <c r="E161" s="124"/>
      <c r="F161" s="124"/>
      <c r="G161" s="124"/>
      <c r="H161" s="124"/>
      <c r="I161" s="124"/>
      <c r="J161" s="124"/>
      <c r="K161" s="124"/>
      <c r="L161" s="124"/>
      <c r="M161" s="487"/>
      <c r="N161" s="124"/>
    </row>
    <row r="162" spans="1:14" ht="15.6">
      <c r="A162" s="481">
        <f>+A160+1</f>
        <v>225</v>
      </c>
      <c r="B162" s="124"/>
      <c r="C162" s="683" t="s">
        <v>502</v>
      </c>
      <c r="D162" s="478"/>
      <c r="E162" s="124"/>
      <c r="F162" s="124"/>
      <c r="G162" s="124"/>
      <c r="H162" s="124"/>
      <c r="I162" s="124"/>
      <c r="J162" s="124"/>
      <c r="K162" s="124"/>
      <c r="L162" s="124"/>
      <c r="M162" s="487"/>
      <c r="N162" s="124"/>
    </row>
    <row r="163" spans="1:14" ht="15.6">
      <c r="A163" s="481">
        <f t="shared" si="6"/>
        <v>226</v>
      </c>
      <c r="B163" s="124"/>
      <c r="C163" s="253" t="s">
        <v>492</v>
      </c>
      <c r="D163" s="253"/>
      <c r="E163" s="124"/>
      <c r="F163" s="699">
        <v>-3863900</v>
      </c>
      <c r="G163" s="124"/>
      <c r="H163" s="124"/>
      <c r="I163" s="124"/>
      <c r="J163" s="124"/>
      <c r="K163" s="124"/>
      <c r="L163" s="124"/>
      <c r="M163" s="487"/>
      <c r="N163" s="124"/>
    </row>
    <row r="164" spans="1:14" ht="15.6">
      <c r="A164" s="481">
        <f t="shared" si="6"/>
        <v>227</v>
      </c>
      <c r="B164" s="124"/>
      <c r="C164" s="253" t="s">
        <v>493</v>
      </c>
      <c r="D164" s="253"/>
      <c r="E164" s="124"/>
      <c r="F164" s="607">
        <v>108206368</v>
      </c>
      <c r="G164" s="124"/>
      <c r="H164" s="124"/>
      <c r="I164" s="124"/>
      <c r="J164" s="124"/>
      <c r="K164" s="124"/>
      <c r="L164" s="124"/>
      <c r="M164" s="487"/>
      <c r="N164" s="124"/>
    </row>
    <row r="165" spans="1:14" ht="15.6">
      <c r="A165" s="481">
        <f t="shared" si="6"/>
        <v>228</v>
      </c>
      <c r="B165" s="124"/>
      <c r="C165" s="253" t="s">
        <v>494</v>
      </c>
      <c r="D165" s="253"/>
      <c r="E165" s="124"/>
      <c r="F165" s="700">
        <f>+F163/F164</f>
        <v>-3.5708619293090035E-2</v>
      </c>
      <c r="G165" s="124"/>
      <c r="H165" s="124"/>
      <c r="I165" s="124"/>
      <c r="J165" s="124"/>
      <c r="K165" s="124"/>
      <c r="L165" s="124"/>
      <c r="M165" s="487"/>
      <c r="N165" s="124"/>
    </row>
    <row r="166" spans="1:14" ht="15.6">
      <c r="A166" s="481">
        <f t="shared" si="6"/>
        <v>229</v>
      </c>
      <c r="B166" s="124"/>
      <c r="C166" s="253" t="s">
        <v>495</v>
      </c>
      <c r="D166" s="253"/>
      <c r="E166" s="124" t="s">
        <v>486</v>
      </c>
      <c r="F166" s="490">
        <v>0</v>
      </c>
      <c r="G166" s="124"/>
      <c r="H166" s="124"/>
      <c r="I166" s="124"/>
      <c r="J166" s="124"/>
      <c r="K166" s="124"/>
      <c r="L166" s="124"/>
      <c r="M166" s="487"/>
      <c r="N166" s="124"/>
    </row>
    <row r="167" spans="1:14" ht="15.6">
      <c r="A167" s="481">
        <f t="shared" si="6"/>
        <v>230</v>
      </c>
      <c r="B167" s="124"/>
      <c r="C167" s="253" t="s">
        <v>496</v>
      </c>
      <c r="D167" s="253"/>
      <c r="E167" s="124"/>
      <c r="F167" s="498">
        <f>+F165*F166</f>
        <v>0</v>
      </c>
      <c r="G167" s="124"/>
      <c r="H167" s="124"/>
      <c r="I167" s="124"/>
      <c r="J167" s="124"/>
      <c r="K167" s="124"/>
      <c r="L167" s="124"/>
      <c r="M167" s="487"/>
      <c r="N167" s="124"/>
    </row>
    <row r="168" spans="1:14" ht="15.6">
      <c r="A168" s="481">
        <f t="shared" si="6"/>
        <v>231</v>
      </c>
      <c r="B168" s="124"/>
      <c r="C168" s="253" t="s">
        <v>497</v>
      </c>
      <c r="D168" s="253"/>
      <c r="E168" s="124" t="s">
        <v>486</v>
      </c>
      <c r="F168" s="497">
        <v>0</v>
      </c>
      <c r="G168" s="124"/>
      <c r="H168" s="124"/>
      <c r="I168" s="124"/>
      <c r="J168" s="124"/>
      <c r="K168" s="124"/>
      <c r="L168" s="124"/>
      <c r="M168" s="487"/>
      <c r="N168" s="124"/>
    </row>
    <row r="169" spans="1:14" ht="15.6">
      <c r="A169" s="481">
        <f t="shared" si="6"/>
        <v>232</v>
      </c>
      <c r="B169" s="124"/>
      <c r="C169" s="253" t="s">
        <v>498</v>
      </c>
      <c r="D169" s="491" t="s">
        <v>28</v>
      </c>
      <c r="E169" s="124"/>
      <c r="F169" s="498">
        <f>+F167-F168</f>
        <v>0</v>
      </c>
      <c r="G169" s="124"/>
      <c r="H169" s="124"/>
      <c r="I169" s="124"/>
      <c r="J169" s="124"/>
      <c r="K169" s="124"/>
      <c r="L169" s="124"/>
      <c r="M169" s="487"/>
      <c r="N169" s="124"/>
    </row>
    <row r="170" spans="1:14" ht="15.6">
      <c r="A170" s="481">
        <f t="shared" si="6"/>
        <v>233</v>
      </c>
      <c r="B170" s="124"/>
      <c r="C170" s="253" t="str">
        <f>"Lines "&amp;A163&amp;"-"&amp;A165&amp;" cannot change absent approval or acceptance by FERC in a separate proceeding. "</f>
        <v xml:space="preserve">Lines 226-228 cannot change absent approval or acceptance by FERC in a separate proceeding. </v>
      </c>
      <c r="D170" s="253"/>
      <c r="E170" s="124"/>
      <c r="F170" s="253"/>
      <c r="G170" s="124"/>
      <c r="H170" s="124"/>
      <c r="I170" s="124"/>
      <c r="J170" s="124"/>
      <c r="K170" s="124"/>
      <c r="L170" s="124"/>
      <c r="M170" s="487"/>
      <c r="N170" s="124"/>
    </row>
    <row r="171" spans="1:14" ht="15.6">
      <c r="A171" s="481"/>
      <c r="B171" s="124"/>
      <c r="C171" s="124"/>
      <c r="D171" s="124"/>
      <c r="E171" s="124"/>
      <c r="F171" s="124"/>
      <c r="G171" s="124"/>
      <c r="H171" s="124"/>
      <c r="I171" s="124"/>
      <c r="J171" s="124"/>
      <c r="K171" s="124"/>
      <c r="L171" s="124"/>
      <c r="M171" s="487"/>
      <c r="N171" s="124"/>
    </row>
    <row r="172" spans="1:14" ht="15.6">
      <c r="A172" s="481">
        <f>+A170+1</f>
        <v>234</v>
      </c>
      <c r="B172" s="124"/>
      <c r="C172" s="683" t="str">
        <f>+'Appendix A'!E9</f>
        <v>New York Transco LLC</v>
      </c>
      <c r="D172" s="478"/>
      <c r="E172" s="124"/>
      <c r="F172" s="124"/>
      <c r="G172" s="124"/>
      <c r="H172" s="124"/>
      <c r="I172" s="124"/>
      <c r="J172" s="124"/>
      <c r="K172" s="124"/>
      <c r="L172" s="124"/>
      <c r="M172" s="487"/>
      <c r="N172" s="124"/>
    </row>
    <row r="173" spans="1:14" ht="15.6">
      <c r="A173" s="481">
        <f t="shared" ref="A173:A180" si="7">+A172+1</f>
        <v>235</v>
      </c>
      <c r="B173" s="124"/>
      <c r="C173" s="253" t="s">
        <v>492</v>
      </c>
      <c r="D173" s="253"/>
      <c r="E173" s="124"/>
      <c r="F173" s="699">
        <v>0</v>
      </c>
      <c r="G173" s="124"/>
      <c r="H173" s="124"/>
      <c r="I173" s="124"/>
      <c r="J173" s="124"/>
      <c r="K173" s="124"/>
      <c r="L173" s="124"/>
      <c r="M173" s="487"/>
      <c r="N173" s="124"/>
    </row>
    <row r="174" spans="1:14" ht="15.6">
      <c r="A174" s="481">
        <f t="shared" si="7"/>
        <v>236</v>
      </c>
      <c r="B174" s="124"/>
      <c r="C174" s="253" t="s">
        <v>493</v>
      </c>
      <c r="D174" s="253"/>
      <c r="E174" s="124"/>
      <c r="F174" s="699">
        <v>0</v>
      </c>
      <c r="G174" s="124"/>
      <c r="H174" s="124"/>
      <c r="I174" s="124"/>
      <c r="J174" s="124"/>
      <c r="K174" s="124"/>
      <c r="L174" s="124"/>
      <c r="M174" s="487"/>
      <c r="N174" s="124"/>
    </row>
    <row r="175" spans="1:14" ht="15.6">
      <c r="A175" s="481">
        <f t="shared" si="7"/>
        <v>237</v>
      </c>
      <c r="B175" s="124"/>
      <c r="C175" s="253" t="s">
        <v>494</v>
      </c>
      <c r="D175" s="253"/>
      <c r="E175" s="124"/>
      <c r="F175" s="489">
        <f>IF(F174&lt;&gt;0,251/F174,0)</f>
        <v>0</v>
      </c>
      <c r="G175" s="124"/>
      <c r="H175" s="124"/>
      <c r="I175" s="124"/>
      <c r="J175" s="124"/>
      <c r="K175" s="124"/>
      <c r="L175" s="124"/>
      <c r="M175" s="487"/>
      <c r="N175" s="124"/>
    </row>
    <row r="176" spans="1:14" ht="15.6">
      <c r="A176" s="481">
        <f t="shared" si="7"/>
        <v>238</v>
      </c>
      <c r="B176" s="124"/>
      <c r="C176" s="253" t="s">
        <v>495</v>
      </c>
      <c r="D176" s="253"/>
      <c r="E176" s="124" t="s">
        <v>486</v>
      </c>
      <c r="F176" s="490">
        <v>0</v>
      </c>
      <c r="G176" s="124"/>
      <c r="H176" s="124"/>
      <c r="I176" s="124"/>
      <c r="J176" s="124"/>
      <c r="K176" s="124"/>
      <c r="L176" s="124"/>
      <c r="M176" s="487"/>
      <c r="N176" s="124"/>
    </row>
    <row r="177" spans="1:14" ht="15.6">
      <c r="A177" s="481">
        <f t="shared" si="7"/>
        <v>239</v>
      </c>
      <c r="B177" s="124"/>
      <c r="C177" s="253" t="s">
        <v>496</v>
      </c>
      <c r="D177" s="253"/>
      <c r="E177" s="124"/>
      <c r="F177" s="498">
        <f>+F175*F176</f>
        <v>0</v>
      </c>
      <c r="G177" s="124"/>
      <c r="H177" s="124"/>
      <c r="I177" s="124"/>
      <c r="J177" s="124"/>
      <c r="K177" s="124"/>
      <c r="L177" s="124"/>
      <c r="M177" s="487"/>
      <c r="N177" s="124"/>
    </row>
    <row r="178" spans="1:14" ht="15.6">
      <c r="A178" s="481">
        <f t="shared" si="7"/>
        <v>240</v>
      </c>
      <c r="B178" s="124"/>
      <c r="C178" s="253" t="s">
        <v>497</v>
      </c>
      <c r="D178" s="253"/>
      <c r="E178" s="124" t="s">
        <v>486</v>
      </c>
      <c r="F178" s="497">
        <v>0</v>
      </c>
      <c r="G178" s="124"/>
      <c r="H178" s="124"/>
      <c r="I178" s="124"/>
      <c r="J178" s="124"/>
      <c r="K178" s="124"/>
      <c r="L178" s="124"/>
      <c r="M178" s="487"/>
      <c r="N178" s="124"/>
    </row>
    <row r="179" spans="1:14" ht="15.6">
      <c r="A179" s="481">
        <f t="shared" si="7"/>
        <v>241</v>
      </c>
      <c r="B179" s="124"/>
      <c r="C179" s="253" t="s">
        <v>498</v>
      </c>
      <c r="D179" s="491" t="s">
        <v>28</v>
      </c>
      <c r="E179" s="124"/>
      <c r="F179" s="498">
        <f>+F177-F178</f>
        <v>0</v>
      </c>
      <c r="G179" s="124"/>
      <c r="H179" s="124"/>
      <c r="I179" s="124"/>
      <c r="J179" s="124"/>
      <c r="K179" s="124"/>
      <c r="L179" s="124"/>
      <c r="M179" s="487"/>
      <c r="N179" s="124"/>
    </row>
    <row r="180" spans="1:14" ht="15.6">
      <c r="A180" s="481">
        <f t="shared" si="7"/>
        <v>242</v>
      </c>
      <c r="B180" s="124"/>
      <c r="C180" s="253" t="str">
        <f>"Lines "&amp;A173&amp;"-"&amp;A175&amp;" cannot change absent approval or acceptance by FERC in a separate proceeding. "</f>
        <v xml:space="preserve">Lines 235-237 cannot change absent approval or acceptance by FERC in a separate proceeding. </v>
      </c>
      <c r="D180" s="253"/>
      <c r="E180" s="124"/>
      <c r="F180" s="253"/>
      <c r="G180" s="124"/>
      <c r="H180" s="124"/>
      <c r="I180" s="124"/>
      <c r="J180" s="124"/>
      <c r="K180" s="124"/>
      <c r="L180" s="124"/>
      <c r="M180" s="487"/>
      <c r="N180" s="124"/>
    </row>
    <row r="181" spans="1:14" ht="15.6">
      <c r="A181" s="481"/>
      <c r="B181" s="124"/>
      <c r="C181" s="124"/>
      <c r="D181" s="124"/>
      <c r="E181" s="124"/>
      <c r="F181" s="124"/>
      <c r="G181" s="124"/>
      <c r="H181" s="124"/>
      <c r="I181" s="124"/>
      <c r="J181" s="124"/>
      <c r="K181" s="124"/>
      <c r="L181" s="124"/>
      <c r="M181" s="487"/>
      <c r="N181" s="124"/>
    </row>
    <row r="182" spans="1:14" ht="15.6">
      <c r="A182" s="481"/>
      <c r="B182" s="124"/>
      <c r="C182" s="124"/>
      <c r="D182" s="124"/>
      <c r="E182" s="124"/>
      <c r="F182" s="124"/>
      <c r="G182" s="124"/>
      <c r="H182" s="124"/>
      <c r="I182" s="124"/>
      <c r="J182" s="124"/>
      <c r="K182" s="124"/>
      <c r="L182" s="124"/>
      <c r="M182" s="487"/>
      <c r="N182" s="124"/>
    </row>
    <row r="183" spans="1:14" ht="16.2" thickBot="1">
      <c r="A183" s="696">
        <f>+A180+1</f>
        <v>243</v>
      </c>
      <c r="B183" s="167"/>
      <c r="C183" s="167" t="str">
        <f>+'Appendix A'!C149</f>
        <v xml:space="preserve">     PBOP expense adjustment</v>
      </c>
      <c r="D183" s="167" t="str">
        <f>"(sum lines "&amp;A129&amp;", "&amp;A149&amp;", "&amp;A139&amp;", "&amp;A159&amp;", "&amp;A169&amp;", &amp; "&amp;A179&amp;")"</f>
        <v>(sum lines 197, 214, 205, 223, 232, &amp; 241)</v>
      </c>
      <c r="E183" s="167"/>
      <c r="F183" s="499">
        <f>+F129+F139+F149+F159+F169+F179</f>
        <v>0</v>
      </c>
      <c r="G183" s="167"/>
      <c r="H183" s="167"/>
      <c r="I183" s="167"/>
      <c r="J183" s="167"/>
      <c r="K183" s="167"/>
      <c r="L183" s="167"/>
      <c r="M183" s="492"/>
      <c r="N183" s="124"/>
    </row>
    <row r="184" spans="1:14" ht="15.6">
      <c r="A184" s="479"/>
      <c r="B184" s="124"/>
      <c r="C184" s="124"/>
      <c r="D184" s="124"/>
      <c r="E184" s="124"/>
      <c r="F184" s="124"/>
      <c r="G184" s="124"/>
      <c r="H184" s="124"/>
      <c r="I184" s="124"/>
      <c r="J184" s="124"/>
      <c r="K184" s="124"/>
      <c r="L184" s="124"/>
      <c r="M184" s="124"/>
      <c r="N184" s="124"/>
    </row>
    <row r="185" spans="1:14" ht="15.6">
      <c r="A185" s="124"/>
      <c r="B185" s="124"/>
      <c r="C185" s="124"/>
      <c r="D185" s="124"/>
      <c r="E185" s="124"/>
      <c r="F185" s="124"/>
      <c r="G185" s="124"/>
      <c r="H185" s="124"/>
      <c r="I185" s="124"/>
      <c r="J185" s="124"/>
      <c r="K185" s="124"/>
      <c r="L185" s="124"/>
      <c r="M185" s="124"/>
      <c r="N185" s="124"/>
    </row>
    <row r="186" spans="1:14" ht="15.6">
      <c r="A186" s="124"/>
      <c r="B186" s="124"/>
      <c r="C186" s="124"/>
      <c r="D186" s="124"/>
      <c r="E186" s="124"/>
      <c r="F186" s="124"/>
      <c r="G186" s="124"/>
      <c r="H186" s="124"/>
      <c r="I186" s="124"/>
      <c r="J186" s="124"/>
      <c r="K186" s="124"/>
      <c r="L186" s="124"/>
      <c r="M186" s="124"/>
      <c r="N186" s="124"/>
    </row>
    <row r="187" spans="1:14" ht="15.6">
      <c r="A187" s="124"/>
      <c r="B187" s="124"/>
      <c r="C187" s="124"/>
      <c r="D187" s="124"/>
      <c r="E187" s="124"/>
      <c r="F187" s="124"/>
      <c r="G187" s="124"/>
      <c r="H187" s="124"/>
      <c r="I187" s="124"/>
      <c r="J187" s="124"/>
      <c r="K187" s="124"/>
      <c r="L187" s="124"/>
      <c r="M187" s="124"/>
      <c r="N187" s="124"/>
    </row>
    <row r="188" spans="1:14" ht="15.6">
      <c r="A188" s="124"/>
      <c r="B188" s="124"/>
      <c r="C188" s="124"/>
      <c r="D188" s="124"/>
      <c r="E188" s="124"/>
      <c r="F188" s="124"/>
      <c r="G188" s="124"/>
      <c r="H188" s="124"/>
      <c r="I188" s="124"/>
      <c r="J188" s="124"/>
      <c r="K188" s="124"/>
      <c r="L188" s="124"/>
      <c r="M188" s="124"/>
      <c r="N188" s="124"/>
    </row>
    <row r="189" spans="1:14" ht="15.6">
      <c r="A189" s="124"/>
      <c r="B189" s="124"/>
      <c r="C189" s="124"/>
      <c r="D189" s="124"/>
      <c r="E189" s="124"/>
      <c r="F189" s="124"/>
      <c r="G189" s="124"/>
      <c r="H189" s="124"/>
      <c r="I189" s="124"/>
      <c r="J189" s="124"/>
      <c r="K189" s="124"/>
      <c r="L189" s="124"/>
      <c r="M189" s="124"/>
      <c r="N189" s="124"/>
    </row>
    <row r="190" spans="1:14" ht="15.6">
      <c r="A190" s="124"/>
      <c r="B190" s="124"/>
      <c r="C190" s="124"/>
      <c r="D190" s="124"/>
      <c r="E190" s="124"/>
      <c r="F190" s="124"/>
      <c r="G190" s="124"/>
      <c r="H190" s="124"/>
      <c r="I190" s="124"/>
      <c r="J190" s="124"/>
      <c r="K190" s="124"/>
      <c r="L190" s="124"/>
      <c r="M190" s="124"/>
      <c r="N190" s="124"/>
    </row>
    <row r="191" spans="1:14" ht="15.6">
      <c r="A191" s="124"/>
      <c r="B191" s="124"/>
      <c r="C191" s="124"/>
      <c r="D191" s="124"/>
      <c r="E191" s="124"/>
      <c r="F191" s="124"/>
      <c r="G191" s="124"/>
      <c r="H191" s="124"/>
      <c r="I191" s="124"/>
      <c r="J191" s="124"/>
      <c r="K191" s="124"/>
      <c r="L191" s="124"/>
      <c r="M191" s="124"/>
      <c r="N191" s="124"/>
    </row>
    <row r="192" spans="1:14" ht="15.6">
      <c r="A192" s="124"/>
      <c r="B192" s="124"/>
      <c r="C192" s="124"/>
      <c r="D192" s="124"/>
      <c r="E192" s="124"/>
      <c r="F192" s="124"/>
      <c r="G192" s="124"/>
      <c r="H192" s="124"/>
      <c r="I192" s="124"/>
      <c r="J192" s="124"/>
      <c r="K192" s="124"/>
      <c r="L192" s="124"/>
      <c r="M192" s="124"/>
      <c r="N192" s="124"/>
    </row>
    <row r="193" spans="1:14" ht="15.6">
      <c r="A193" s="124"/>
      <c r="B193" s="124"/>
      <c r="C193" s="124"/>
      <c r="D193" s="124"/>
      <c r="E193" s="124"/>
      <c r="F193" s="124"/>
      <c r="G193" s="124"/>
      <c r="H193" s="124"/>
      <c r="I193" s="124"/>
      <c r="J193" s="124"/>
      <c r="K193" s="124"/>
      <c r="L193" s="124"/>
      <c r="M193" s="124"/>
      <c r="N193" s="124"/>
    </row>
    <row r="194" spans="1:14" ht="15.6">
      <c r="A194" s="124"/>
      <c r="B194" s="124"/>
      <c r="C194" s="124"/>
      <c r="D194" s="124"/>
      <c r="E194" s="124"/>
      <c r="F194" s="124"/>
      <c r="G194" s="124"/>
      <c r="H194" s="124"/>
      <c r="I194" s="124"/>
      <c r="J194" s="124"/>
      <c r="K194" s="124"/>
      <c r="L194" s="124"/>
      <c r="M194" s="124"/>
      <c r="N194" s="124"/>
    </row>
    <row r="195" spans="1:14" ht="15.6">
      <c r="A195" s="124"/>
      <c r="B195" s="124"/>
      <c r="C195" s="124"/>
      <c r="D195" s="124"/>
      <c r="E195" s="124"/>
      <c r="F195" s="124"/>
      <c r="G195" s="124"/>
      <c r="H195" s="124"/>
      <c r="I195" s="124"/>
      <c r="J195" s="124"/>
      <c r="K195" s="124"/>
      <c r="L195" s="124"/>
      <c r="M195" s="124"/>
      <c r="N195" s="124"/>
    </row>
    <row r="196" spans="1:14" ht="15.6">
      <c r="A196" s="124"/>
      <c r="B196" s="124"/>
      <c r="C196" s="124"/>
      <c r="D196" s="124"/>
      <c r="E196" s="124"/>
      <c r="F196" s="124"/>
      <c r="G196" s="124"/>
      <c r="H196" s="124"/>
      <c r="I196" s="124"/>
      <c r="J196" s="124"/>
      <c r="K196" s="124"/>
      <c r="L196" s="124"/>
      <c r="M196" s="124"/>
      <c r="N196" s="124"/>
    </row>
    <row r="197" spans="1:14" ht="15.6">
      <c r="A197" s="124"/>
      <c r="B197" s="124"/>
      <c r="C197" s="124"/>
      <c r="D197" s="124"/>
      <c r="E197" s="124"/>
      <c r="F197" s="124"/>
      <c r="G197" s="124"/>
      <c r="H197" s="124"/>
      <c r="I197" s="124"/>
      <c r="J197" s="124"/>
      <c r="K197" s="124"/>
      <c r="L197" s="124"/>
      <c r="M197" s="124"/>
      <c r="N197" s="124"/>
    </row>
    <row r="198" spans="1:14" ht="15.6">
      <c r="A198" s="124"/>
      <c r="B198" s="124"/>
      <c r="C198" s="124"/>
      <c r="D198" s="124"/>
      <c r="E198" s="124"/>
      <c r="F198" s="124"/>
      <c r="G198" s="124"/>
      <c r="H198" s="124"/>
      <c r="I198" s="124"/>
      <c r="J198" s="124"/>
      <c r="K198" s="124"/>
      <c r="L198" s="124"/>
      <c r="M198" s="124"/>
      <c r="N198" s="124"/>
    </row>
    <row r="199" spans="1:14" ht="15.6">
      <c r="A199" s="124"/>
      <c r="B199" s="124"/>
      <c r="C199" s="124"/>
      <c r="D199" s="124"/>
      <c r="E199" s="124"/>
      <c r="F199" s="124"/>
      <c r="G199" s="124"/>
      <c r="H199" s="124"/>
      <c r="I199" s="124"/>
      <c r="J199" s="124"/>
      <c r="K199" s="124"/>
      <c r="L199" s="124"/>
      <c r="M199" s="124"/>
      <c r="N199" s="124"/>
    </row>
    <row r="200" spans="1:14" ht="15.6">
      <c r="A200" s="124"/>
      <c r="B200" s="124"/>
      <c r="C200" s="124"/>
      <c r="D200" s="124"/>
      <c r="E200" s="124"/>
      <c r="F200" s="124"/>
      <c r="G200" s="124"/>
      <c r="H200" s="124"/>
      <c r="I200" s="124"/>
      <c r="J200" s="124"/>
      <c r="K200" s="124"/>
      <c r="L200" s="124"/>
      <c r="M200" s="124"/>
      <c r="N200" s="124"/>
    </row>
    <row r="201" spans="1:14" ht="15.6">
      <c r="A201" s="124"/>
      <c r="B201" s="124"/>
      <c r="C201" s="124"/>
      <c r="D201" s="124"/>
      <c r="E201" s="124"/>
      <c r="F201" s="124"/>
      <c r="G201" s="124"/>
      <c r="H201" s="124"/>
      <c r="I201" s="124"/>
      <c r="J201" s="124"/>
      <c r="K201" s="124"/>
      <c r="L201" s="124"/>
      <c r="M201" s="124"/>
      <c r="N201" s="124"/>
    </row>
    <row r="202" spans="1:14" ht="15.6">
      <c r="A202" s="124"/>
      <c r="B202" s="124"/>
      <c r="C202" s="124"/>
      <c r="D202" s="124"/>
      <c r="E202" s="124"/>
      <c r="F202" s="124"/>
      <c r="G202" s="124"/>
      <c r="H202" s="124"/>
      <c r="I202" s="124"/>
      <c r="J202" s="124"/>
      <c r="K202" s="124"/>
      <c r="L202" s="124"/>
      <c r="M202" s="124"/>
      <c r="N202" s="124"/>
    </row>
    <row r="203" spans="1:14" ht="15.6">
      <c r="A203" s="124"/>
      <c r="B203" s="124"/>
      <c r="C203" s="124"/>
      <c r="D203" s="124"/>
      <c r="E203" s="124"/>
      <c r="F203" s="124"/>
      <c r="G203" s="124"/>
      <c r="H203" s="124"/>
      <c r="I203" s="124"/>
      <c r="J203" s="124"/>
      <c r="K203" s="124"/>
      <c r="L203" s="124"/>
      <c r="M203" s="124"/>
      <c r="N203" s="124"/>
    </row>
    <row r="204" spans="1:14" ht="15.6">
      <c r="A204" s="124"/>
      <c r="B204" s="124"/>
      <c r="C204" s="124"/>
      <c r="D204" s="124"/>
      <c r="E204" s="124"/>
      <c r="F204" s="124"/>
      <c r="G204" s="124"/>
      <c r="H204" s="124"/>
      <c r="I204" s="124"/>
      <c r="J204" s="124"/>
      <c r="K204" s="124"/>
      <c r="L204" s="124"/>
      <c r="M204" s="124"/>
      <c r="N204" s="124"/>
    </row>
    <row r="205" spans="1:14" ht="15.6">
      <c r="A205" s="124"/>
      <c r="B205" s="124"/>
      <c r="C205" s="124"/>
      <c r="D205" s="124"/>
      <c r="E205" s="124"/>
      <c r="F205" s="124"/>
      <c r="G205" s="124"/>
      <c r="H205" s="124"/>
      <c r="I205" s="124"/>
      <c r="J205" s="124"/>
      <c r="K205" s="124"/>
      <c r="L205" s="124"/>
      <c r="M205" s="124"/>
      <c r="N205" s="124"/>
    </row>
    <row r="206" spans="1:14" ht="15.6">
      <c r="A206" s="124"/>
      <c r="B206" s="124"/>
      <c r="C206" s="124"/>
      <c r="D206" s="124"/>
      <c r="E206" s="124"/>
      <c r="F206" s="124"/>
      <c r="G206" s="124"/>
      <c r="H206" s="124"/>
      <c r="I206" s="124"/>
      <c r="J206" s="124"/>
      <c r="K206" s="124"/>
      <c r="L206" s="124"/>
      <c r="M206" s="124"/>
      <c r="N206" s="124"/>
    </row>
    <row r="207" spans="1:14" ht="15.6">
      <c r="A207" s="124"/>
      <c r="B207" s="124"/>
      <c r="C207" s="124"/>
      <c r="D207" s="124"/>
      <c r="E207" s="124"/>
      <c r="F207" s="124"/>
      <c r="G207" s="124"/>
      <c r="H207" s="124"/>
      <c r="I207" s="124"/>
      <c r="J207" s="124"/>
      <c r="K207" s="124"/>
      <c r="L207" s="124"/>
      <c r="M207" s="124"/>
      <c r="N207" s="124"/>
    </row>
    <row r="208" spans="1:14" ht="15.6">
      <c r="A208" s="124"/>
      <c r="B208" s="124"/>
      <c r="C208" s="124"/>
      <c r="D208" s="124"/>
      <c r="E208" s="124"/>
      <c r="F208" s="124"/>
      <c r="G208" s="124"/>
      <c r="H208" s="124"/>
      <c r="I208" s="124"/>
      <c r="J208" s="124"/>
      <c r="K208" s="124"/>
      <c r="L208" s="124"/>
      <c r="M208" s="124"/>
      <c r="N208" s="124"/>
    </row>
    <row r="209" spans="1:14" ht="15.6">
      <c r="A209" s="124"/>
      <c r="B209" s="124"/>
      <c r="C209" s="124"/>
      <c r="D209" s="124"/>
      <c r="E209" s="124"/>
      <c r="F209" s="124"/>
      <c r="G209" s="124"/>
      <c r="H209" s="124"/>
      <c r="I209" s="124"/>
      <c r="J209" s="124"/>
      <c r="K209" s="124"/>
      <c r="L209" s="124"/>
      <c r="M209" s="124"/>
      <c r="N209" s="124"/>
    </row>
    <row r="210" spans="1:14" ht="15.6">
      <c r="A210" s="124"/>
      <c r="B210" s="124"/>
      <c r="C210" s="124"/>
      <c r="D210" s="124"/>
      <c r="E210" s="124"/>
      <c r="F210" s="124"/>
      <c r="G210" s="124"/>
      <c r="H210" s="124"/>
      <c r="I210" s="124"/>
      <c r="J210" s="124"/>
      <c r="K210" s="124"/>
      <c r="L210" s="124"/>
      <c r="M210" s="124"/>
      <c r="N210" s="124"/>
    </row>
    <row r="211" spans="1:14" ht="15.6">
      <c r="A211" s="479"/>
      <c r="B211" s="124"/>
      <c r="C211" s="124"/>
      <c r="D211" s="124"/>
      <c r="E211" s="124"/>
      <c r="F211" s="124"/>
      <c r="G211" s="124"/>
      <c r="H211" s="124"/>
      <c r="I211" s="124"/>
      <c r="J211" s="124"/>
      <c r="K211" s="124"/>
      <c r="L211" s="124"/>
      <c r="M211" s="124"/>
      <c r="N211" s="124"/>
    </row>
    <row r="212" spans="1:14" ht="15.6">
      <c r="A212" s="479"/>
      <c r="B212" s="124"/>
      <c r="C212" s="124"/>
      <c r="D212" s="124"/>
      <c r="E212" s="124"/>
      <c r="F212" s="124"/>
      <c r="G212" s="124"/>
      <c r="H212" s="124"/>
      <c r="I212" s="124"/>
      <c r="J212" s="124"/>
      <c r="K212" s="124"/>
      <c r="L212" s="124"/>
      <c r="M212" s="124"/>
      <c r="N212" s="124"/>
    </row>
    <row r="213" spans="1:14" ht="15.6">
      <c r="A213" s="479"/>
      <c r="B213" s="124"/>
      <c r="C213" s="124"/>
      <c r="D213" s="124"/>
      <c r="E213" s="124"/>
      <c r="F213" s="124"/>
      <c r="G213" s="124"/>
      <c r="H213" s="124"/>
      <c r="I213" s="124"/>
      <c r="J213" s="124"/>
      <c r="K213" s="124"/>
      <c r="L213" s="124"/>
      <c r="M213" s="124"/>
      <c r="N213" s="124"/>
    </row>
    <row r="214" spans="1:14" ht="15.6">
      <c r="A214" s="479"/>
      <c r="B214" s="124"/>
      <c r="C214" s="124"/>
      <c r="D214" s="124"/>
      <c r="E214" s="124"/>
      <c r="F214" s="124"/>
      <c r="G214" s="124"/>
      <c r="H214" s="124"/>
      <c r="I214" s="124"/>
      <c r="J214" s="124"/>
      <c r="K214" s="124"/>
      <c r="L214" s="124"/>
      <c r="M214" s="124"/>
      <c r="N214" s="124"/>
    </row>
    <row r="215" spans="1:14" ht="15.6">
      <c r="A215" s="479"/>
      <c r="B215" s="124"/>
      <c r="C215" s="124"/>
      <c r="D215" s="124"/>
      <c r="E215" s="124"/>
      <c r="F215" s="124"/>
      <c r="G215" s="124"/>
      <c r="H215" s="124"/>
      <c r="I215" s="124"/>
      <c r="J215" s="124"/>
      <c r="K215" s="124"/>
      <c r="L215" s="124"/>
      <c r="M215" s="124"/>
      <c r="N215" s="124"/>
    </row>
    <row r="216" spans="1:14" ht="15.6">
      <c r="A216" s="479"/>
      <c r="B216" s="124"/>
      <c r="C216" s="124"/>
      <c r="D216" s="124"/>
      <c r="E216" s="124"/>
      <c r="F216" s="124"/>
      <c r="G216" s="124"/>
      <c r="H216" s="124"/>
      <c r="I216" s="124"/>
      <c r="J216" s="124"/>
      <c r="K216" s="124"/>
      <c r="L216" s="124"/>
      <c r="M216" s="124"/>
      <c r="N216" s="124"/>
    </row>
    <row r="217" spans="1:14" ht="15.6">
      <c r="A217" s="479"/>
      <c r="B217" s="124"/>
      <c r="C217" s="124"/>
      <c r="D217" s="124"/>
      <c r="E217" s="124"/>
      <c r="F217" s="124"/>
      <c r="G217" s="124"/>
      <c r="H217" s="124"/>
      <c r="I217" s="124"/>
      <c r="J217" s="124"/>
      <c r="K217" s="124"/>
      <c r="L217" s="124"/>
      <c r="M217" s="124"/>
      <c r="N217" s="124"/>
    </row>
    <row r="218" spans="1:14" ht="15.6">
      <c r="A218" s="479"/>
      <c r="B218" s="124"/>
      <c r="C218" s="124"/>
      <c r="D218" s="124"/>
      <c r="E218" s="124"/>
      <c r="F218" s="124"/>
      <c r="G218" s="124"/>
      <c r="H218" s="124"/>
      <c r="I218" s="124"/>
      <c r="J218" s="124"/>
      <c r="K218" s="124"/>
      <c r="L218" s="124"/>
      <c r="M218" s="124"/>
      <c r="N218" s="124"/>
    </row>
    <row r="219" spans="1:14" ht="15.6">
      <c r="A219" s="479"/>
      <c r="B219" s="124"/>
      <c r="C219" s="124"/>
      <c r="D219" s="124"/>
      <c r="E219" s="124"/>
      <c r="F219" s="124"/>
      <c r="G219" s="124"/>
      <c r="H219" s="124"/>
      <c r="I219" s="124"/>
      <c r="J219" s="124"/>
      <c r="K219" s="124"/>
      <c r="L219" s="124"/>
      <c r="M219" s="124"/>
      <c r="N219" s="124"/>
    </row>
    <row r="220" spans="1:14" ht="15.6">
      <c r="A220" s="479"/>
      <c r="B220" s="124"/>
      <c r="C220" s="124"/>
      <c r="D220" s="124"/>
      <c r="E220" s="124"/>
      <c r="F220" s="124"/>
      <c r="G220" s="124"/>
      <c r="H220" s="124"/>
      <c r="I220" s="124"/>
      <c r="J220" s="124"/>
      <c r="K220" s="124"/>
      <c r="L220" s="124"/>
      <c r="M220" s="124"/>
      <c r="N220" s="124"/>
    </row>
    <row r="221" spans="1:14" ht="15.6">
      <c r="A221" s="479"/>
      <c r="B221" s="124"/>
      <c r="C221" s="124"/>
      <c r="D221" s="124"/>
      <c r="E221" s="124"/>
      <c r="F221" s="124"/>
      <c r="G221" s="124"/>
      <c r="H221" s="124"/>
      <c r="I221" s="124"/>
      <c r="J221" s="124"/>
      <c r="K221" s="124"/>
      <c r="L221" s="124"/>
      <c r="M221" s="124"/>
      <c r="N221" s="124"/>
    </row>
    <row r="222" spans="1:14" ht="15.6">
      <c r="A222" s="479"/>
      <c r="B222" s="124"/>
      <c r="C222" s="124"/>
      <c r="D222" s="124"/>
      <c r="E222" s="124"/>
      <c r="F222" s="124"/>
      <c r="G222" s="124"/>
      <c r="H222" s="124"/>
      <c r="I222" s="124"/>
      <c r="J222" s="124"/>
      <c r="K222" s="124"/>
      <c r="L222" s="124"/>
      <c r="M222" s="124"/>
      <c r="N222" s="124"/>
    </row>
    <row r="223" spans="1:14" ht="15.6">
      <c r="A223" s="479"/>
      <c r="B223" s="124"/>
      <c r="C223" s="124"/>
      <c r="D223" s="124"/>
      <c r="E223" s="124"/>
      <c r="F223" s="124"/>
      <c r="G223" s="124"/>
      <c r="H223" s="124"/>
      <c r="I223" s="124"/>
      <c r="J223" s="124"/>
      <c r="K223" s="124"/>
      <c r="L223" s="124"/>
      <c r="M223" s="124"/>
      <c r="N223" s="124"/>
    </row>
    <row r="224" spans="1:14" ht="15.6">
      <c r="A224" s="479"/>
      <c r="B224" s="124"/>
      <c r="C224" s="124"/>
      <c r="D224" s="124"/>
      <c r="E224" s="124"/>
      <c r="F224" s="124"/>
      <c r="G224" s="124"/>
      <c r="H224" s="124"/>
      <c r="I224" s="124"/>
      <c r="J224" s="124"/>
      <c r="K224" s="124"/>
      <c r="L224" s="124"/>
      <c r="M224" s="124"/>
      <c r="N224" s="124"/>
    </row>
    <row r="225" spans="1:14" ht="15.6">
      <c r="A225" s="479"/>
      <c r="B225" s="124"/>
      <c r="C225" s="124"/>
      <c r="D225" s="124"/>
      <c r="E225" s="124"/>
      <c r="F225" s="124"/>
      <c r="G225" s="124"/>
      <c r="H225" s="124"/>
      <c r="I225" s="124"/>
      <c r="J225" s="124"/>
      <c r="K225" s="124"/>
      <c r="L225" s="124"/>
      <c r="M225" s="124"/>
      <c r="N225" s="124"/>
    </row>
    <row r="226" spans="1:14" ht="15.6">
      <c r="A226" s="479"/>
      <c r="B226" s="124"/>
      <c r="C226" s="124"/>
      <c r="D226" s="124"/>
      <c r="E226" s="124"/>
      <c r="F226" s="124"/>
      <c r="G226" s="124"/>
      <c r="H226" s="124"/>
      <c r="I226" s="124"/>
      <c r="J226" s="124"/>
      <c r="K226" s="124"/>
      <c r="L226" s="124"/>
      <c r="M226" s="124"/>
      <c r="N226" s="124"/>
    </row>
    <row r="227" spans="1:14" ht="15.6">
      <c r="A227" s="479"/>
      <c r="B227" s="124"/>
      <c r="C227" s="124"/>
      <c r="D227" s="124"/>
      <c r="E227" s="124"/>
      <c r="F227" s="124"/>
      <c r="G227" s="124"/>
      <c r="H227" s="124"/>
      <c r="I227" s="124"/>
      <c r="J227" s="124"/>
      <c r="K227" s="124"/>
      <c r="L227" s="124"/>
      <c r="M227" s="124"/>
      <c r="N227" s="124"/>
    </row>
    <row r="228" spans="1:14" ht="15.6">
      <c r="A228" s="479"/>
      <c r="B228" s="124"/>
      <c r="C228" s="124"/>
      <c r="D228" s="124"/>
      <c r="E228" s="124"/>
      <c r="F228" s="124"/>
      <c r="G228" s="124"/>
      <c r="H228" s="124"/>
      <c r="I228" s="124"/>
      <c r="J228" s="124"/>
      <c r="K228" s="124"/>
      <c r="L228" s="124"/>
      <c r="M228" s="124"/>
      <c r="N228" s="124"/>
    </row>
    <row r="229" spans="1:14" ht="15.6">
      <c r="A229" s="479"/>
      <c r="B229" s="124"/>
      <c r="C229" s="124"/>
      <c r="D229" s="124"/>
      <c r="E229" s="124"/>
      <c r="F229" s="124"/>
      <c r="G229" s="124"/>
      <c r="H229" s="124"/>
      <c r="I229" s="124"/>
      <c r="J229" s="124"/>
      <c r="K229" s="124"/>
      <c r="L229" s="124"/>
      <c r="M229" s="124"/>
      <c r="N229" s="124"/>
    </row>
    <row r="230" spans="1:14" ht="15.6">
      <c r="A230" s="479"/>
      <c r="B230" s="124"/>
      <c r="C230" s="124"/>
      <c r="D230" s="124"/>
      <c r="E230" s="124"/>
      <c r="F230" s="124"/>
      <c r="G230" s="124"/>
      <c r="H230" s="124"/>
      <c r="I230" s="124"/>
      <c r="J230" s="124"/>
      <c r="K230" s="124"/>
      <c r="L230" s="124"/>
      <c r="M230" s="124"/>
      <c r="N230" s="124"/>
    </row>
    <row r="231" spans="1:14" ht="15.6">
      <c r="A231" s="479"/>
      <c r="B231" s="124"/>
      <c r="C231" s="124"/>
      <c r="D231" s="124"/>
      <c r="E231" s="124"/>
      <c r="F231" s="124"/>
      <c r="G231" s="124"/>
      <c r="H231" s="124"/>
      <c r="I231" s="124"/>
      <c r="J231" s="124"/>
      <c r="K231" s="124"/>
      <c r="L231" s="124"/>
      <c r="M231" s="124"/>
      <c r="N231" s="124"/>
    </row>
    <row r="232" spans="1:14" ht="15.6">
      <c r="A232" s="479"/>
      <c r="B232" s="124"/>
      <c r="C232" s="124"/>
      <c r="D232" s="124"/>
      <c r="E232" s="124"/>
      <c r="F232" s="124"/>
      <c r="G232" s="124"/>
      <c r="H232" s="124"/>
      <c r="I232" s="124"/>
      <c r="J232" s="124"/>
      <c r="K232" s="124"/>
      <c r="L232" s="124"/>
      <c r="M232" s="124"/>
      <c r="N232" s="124"/>
    </row>
    <row r="233" spans="1:14" ht="15.6">
      <c r="A233" s="479"/>
      <c r="B233" s="124"/>
      <c r="C233" s="124"/>
      <c r="D233" s="124"/>
      <c r="E233" s="124"/>
      <c r="F233" s="124"/>
      <c r="G233" s="124"/>
      <c r="H233" s="124"/>
      <c r="I233" s="124"/>
      <c r="J233" s="124"/>
      <c r="K233" s="124"/>
      <c r="L233" s="124"/>
      <c r="M233" s="124"/>
      <c r="N233" s="124"/>
    </row>
    <row r="234" spans="1:14" ht="15.6">
      <c r="A234" s="479"/>
      <c r="B234" s="124"/>
      <c r="C234" s="124"/>
      <c r="D234" s="124"/>
      <c r="E234" s="124"/>
      <c r="F234" s="124"/>
      <c r="G234" s="124"/>
      <c r="H234" s="124"/>
      <c r="I234" s="124"/>
      <c r="J234" s="124"/>
      <c r="K234" s="124"/>
      <c r="L234" s="124"/>
      <c r="M234" s="124"/>
      <c r="N234" s="124"/>
    </row>
    <row r="235" spans="1:14" ht="15.6">
      <c r="A235" s="479"/>
      <c r="B235" s="124"/>
      <c r="C235" s="124"/>
      <c r="D235" s="124"/>
      <c r="E235" s="124"/>
      <c r="F235" s="124"/>
      <c r="G235" s="124"/>
      <c r="H235" s="124"/>
      <c r="I235" s="124"/>
      <c r="J235" s="124"/>
      <c r="K235" s="124"/>
      <c r="L235" s="124"/>
      <c r="M235" s="124"/>
      <c r="N235" s="124"/>
    </row>
    <row r="236" spans="1:14" ht="15.6">
      <c r="A236" s="479"/>
      <c r="B236" s="124"/>
      <c r="C236" s="124"/>
      <c r="D236" s="124"/>
      <c r="E236" s="124"/>
      <c r="F236" s="124"/>
      <c r="G236" s="124"/>
      <c r="H236" s="124"/>
      <c r="I236" s="124"/>
      <c r="J236" s="124"/>
      <c r="K236" s="124"/>
      <c r="L236" s="124"/>
      <c r="M236" s="124"/>
      <c r="N236" s="124"/>
    </row>
    <row r="237" spans="1:14" ht="15.6">
      <c r="A237" s="479"/>
      <c r="B237" s="124"/>
      <c r="C237" s="124"/>
      <c r="D237" s="124"/>
      <c r="E237" s="124"/>
      <c r="F237" s="124"/>
      <c r="G237" s="124"/>
      <c r="H237" s="124"/>
      <c r="I237" s="124"/>
      <c r="J237" s="124"/>
      <c r="K237" s="124"/>
      <c r="L237" s="124"/>
      <c r="M237" s="124"/>
      <c r="N237" s="124"/>
    </row>
    <row r="238" spans="1:14" ht="15.6">
      <c r="A238" s="479"/>
      <c r="B238" s="124"/>
      <c r="C238" s="124"/>
      <c r="D238" s="124"/>
      <c r="E238" s="124"/>
      <c r="F238" s="124"/>
      <c r="G238" s="124"/>
      <c r="H238" s="124"/>
      <c r="I238" s="124"/>
      <c r="J238" s="124"/>
      <c r="K238" s="124"/>
      <c r="L238" s="124"/>
      <c r="M238" s="124"/>
      <c r="N238" s="124"/>
    </row>
    <row r="239" spans="1:14" ht="15.6">
      <c r="A239" s="479"/>
      <c r="B239" s="124"/>
      <c r="C239" s="124"/>
      <c r="D239" s="124"/>
      <c r="E239" s="124"/>
      <c r="F239" s="124"/>
      <c r="G239" s="124"/>
      <c r="H239" s="124"/>
      <c r="I239" s="124"/>
      <c r="J239" s="124"/>
      <c r="K239" s="124"/>
      <c r="L239" s="124"/>
      <c r="M239" s="124"/>
      <c r="N239" s="124"/>
    </row>
    <row r="240" spans="1:14" ht="15.6">
      <c r="A240" s="479"/>
      <c r="B240" s="124"/>
      <c r="C240" s="124"/>
      <c r="D240" s="124"/>
      <c r="E240" s="124"/>
      <c r="F240" s="124"/>
      <c r="G240" s="124"/>
      <c r="H240" s="124"/>
      <c r="I240" s="124"/>
      <c r="J240" s="124"/>
      <c r="K240" s="124"/>
      <c r="L240" s="124"/>
      <c r="M240" s="124"/>
      <c r="N240" s="124"/>
    </row>
    <row r="241" spans="1:14" ht="15.6">
      <c r="A241" s="479"/>
      <c r="B241" s="124"/>
      <c r="C241" s="124"/>
      <c r="D241" s="124"/>
      <c r="E241" s="124"/>
      <c r="F241" s="124"/>
      <c r="G241" s="124"/>
      <c r="H241" s="124"/>
      <c r="I241" s="124"/>
      <c r="J241" s="124"/>
      <c r="K241" s="124"/>
      <c r="L241" s="124"/>
      <c r="M241" s="124"/>
      <c r="N241" s="124"/>
    </row>
    <row r="242" spans="1:14" ht="15.6">
      <c r="A242" s="479"/>
      <c r="B242" s="124"/>
      <c r="C242" s="124"/>
      <c r="D242" s="124"/>
      <c r="E242" s="124"/>
      <c r="F242" s="124"/>
      <c r="G242" s="124"/>
      <c r="H242" s="124"/>
      <c r="I242" s="124"/>
      <c r="J242" s="124"/>
      <c r="K242" s="124"/>
      <c r="L242" s="124"/>
      <c r="M242" s="124"/>
      <c r="N242" s="124"/>
    </row>
    <row r="243" spans="1:14" ht="15.6">
      <c r="A243" s="479"/>
      <c r="B243" s="124"/>
      <c r="C243" s="124"/>
      <c r="D243" s="124"/>
      <c r="E243" s="124"/>
      <c r="F243" s="124"/>
      <c r="G243" s="124"/>
      <c r="H243" s="124"/>
      <c r="I243" s="124"/>
      <c r="J243" s="124"/>
      <c r="K243" s="124"/>
      <c r="L243" s="124"/>
      <c r="M243" s="124"/>
      <c r="N243" s="124"/>
    </row>
    <row r="244" spans="1:14" ht="15.6">
      <c r="A244" s="479"/>
      <c r="B244" s="124"/>
      <c r="C244" s="124"/>
      <c r="D244" s="124"/>
      <c r="E244" s="124"/>
      <c r="F244" s="124"/>
      <c r="G244" s="124"/>
      <c r="H244" s="124"/>
      <c r="I244" s="124"/>
      <c r="J244" s="124"/>
      <c r="K244" s="124"/>
      <c r="L244" s="124"/>
      <c r="M244" s="124"/>
      <c r="N244" s="124"/>
    </row>
    <row r="245" spans="1:14" ht="15.6">
      <c r="A245" s="479"/>
      <c r="B245" s="124"/>
      <c r="C245" s="124"/>
      <c r="D245" s="124"/>
      <c r="E245" s="124"/>
      <c r="F245" s="124"/>
      <c r="G245" s="124"/>
      <c r="H245" s="124"/>
      <c r="I245" s="124"/>
      <c r="J245" s="124"/>
      <c r="K245" s="124"/>
      <c r="L245" s="124"/>
      <c r="M245" s="124"/>
      <c r="N245" s="124"/>
    </row>
    <row r="246" spans="1:14" ht="15.6">
      <c r="A246" s="479"/>
      <c r="B246" s="124"/>
      <c r="C246" s="124"/>
      <c r="D246" s="124"/>
      <c r="E246" s="124"/>
      <c r="F246" s="124"/>
      <c r="G246" s="124"/>
      <c r="H246" s="124"/>
      <c r="I246" s="124"/>
      <c r="J246" s="124"/>
      <c r="K246" s="124"/>
      <c r="L246" s="124"/>
      <c r="M246" s="124"/>
      <c r="N246" s="124"/>
    </row>
    <row r="247" spans="1:14" ht="15.6">
      <c r="A247" s="479"/>
      <c r="B247" s="124"/>
      <c r="C247" s="124"/>
      <c r="D247" s="124"/>
      <c r="E247" s="124"/>
      <c r="F247" s="124"/>
      <c r="G247" s="124"/>
      <c r="H247" s="124"/>
      <c r="I247" s="124"/>
      <c r="J247" s="124"/>
      <c r="K247" s="124"/>
      <c r="L247" s="124"/>
      <c r="M247" s="124"/>
      <c r="N247" s="124"/>
    </row>
    <row r="248" spans="1:14" ht="15.6">
      <c r="A248" s="479"/>
      <c r="B248" s="124"/>
      <c r="C248" s="124"/>
      <c r="D248" s="124"/>
      <c r="E248" s="124"/>
      <c r="F248" s="124"/>
      <c r="G248" s="124"/>
      <c r="H248" s="124"/>
      <c r="I248" s="124"/>
      <c r="J248" s="124"/>
      <c r="K248" s="124"/>
      <c r="L248" s="124"/>
      <c r="M248" s="124"/>
      <c r="N248" s="124"/>
    </row>
    <row r="249" spans="1:14" ht="15.6">
      <c r="A249" s="479"/>
      <c r="B249" s="124"/>
      <c r="C249" s="124"/>
      <c r="D249" s="124"/>
      <c r="E249" s="124"/>
      <c r="F249" s="124"/>
      <c r="G249" s="124"/>
      <c r="H249" s="124"/>
      <c r="I249" s="124"/>
      <c r="J249" s="124"/>
      <c r="K249" s="124"/>
      <c r="L249" s="124"/>
      <c r="M249" s="124"/>
      <c r="N249" s="124"/>
    </row>
    <row r="250" spans="1:14" ht="15.6">
      <c r="A250" s="479"/>
      <c r="B250" s="124"/>
      <c r="C250" s="124"/>
      <c r="D250" s="124"/>
      <c r="E250" s="124"/>
      <c r="F250" s="124"/>
      <c r="G250" s="124"/>
      <c r="H250" s="124"/>
      <c r="I250" s="124"/>
      <c r="J250" s="124"/>
      <c r="K250" s="124"/>
      <c r="L250" s="124"/>
      <c r="M250" s="124"/>
      <c r="N250" s="124"/>
    </row>
    <row r="251" spans="1:14" ht="15.6">
      <c r="A251" s="479"/>
      <c r="B251" s="124"/>
      <c r="C251" s="124"/>
      <c r="D251" s="124"/>
      <c r="E251" s="124"/>
      <c r="F251" s="124"/>
      <c r="G251" s="124"/>
      <c r="H251" s="124"/>
      <c r="I251" s="124"/>
      <c r="J251" s="124"/>
      <c r="K251" s="124"/>
      <c r="L251" s="124"/>
      <c r="M251" s="124"/>
      <c r="N251" s="124"/>
    </row>
    <row r="252" spans="1:14" ht="15.6">
      <c r="A252" s="479"/>
      <c r="B252" s="124"/>
      <c r="C252" s="124"/>
      <c r="D252" s="124"/>
      <c r="E252" s="124"/>
      <c r="F252" s="124"/>
      <c r="G252" s="124"/>
      <c r="H252" s="124"/>
      <c r="I252" s="124"/>
      <c r="J252" s="124"/>
      <c r="K252" s="124"/>
      <c r="L252" s="124"/>
      <c r="M252" s="124"/>
      <c r="N252" s="124"/>
    </row>
  </sheetData>
  <mergeCells count="24">
    <mergeCell ref="J34:M34"/>
    <mergeCell ref="A52:F52"/>
    <mergeCell ref="J52:M52"/>
    <mergeCell ref="D1:I1"/>
    <mergeCell ref="D2:I2"/>
    <mergeCell ref="A3:F3"/>
    <mergeCell ref="J3:M3"/>
    <mergeCell ref="A33:F33"/>
    <mergeCell ref="J33:M33"/>
    <mergeCell ref="C44:J48"/>
    <mergeCell ref="J53:M53"/>
    <mergeCell ref="A61:F61"/>
    <mergeCell ref="J61:M61"/>
    <mergeCell ref="A70:F70"/>
    <mergeCell ref="L70:M70"/>
    <mergeCell ref="J66:M66"/>
    <mergeCell ref="J118:M118"/>
    <mergeCell ref="A118:F118"/>
    <mergeCell ref="A77:F77"/>
    <mergeCell ref="J77:M77"/>
    <mergeCell ref="J85:M85"/>
    <mergeCell ref="A88:F88"/>
    <mergeCell ref="I90:M90"/>
    <mergeCell ref="I88:M88"/>
  </mergeCells>
  <printOptions horizontalCentered="1"/>
  <pageMargins left="0.25" right="0.25" top="0.75" bottom="0.75" header="0.5" footer="0.5"/>
  <pageSetup scale="59" fitToHeight="0" orientation="landscape" r:id="rId1"/>
  <headerFooter alignWithMargins="0"/>
  <rowBreaks count="4" manualBreakCount="4">
    <brk id="50" max="12" man="1"/>
    <brk id="93" max="12" man="1"/>
    <brk id="115" max="12" man="1"/>
    <brk id="150"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44"/>
  <sheetViews>
    <sheetView view="pageBreakPreview" zoomScale="60" zoomScaleNormal="100" workbookViewId="0"/>
  </sheetViews>
  <sheetFormatPr defaultRowHeight="15.6"/>
  <cols>
    <col min="1" max="1" width="8.81640625" style="253" customWidth="1"/>
    <col min="2" max="2" width="41.1796875" style="253" customWidth="1"/>
    <col min="3" max="3" width="23.6328125" style="253" customWidth="1"/>
    <col min="4" max="4" width="13.453125" style="253" bestFit="1" customWidth="1"/>
    <col min="5" max="5" width="13.54296875" style="253" customWidth="1"/>
    <col min="6" max="6" width="13.453125" style="253" customWidth="1"/>
    <col min="7" max="7" width="14" style="253" customWidth="1"/>
    <col min="8" max="8" width="13.81640625" style="253" customWidth="1"/>
    <col min="9" max="9" width="13.453125" style="253" customWidth="1"/>
    <col min="10" max="10" width="14" style="253" customWidth="1"/>
    <col min="11" max="12" width="13.453125" style="253" bestFit="1" customWidth="1"/>
    <col min="13" max="13" width="14.1796875" style="253" bestFit="1" customWidth="1"/>
    <col min="14" max="14" width="14" style="253" customWidth="1"/>
    <col min="15" max="16" width="15.81640625" style="253" customWidth="1"/>
    <col min="17" max="17" width="15.1796875" style="253" customWidth="1"/>
    <col min="18" max="18" width="16.6328125" style="253" customWidth="1"/>
    <col min="19" max="19" width="14.1796875" bestFit="1" customWidth="1"/>
  </cols>
  <sheetData>
    <row r="1" spans="1:18" ht="17.399999999999999">
      <c r="E1" s="1339" t="s">
        <v>401</v>
      </c>
      <c r="F1" s="1339"/>
      <c r="G1" s="1339"/>
      <c r="H1" s="1339"/>
      <c r="I1" s="1339"/>
      <c r="J1" s="1339"/>
      <c r="O1" s="124"/>
    </row>
    <row r="2" spans="1:18" ht="17.399999999999999">
      <c r="A2" s="491" t="s">
        <v>503</v>
      </c>
      <c r="E2" s="1339" t="str">
        <f>'Appendix A'!$E$9</f>
        <v>New York Transco LLC</v>
      </c>
      <c r="F2" s="1339"/>
      <c r="G2" s="1339"/>
      <c r="H2" s="1339"/>
      <c r="I2" s="1339"/>
      <c r="J2" s="1339"/>
    </row>
    <row r="3" spans="1:18" ht="16.2" thickBot="1">
      <c r="A3" s="1350"/>
      <c r="B3" s="1350"/>
      <c r="C3" s="1350"/>
      <c r="D3" s="1350"/>
      <c r="E3" s="1350"/>
      <c r="F3" s="1350"/>
      <c r="G3" s="853"/>
      <c r="H3" s="1351"/>
      <c r="I3" s="1352"/>
      <c r="J3" s="1352"/>
      <c r="K3" s="1352"/>
      <c r="L3" s="1352"/>
      <c r="M3" s="1352"/>
      <c r="N3" s="854"/>
      <c r="O3" s="854"/>
      <c r="P3" s="854"/>
      <c r="Q3" s="854"/>
    </row>
    <row r="4" spans="1:18">
      <c r="A4" s="855"/>
      <c r="B4" s="856"/>
      <c r="C4" s="857"/>
      <c r="D4" s="858"/>
      <c r="E4" s="859"/>
      <c r="F4" s="859"/>
      <c r="G4" s="859"/>
      <c r="H4" s="858"/>
      <c r="I4" s="858"/>
      <c r="J4" s="858"/>
      <c r="K4" s="858"/>
      <c r="L4" s="858"/>
      <c r="M4" s="858"/>
      <c r="N4" s="860"/>
      <c r="O4" s="860"/>
      <c r="P4" s="860"/>
      <c r="Q4" s="861"/>
    </row>
    <row r="5" spans="1:18">
      <c r="A5" s="862"/>
      <c r="B5" s="833"/>
      <c r="C5" s="833"/>
      <c r="D5" s="834"/>
      <c r="E5" s="834"/>
      <c r="F5" s="834"/>
      <c r="G5" s="834"/>
      <c r="H5" s="834"/>
      <c r="I5" s="834"/>
      <c r="J5" s="834"/>
      <c r="K5" s="834"/>
      <c r="L5" s="834"/>
      <c r="M5" s="834"/>
      <c r="N5" s="834"/>
      <c r="O5" s="834"/>
      <c r="P5" s="834"/>
      <c r="Q5" s="835"/>
    </row>
    <row r="6" spans="1:18">
      <c r="A6" s="836"/>
      <c r="B6" s="833"/>
      <c r="C6" s="863" t="s">
        <v>504</v>
      </c>
      <c r="D6" s="834"/>
      <c r="E6" s="834"/>
      <c r="F6" s="834"/>
      <c r="G6" s="834"/>
      <c r="H6" s="834"/>
      <c r="I6" s="834"/>
      <c r="J6" s="834"/>
      <c r="K6" s="834"/>
      <c r="L6" s="834"/>
      <c r="M6" s="834"/>
      <c r="N6" s="834"/>
      <c r="O6" s="834"/>
      <c r="P6" s="834"/>
      <c r="Q6" s="835"/>
    </row>
    <row r="7" spans="1:18">
      <c r="A7" s="864" t="s">
        <v>290</v>
      </c>
      <c r="B7" s="865" t="s">
        <v>505</v>
      </c>
      <c r="C7" s="865" t="s">
        <v>506</v>
      </c>
      <c r="D7" s="866" t="s">
        <v>329</v>
      </c>
      <c r="E7" s="866" t="s">
        <v>331</v>
      </c>
      <c r="F7" s="866" t="s">
        <v>333</v>
      </c>
      <c r="G7" s="866" t="s">
        <v>334</v>
      </c>
      <c r="H7" s="866" t="s">
        <v>335</v>
      </c>
      <c r="I7" s="866" t="s">
        <v>336</v>
      </c>
      <c r="J7" s="866" t="s">
        <v>507</v>
      </c>
      <c r="K7" s="866" t="s">
        <v>338</v>
      </c>
      <c r="L7" s="866" t="s">
        <v>339</v>
      </c>
      <c r="M7" s="866" t="s">
        <v>340</v>
      </c>
      <c r="N7" s="866" t="s">
        <v>347</v>
      </c>
      <c r="O7" s="866" t="s">
        <v>342</v>
      </c>
      <c r="P7" s="866" t="s">
        <v>329</v>
      </c>
      <c r="Q7" s="867" t="s">
        <v>508</v>
      </c>
    </row>
    <row r="8" spans="1:18">
      <c r="A8" s="836"/>
      <c r="D8" s="837" t="s">
        <v>509</v>
      </c>
      <c r="E8" s="837" t="s">
        <v>510</v>
      </c>
      <c r="F8" s="837" t="s">
        <v>511</v>
      </c>
      <c r="G8" s="837" t="s">
        <v>512</v>
      </c>
      <c r="H8" s="837" t="s">
        <v>513</v>
      </c>
      <c r="I8" s="837" t="s">
        <v>514</v>
      </c>
      <c r="J8" s="837" t="s">
        <v>515</v>
      </c>
      <c r="K8" s="837" t="s">
        <v>516</v>
      </c>
      <c r="L8" s="837" t="s">
        <v>517</v>
      </c>
      <c r="M8" s="837" t="s">
        <v>518</v>
      </c>
      <c r="N8" s="837" t="s">
        <v>519</v>
      </c>
      <c r="O8" s="837" t="s">
        <v>520</v>
      </c>
      <c r="P8" s="837" t="s">
        <v>521</v>
      </c>
      <c r="Q8" s="838" t="s">
        <v>522</v>
      </c>
    </row>
    <row r="9" spans="1:18">
      <c r="A9" s="836">
        <v>244</v>
      </c>
      <c r="B9" s="253" t="s">
        <v>523</v>
      </c>
      <c r="D9" s="1114"/>
      <c r="E9" s="1114"/>
      <c r="F9" s="839"/>
      <c r="G9" s="1114"/>
      <c r="H9" s="1114"/>
      <c r="I9" s="1114"/>
      <c r="J9" s="1114"/>
      <c r="K9" s="1114"/>
      <c r="L9" s="839"/>
      <c r="M9" s="1114"/>
      <c r="N9" s="1114"/>
      <c r="O9" s="1114"/>
      <c r="P9" s="1246"/>
      <c r="Q9" s="840"/>
      <c r="R9" s="1228"/>
    </row>
    <row r="10" spans="1:18">
      <c r="A10" s="836">
        <f t="shared" ref="A10:A40" si="0">A9+1</f>
        <v>245</v>
      </c>
      <c r="B10" s="841" t="s">
        <v>524</v>
      </c>
      <c r="C10" s="833" t="s">
        <v>525</v>
      </c>
      <c r="D10" s="844">
        <v>0</v>
      </c>
      <c r="E10" s="844">
        <v>0</v>
      </c>
      <c r="F10" s="844">
        <v>0</v>
      </c>
      <c r="G10" s="844">
        <v>0</v>
      </c>
      <c r="H10" s="844">
        <v>0</v>
      </c>
      <c r="I10" s="844">
        <v>0</v>
      </c>
      <c r="J10" s="844">
        <v>0</v>
      </c>
      <c r="K10" s="844">
        <v>0</v>
      </c>
      <c r="L10" s="844">
        <v>0</v>
      </c>
      <c r="M10" s="844">
        <v>0</v>
      </c>
      <c r="N10" s="844">
        <v>0</v>
      </c>
      <c r="O10" s="844">
        <v>0</v>
      </c>
      <c r="P10" s="844">
        <v>0</v>
      </c>
      <c r="Q10" s="840">
        <f>AVERAGE(D10:P10)</f>
        <v>0</v>
      </c>
    </row>
    <row r="11" spans="1:18">
      <c r="A11" s="836">
        <f t="shared" si="0"/>
        <v>246</v>
      </c>
      <c r="B11" s="841" t="s">
        <v>526</v>
      </c>
      <c r="C11" s="833" t="s">
        <v>527</v>
      </c>
      <c r="D11" s="868">
        <v>0</v>
      </c>
      <c r="E11" s="868">
        <v>0</v>
      </c>
      <c r="F11" s="868">
        <v>0</v>
      </c>
      <c r="G11" s="868">
        <v>0</v>
      </c>
      <c r="H11" s="868">
        <v>0</v>
      </c>
      <c r="I11" s="868">
        <v>0</v>
      </c>
      <c r="J11" s="868">
        <v>0</v>
      </c>
      <c r="K11" s="868">
        <v>0</v>
      </c>
      <c r="L11" s="868">
        <v>0</v>
      </c>
      <c r="M11" s="868">
        <v>0</v>
      </c>
      <c r="N11" s="868">
        <v>0</v>
      </c>
      <c r="O11" s="868">
        <v>0</v>
      </c>
      <c r="P11" s="868">
        <v>0</v>
      </c>
      <c r="Q11" s="869">
        <f>AVERAGE(D11:P11)</f>
        <v>0</v>
      </c>
    </row>
    <row r="12" spans="1:18">
      <c r="A12" s="836">
        <f t="shared" si="0"/>
        <v>247</v>
      </c>
      <c r="B12" s="841" t="s">
        <v>528</v>
      </c>
      <c r="C12" s="833" t="s">
        <v>529</v>
      </c>
      <c r="D12" s="868">
        <v>307637000</v>
      </c>
      <c r="E12" s="868">
        <f>D12</f>
        <v>307637000</v>
      </c>
      <c r="F12" s="868">
        <f>E12+50000000-5000000</f>
        <v>352637000</v>
      </c>
      <c r="G12" s="868">
        <f t="shared" ref="G12:P12" si="1">F12</f>
        <v>352637000</v>
      </c>
      <c r="H12" s="868">
        <f t="shared" si="1"/>
        <v>352637000</v>
      </c>
      <c r="I12" s="868">
        <f>H12-1750000+32000000</f>
        <v>382887000</v>
      </c>
      <c r="J12" s="868">
        <f t="shared" si="1"/>
        <v>382887000</v>
      </c>
      <c r="K12" s="868">
        <f t="shared" si="1"/>
        <v>382887000</v>
      </c>
      <c r="L12" s="868">
        <f>K12+13000000</f>
        <v>395887000</v>
      </c>
      <c r="M12" s="868">
        <f t="shared" si="1"/>
        <v>395887000</v>
      </c>
      <c r="N12" s="868">
        <f t="shared" si="1"/>
        <v>395887000</v>
      </c>
      <c r="O12" s="868">
        <f>N12-1750000+7000000</f>
        <v>401137000</v>
      </c>
      <c r="P12" s="868">
        <f t="shared" si="1"/>
        <v>401137000</v>
      </c>
      <c r="Q12" s="869">
        <f>AVERAGE(D12:P12)</f>
        <v>370137000</v>
      </c>
    </row>
    <row r="13" spans="1:18" ht="16.2" thickBot="1">
      <c r="A13" s="836">
        <f t="shared" si="0"/>
        <v>248</v>
      </c>
      <c r="B13" s="842" t="s">
        <v>530</v>
      </c>
      <c r="C13" s="833" t="s">
        <v>531</v>
      </c>
      <c r="D13" s="846">
        <v>0</v>
      </c>
      <c r="E13" s="846">
        <v>0</v>
      </c>
      <c r="F13" s="846">
        <v>0</v>
      </c>
      <c r="G13" s="846">
        <v>0</v>
      </c>
      <c r="H13" s="846">
        <v>0</v>
      </c>
      <c r="I13" s="846">
        <v>0</v>
      </c>
      <c r="J13" s="846">
        <v>0</v>
      </c>
      <c r="K13" s="846">
        <v>0</v>
      </c>
      <c r="L13" s="846">
        <v>0</v>
      </c>
      <c r="M13" s="846">
        <v>0</v>
      </c>
      <c r="N13" s="846">
        <v>0</v>
      </c>
      <c r="O13" s="846">
        <v>0</v>
      </c>
      <c r="P13" s="846">
        <v>0</v>
      </c>
      <c r="Q13" s="869">
        <f>AVERAGE(D13:P13)</f>
        <v>0</v>
      </c>
    </row>
    <row r="14" spans="1:18" ht="16.2" thickBot="1">
      <c r="A14" s="836">
        <f t="shared" si="0"/>
        <v>249</v>
      </c>
      <c r="B14" s="843" t="s">
        <v>532</v>
      </c>
      <c r="C14" s="833" t="str">
        <f>"Sum Lines "&amp;A9&amp;" - "&amp;A13</f>
        <v>Sum Lines 244 - 248</v>
      </c>
      <c r="D14" s="839">
        <f>SUM(D10:D13)</f>
        <v>307637000</v>
      </c>
      <c r="E14" s="839">
        <f>SUM(E10:E13)</f>
        <v>307637000</v>
      </c>
      <c r="F14" s="839">
        <f t="shared" ref="F14:P14" si="2">SUM(F10:F13)</f>
        <v>352637000</v>
      </c>
      <c r="G14" s="839">
        <f t="shared" si="2"/>
        <v>352637000</v>
      </c>
      <c r="H14" s="839">
        <f t="shared" si="2"/>
        <v>352637000</v>
      </c>
      <c r="I14" s="839">
        <f t="shared" si="2"/>
        <v>382887000</v>
      </c>
      <c r="J14" s="839">
        <f t="shared" si="2"/>
        <v>382887000</v>
      </c>
      <c r="K14" s="839">
        <f t="shared" si="2"/>
        <v>382887000</v>
      </c>
      <c r="L14" s="839">
        <f t="shared" si="2"/>
        <v>395887000</v>
      </c>
      <c r="M14" s="839">
        <f t="shared" si="2"/>
        <v>395887000</v>
      </c>
      <c r="N14" s="839">
        <f t="shared" si="2"/>
        <v>395887000</v>
      </c>
      <c r="O14" s="839">
        <f t="shared" si="2"/>
        <v>401137000</v>
      </c>
      <c r="P14" s="839">
        <f t="shared" si="2"/>
        <v>401137000</v>
      </c>
      <c r="Q14" s="847">
        <f>SUM(Q10:Q13)</f>
        <v>370137000</v>
      </c>
    </row>
    <row r="15" spans="1:18" ht="16.2" thickBot="1">
      <c r="A15" s="836">
        <f t="shared" si="0"/>
        <v>250</v>
      </c>
      <c r="D15" s="839"/>
      <c r="E15" s="839"/>
      <c r="F15" s="839"/>
      <c r="G15" s="839"/>
      <c r="H15" s="839"/>
      <c r="I15" s="839"/>
      <c r="J15" s="839"/>
      <c r="K15" s="839"/>
      <c r="L15" s="839"/>
      <c r="M15" s="839"/>
      <c r="N15" s="839"/>
      <c r="O15" s="839"/>
      <c r="P15" s="839"/>
      <c r="Q15" s="840"/>
    </row>
    <row r="16" spans="1:18" ht="16.2" thickBot="1">
      <c r="A16" s="836">
        <f t="shared" si="0"/>
        <v>251</v>
      </c>
      <c r="B16" s="843" t="s">
        <v>533</v>
      </c>
      <c r="C16" s="833" t="s">
        <v>534</v>
      </c>
      <c r="D16" s="844">
        <v>0</v>
      </c>
      <c r="E16" s="844">
        <v>0</v>
      </c>
      <c r="F16" s="844">
        <v>0</v>
      </c>
      <c r="G16" s="844">
        <v>0</v>
      </c>
      <c r="H16" s="844">
        <v>0</v>
      </c>
      <c r="I16" s="844">
        <v>0</v>
      </c>
      <c r="J16" s="844">
        <v>0</v>
      </c>
      <c r="K16" s="844">
        <v>0</v>
      </c>
      <c r="L16" s="844">
        <v>0</v>
      </c>
      <c r="M16" s="844">
        <v>0</v>
      </c>
      <c r="N16" s="844">
        <v>0</v>
      </c>
      <c r="O16" s="844">
        <v>0</v>
      </c>
      <c r="P16" s="845">
        <v>0</v>
      </c>
      <c r="Q16" s="847">
        <f>AVERAGE(D16:P16)</f>
        <v>0</v>
      </c>
    </row>
    <row r="17" spans="1:19">
      <c r="A17" s="836">
        <f t="shared" si="0"/>
        <v>252</v>
      </c>
      <c r="D17" s="839"/>
      <c r="E17" s="839"/>
      <c r="F17" s="839"/>
      <c r="G17" s="839"/>
      <c r="H17" s="839"/>
      <c r="I17" s="839"/>
      <c r="J17" s="839"/>
      <c r="K17" s="839"/>
      <c r="L17" s="839"/>
      <c r="M17" s="839"/>
      <c r="N17" s="839"/>
      <c r="O17" s="839"/>
      <c r="P17" s="839"/>
      <c r="Q17" s="840"/>
    </row>
    <row r="18" spans="1:19">
      <c r="A18" s="836">
        <f t="shared" si="0"/>
        <v>253</v>
      </c>
      <c r="B18" s="253" t="s">
        <v>535</v>
      </c>
      <c r="C18" s="833" t="s">
        <v>536</v>
      </c>
      <c r="D18" s="844">
        <v>344910111</v>
      </c>
      <c r="E18" s="1221">
        <f>D18+ROUND(46789090/12,0)</f>
        <v>348809202</v>
      </c>
      <c r="F18" s="1221">
        <f t="shared" ref="F18:O18" si="3">E18+ROUND(46789090/12,0)</f>
        <v>352708293</v>
      </c>
      <c r="G18" s="1221">
        <f>F18+ROUND(46789090/12,0)-ROUND(46789090/4,0)+56000000</f>
        <v>400910111</v>
      </c>
      <c r="H18" s="1221">
        <f t="shared" si="3"/>
        <v>404809202</v>
      </c>
      <c r="I18" s="1221">
        <f t="shared" si="3"/>
        <v>408708293</v>
      </c>
      <c r="J18" s="1221">
        <f>I18+ROUND(46789090/12,0)-ROUND(46789090/4,0)+36000000</f>
        <v>436910111</v>
      </c>
      <c r="K18" s="1221">
        <f t="shared" si="3"/>
        <v>440809202</v>
      </c>
      <c r="L18" s="1221">
        <f t="shared" si="3"/>
        <v>444708293</v>
      </c>
      <c r="M18" s="1221">
        <f>L18+ROUND(46789090/12,0)-ROUND(46789090/4,0)+14000000</f>
        <v>450910111</v>
      </c>
      <c r="N18" s="1221">
        <f t="shared" si="3"/>
        <v>454809202</v>
      </c>
      <c r="O18" s="1221">
        <f t="shared" si="3"/>
        <v>458708293</v>
      </c>
      <c r="P18" s="844">
        <f>O18+ROUND(46789090/12,0)-ROUND(46789090/4,0)+8000000</f>
        <v>458910111</v>
      </c>
      <c r="Q18" s="840">
        <f>AVERAGE(D18:P18)</f>
        <v>415893887.30769229</v>
      </c>
    </row>
    <row r="19" spans="1:19">
      <c r="A19" s="836">
        <f t="shared" si="0"/>
        <v>254</v>
      </c>
      <c r="B19" s="841" t="s">
        <v>537</v>
      </c>
      <c r="C19" s="833" t="s">
        <v>534</v>
      </c>
      <c r="D19" s="844">
        <v>0</v>
      </c>
      <c r="E19" s="844">
        <v>0</v>
      </c>
      <c r="F19" s="844">
        <v>0</v>
      </c>
      <c r="G19" s="844">
        <v>0</v>
      </c>
      <c r="H19" s="844">
        <v>0</v>
      </c>
      <c r="I19" s="844">
        <v>0</v>
      </c>
      <c r="J19" s="844">
        <v>0</v>
      </c>
      <c r="K19" s="844">
        <v>0</v>
      </c>
      <c r="L19" s="844">
        <v>0</v>
      </c>
      <c r="M19" s="844">
        <v>0</v>
      </c>
      <c r="N19" s="844">
        <v>0</v>
      </c>
      <c r="O19" s="844">
        <v>0</v>
      </c>
      <c r="P19" s="844">
        <v>0</v>
      </c>
      <c r="Q19" s="840">
        <f>AVERAGE(D19:P19)</f>
        <v>0</v>
      </c>
    </row>
    <row r="20" spans="1:19">
      <c r="A20" s="836">
        <f t="shared" si="0"/>
        <v>255</v>
      </c>
      <c r="B20" s="848" t="s">
        <v>538</v>
      </c>
      <c r="C20" s="833" t="s">
        <v>539</v>
      </c>
      <c r="D20" s="844">
        <v>0</v>
      </c>
      <c r="E20" s="844">
        <v>0</v>
      </c>
      <c r="F20" s="844">
        <v>0</v>
      </c>
      <c r="G20" s="844">
        <v>0</v>
      </c>
      <c r="H20" s="844">
        <v>0</v>
      </c>
      <c r="I20" s="844">
        <v>0</v>
      </c>
      <c r="J20" s="844">
        <v>0</v>
      </c>
      <c r="K20" s="844">
        <v>0</v>
      </c>
      <c r="L20" s="844">
        <v>0</v>
      </c>
      <c r="M20" s="844">
        <v>0</v>
      </c>
      <c r="N20" s="844">
        <v>0</v>
      </c>
      <c r="O20" s="844">
        <v>0</v>
      </c>
      <c r="P20" s="844">
        <v>0</v>
      </c>
      <c r="Q20" s="840">
        <f>AVERAGE(D20:P20)</f>
        <v>0</v>
      </c>
    </row>
    <row r="21" spans="1:19" ht="31.8" thickBot="1">
      <c r="A21" s="836">
        <f t="shared" si="0"/>
        <v>256</v>
      </c>
      <c r="B21" s="848" t="s">
        <v>540</v>
      </c>
      <c r="C21" s="833" t="s">
        <v>541</v>
      </c>
      <c r="D21" s="846">
        <v>0</v>
      </c>
      <c r="E21" s="846">
        <v>0</v>
      </c>
      <c r="F21" s="846">
        <v>0</v>
      </c>
      <c r="G21" s="846">
        <v>0</v>
      </c>
      <c r="H21" s="846">
        <v>0</v>
      </c>
      <c r="I21" s="846">
        <v>0</v>
      </c>
      <c r="J21" s="846">
        <v>0</v>
      </c>
      <c r="K21" s="846">
        <v>0</v>
      </c>
      <c r="L21" s="846">
        <v>0</v>
      </c>
      <c r="M21" s="846">
        <v>0</v>
      </c>
      <c r="N21" s="846">
        <v>0</v>
      </c>
      <c r="O21" s="846">
        <v>0</v>
      </c>
      <c r="P21" s="846">
        <v>0</v>
      </c>
      <c r="Q21" s="870">
        <f>AVERAGE(D21:P21)</f>
        <v>0</v>
      </c>
    </row>
    <row r="22" spans="1:19" ht="16.2" thickBot="1">
      <c r="A22" s="836">
        <f t="shared" si="0"/>
        <v>257</v>
      </c>
      <c r="B22" s="253" t="str">
        <f>"Adjusted Common Equity"</f>
        <v>Adjusted Common Equity</v>
      </c>
      <c r="C22" s="833" t="str">
        <f>"Ln "&amp; A18&amp;" - "&amp;A19&amp;" - "&amp;A20&amp;" - "&amp;A21</f>
        <v>Ln 253 - 254 - 255 - 256</v>
      </c>
      <c r="D22" s="839">
        <f>D18-D19-D20-D21</f>
        <v>344910111</v>
      </c>
      <c r="E22" s="839">
        <f t="shared" ref="E22:Q22" si="4">E18-E19-E20-E21</f>
        <v>348809202</v>
      </c>
      <c r="F22" s="839">
        <f t="shared" si="4"/>
        <v>352708293</v>
      </c>
      <c r="G22" s="839">
        <f t="shared" si="4"/>
        <v>400910111</v>
      </c>
      <c r="H22" s="839">
        <f t="shared" si="4"/>
        <v>404809202</v>
      </c>
      <c r="I22" s="839">
        <f t="shared" si="4"/>
        <v>408708293</v>
      </c>
      <c r="J22" s="839">
        <f t="shared" si="4"/>
        <v>436910111</v>
      </c>
      <c r="K22" s="839">
        <f t="shared" si="4"/>
        <v>440809202</v>
      </c>
      <c r="L22" s="839">
        <f t="shared" si="4"/>
        <v>444708293</v>
      </c>
      <c r="M22" s="839">
        <f t="shared" si="4"/>
        <v>450910111</v>
      </c>
      <c r="N22" s="839">
        <f t="shared" si="4"/>
        <v>454809202</v>
      </c>
      <c r="O22" s="839">
        <f t="shared" si="4"/>
        <v>458708293</v>
      </c>
      <c r="P22" s="839">
        <f t="shared" si="4"/>
        <v>458910111</v>
      </c>
      <c r="Q22" s="847">
        <f t="shared" si="4"/>
        <v>415893887.30769229</v>
      </c>
      <c r="S22" s="1119"/>
    </row>
    <row r="23" spans="1:19">
      <c r="A23" s="836">
        <f t="shared" si="0"/>
        <v>258</v>
      </c>
      <c r="D23" s="839"/>
      <c r="E23" s="839"/>
      <c r="F23" s="839"/>
      <c r="G23" s="839"/>
      <c r="H23" s="1114"/>
      <c r="I23" s="839"/>
      <c r="J23" s="1114"/>
      <c r="K23" s="839"/>
      <c r="L23" s="839"/>
      <c r="M23" s="839"/>
      <c r="N23" s="1114"/>
      <c r="O23" s="1114"/>
      <c r="P23" s="1114"/>
      <c r="Q23" s="1227"/>
      <c r="R23" s="1228"/>
    </row>
    <row r="24" spans="1:19">
      <c r="A24" s="836">
        <f t="shared" si="0"/>
        <v>259</v>
      </c>
      <c r="B24" s="253" t="str">
        <f>"Total (Line "&amp;A14&amp;" plus Line "&amp;A16&amp;" plus Line "&amp;A22&amp;")"</f>
        <v>Total (Line 249 plus Line 251 plus Line 257)</v>
      </c>
      <c r="D24" s="839">
        <f>D14+D16+D22</f>
        <v>652547111</v>
      </c>
      <c r="E24" s="839">
        <f t="shared" ref="E24:Q24" si="5">E14+E16+E22</f>
        <v>656446202</v>
      </c>
      <c r="F24" s="839">
        <f t="shared" si="5"/>
        <v>705345293</v>
      </c>
      <c r="G24" s="839">
        <f t="shared" si="5"/>
        <v>753547111</v>
      </c>
      <c r="H24" s="839">
        <f t="shared" si="5"/>
        <v>757446202</v>
      </c>
      <c r="I24" s="839">
        <f>I14+I16+I22</f>
        <v>791595293</v>
      </c>
      <c r="J24" s="839">
        <f t="shared" si="5"/>
        <v>819797111</v>
      </c>
      <c r="K24" s="839">
        <f t="shared" si="5"/>
        <v>823696202</v>
      </c>
      <c r="L24" s="839">
        <f t="shared" si="5"/>
        <v>840595293</v>
      </c>
      <c r="M24" s="839">
        <f t="shared" si="5"/>
        <v>846797111</v>
      </c>
      <c r="N24" s="839">
        <f t="shared" si="5"/>
        <v>850696202</v>
      </c>
      <c r="O24" s="839">
        <f t="shared" si="5"/>
        <v>859845293</v>
      </c>
      <c r="P24" s="839">
        <f t="shared" si="5"/>
        <v>860047111</v>
      </c>
      <c r="Q24" s="840">
        <f t="shared" si="5"/>
        <v>786030887.30769229</v>
      </c>
      <c r="S24" s="1119"/>
    </row>
    <row r="25" spans="1:19">
      <c r="A25" s="836">
        <f t="shared" si="0"/>
        <v>260</v>
      </c>
      <c r="D25" s="1113"/>
      <c r="E25" s="1113"/>
      <c r="F25" s="1113"/>
      <c r="G25" s="1113"/>
      <c r="H25" s="1113"/>
      <c r="I25" s="1113"/>
      <c r="J25" s="1113"/>
      <c r="K25" s="1113"/>
      <c r="L25" s="1113"/>
      <c r="M25" s="1113"/>
      <c r="N25" s="1113"/>
      <c r="O25" s="1113"/>
      <c r="P25" s="1113"/>
      <c r="Q25" s="1113"/>
      <c r="S25" s="1120"/>
    </row>
    <row r="26" spans="1:19">
      <c r="A26" s="836">
        <f t="shared" si="0"/>
        <v>261</v>
      </c>
      <c r="B26" s="253" t="s">
        <v>542</v>
      </c>
      <c r="D26" s="839"/>
      <c r="E26" s="871"/>
      <c r="F26" s="871"/>
      <c r="G26" s="871"/>
      <c r="H26" s="871"/>
      <c r="I26" s="871"/>
      <c r="J26" s="871"/>
      <c r="K26" s="871"/>
      <c r="L26" s="871"/>
      <c r="M26" s="1114"/>
      <c r="N26" s="1114"/>
      <c r="O26" s="1114"/>
      <c r="P26" s="1114"/>
      <c r="Q26" s="872"/>
    </row>
    <row r="27" spans="1:19">
      <c r="A27" s="836">
        <f t="shared" si="0"/>
        <v>262</v>
      </c>
      <c r="B27" s="848" t="s">
        <v>543</v>
      </c>
      <c r="C27" s="833" t="s">
        <v>544</v>
      </c>
      <c r="D27" s="834"/>
      <c r="E27" s="839"/>
      <c r="F27" s="839"/>
      <c r="G27" s="839"/>
      <c r="H27" s="839"/>
      <c r="I27" s="839"/>
      <c r="J27" s="839"/>
      <c r="K27" s="839"/>
      <c r="L27" s="839"/>
      <c r="M27" s="839"/>
      <c r="N27" s="839"/>
      <c r="O27" s="839"/>
      <c r="P27" s="845">
        <f>2027164+15098099</f>
        <v>17125263</v>
      </c>
      <c r="Q27" s="840"/>
    </row>
    <row r="28" spans="1:19">
      <c r="A28" s="836">
        <f t="shared" si="0"/>
        <v>263</v>
      </c>
      <c r="B28" s="848" t="s">
        <v>545</v>
      </c>
      <c r="C28" s="833" t="s">
        <v>546</v>
      </c>
      <c r="D28" s="834"/>
      <c r="E28" s="839"/>
      <c r="F28" s="839"/>
      <c r="G28" s="839"/>
      <c r="H28" s="839"/>
      <c r="I28" s="839"/>
      <c r="J28" s="839"/>
      <c r="K28" s="839"/>
      <c r="L28" s="839"/>
      <c r="M28" s="839"/>
      <c r="N28" s="839"/>
      <c r="O28" s="839"/>
      <c r="P28" s="845">
        <f>51180+108917*2</f>
        <v>269014</v>
      </c>
      <c r="Q28" s="840"/>
    </row>
    <row r="29" spans="1:19">
      <c r="A29" s="836">
        <f t="shared" si="0"/>
        <v>264</v>
      </c>
      <c r="B29" s="848" t="s">
        <v>547</v>
      </c>
      <c r="C29" s="833" t="s">
        <v>548</v>
      </c>
      <c r="D29" s="834"/>
      <c r="E29" s="839"/>
      <c r="F29" s="839"/>
      <c r="G29" s="839"/>
      <c r="H29" s="839"/>
      <c r="I29" s="839"/>
      <c r="J29" s="839"/>
      <c r="K29" s="839"/>
      <c r="L29" s="839"/>
      <c r="M29" s="839"/>
      <c r="N29" s="839"/>
      <c r="O29" s="839"/>
      <c r="P29" s="845">
        <v>0</v>
      </c>
      <c r="Q29" s="840"/>
    </row>
    <row r="30" spans="1:19" ht="31.2">
      <c r="A30" s="836">
        <f t="shared" si="0"/>
        <v>265</v>
      </c>
      <c r="B30" s="848" t="s">
        <v>549</v>
      </c>
      <c r="C30" s="833" t="s">
        <v>550</v>
      </c>
      <c r="D30" s="834"/>
      <c r="E30" s="839"/>
      <c r="F30" s="839"/>
      <c r="G30" s="839"/>
      <c r="H30" s="839"/>
      <c r="I30" s="839"/>
      <c r="J30" s="839"/>
      <c r="K30" s="839"/>
      <c r="L30" s="839"/>
      <c r="M30" s="839"/>
      <c r="N30" s="839"/>
      <c r="O30" s="839"/>
      <c r="P30" s="845">
        <v>0</v>
      </c>
      <c r="Q30" s="840"/>
      <c r="S30" s="1086"/>
    </row>
    <row r="31" spans="1:19">
      <c r="A31" s="836">
        <f t="shared" si="0"/>
        <v>266</v>
      </c>
      <c r="B31" s="873" t="s">
        <v>551</v>
      </c>
      <c r="C31" s="843" t="s">
        <v>552</v>
      </c>
      <c r="D31" s="834"/>
      <c r="E31" s="839"/>
      <c r="F31" s="839"/>
      <c r="G31" s="839"/>
      <c r="H31" s="839"/>
      <c r="I31" s="839"/>
      <c r="J31" s="839"/>
      <c r="K31" s="839"/>
      <c r="L31" s="839"/>
      <c r="M31" s="839"/>
      <c r="N31" s="839"/>
      <c r="O31" s="839"/>
      <c r="P31" s="845">
        <v>0</v>
      </c>
      <c r="Q31" s="840"/>
    </row>
    <row r="32" spans="1:19">
      <c r="A32" s="836">
        <f t="shared" si="0"/>
        <v>267</v>
      </c>
      <c r="B32" s="873" t="s">
        <v>553</v>
      </c>
      <c r="C32" s="843" t="s">
        <v>554</v>
      </c>
      <c r="D32" s="834"/>
      <c r="E32" s="839"/>
      <c r="F32" s="839"/>
      <c r="G32" s="839"/>
      <c r="H32" s="839"/>
      <c r="I32" s="839"/>
      <c r="J32" s="839"/>
      <c r="K32" s="839"/>
      <c r="L32" s="839"/>
      <c r="M32" s="839"/>
      <c r="N32" s="839"/>
      <c r="O32" s="839"/>
      <c r="P32" s="874">
        <v>0</v>
      </c>
      <c r="Q32" s="840"/>
    </row>
    <row r="33" spans="1:17">
      <c r="A33" s="836">
        <f>A32+1</f>
        <v>268</v>
      </c>
      <c r="B33" s="848" t="s">
        <v>555</v>
      </c>
      <c r="C33" s="833" t="str">
        <f>"Sum Lines "&amp;A27&amp;" - "&amp;A32</f>
        <v>Sum Lines 262 - 267</v>
      </c>
      <c r="D33" s="839"/>
      <c r="E33" s="839"/>
      <c r="F33" s="839"/>
      <c r="G33" s="839"/>
      <c r="H33" s="839"/>
      <c r="I33" s="839"/>
      <c r="J33" s="839"/>
      <c r="K33" s="839"/>
      <c r="L33" s="839"/>
      <c r="M33" s="839"/>
      <c r="N33" s="839"/>
      <c r="O33" s="839"/>
      <c r="P33" s="839">
        <f>SUM(P27:P32)</f>
        <v>17394277</v>
      </c>
      <c r="Q33" s="840"/>
    </row>
    <row r="34" spans="1:17" ht="16.2" thickBot="1">
      <c r="A34" s="836">
        <f t="shared" si="0"/>
        <v>269</v>
      </c>
      <c r="B34" s="841"/>
      <c r="D34" s="839"/>
      <c r="E34" s="839"/>
      <c r="F34" s="839"/>
      <c r="G34" s="839"/>
      <c r="H34" s="839"/>
      <c r="I34" s="839"/>
      <c r="J34" s="839"/>
      <c r="K34" s="839"/>
      <c r="L34" s="839"/>
      <c r="M34" s="839"/>
      <c r="N34" s="839"/>
      <c r="O34" s="839"/>
      <c r="P34" s="839"/>
      <c r="Q34" s="840"/>
    </row>
    <row r="35" spans="1:17" ht="16.2" thickBot="1">
      <c r="A35" s="836">
        <f t="shared" si="0"/>
        <v>270</v>
      </c>
      <c r="B35" s="1094" t="str">
        <f>"Average Cost of Debt (Line "&amp;A33&amp;" / Line "&amp;A14&amp;")"</f>
        <v>Average Cost of Debt (Line 268 / Line 249)</v>
      </c>
      <c r="D35" s="839"/>
      <c r="E35" s="839"/>
      <c r="F35" s="839"/>
      <c r="G35" s="839"/>
      <c r="H35" s="839"/>
      <c r="I35" s="839"/>
      <c r="J35" s="839"/>
      <c r="K35" s="839"/>
      <c r="L35" s="839"/>
      <c r="M35" s="839"/>
      <c r="N35" s="839"/>
      <c r="O35" s="839"/>
      <c r="P35" s="1095">
        <f>IF(Q14=0,0,ROUND(P33/Q14,4))</f>
        <v>4.7E-2</v>
      </c>
      <c r="Q35" s="840"/>
    </row>
    <row r="36" spans="1:17">
      <c r="A36" s="836">
        <f t="shared" si="0"/>
        <v>271</v>
      </c>
      <c r="B36" s="841"/>
      <c r="D36" s="839"/>
      <c r="E36" s="839"/>
      <c r="F36" s="839"/>
      <c r="G36" s="839"/>
      <c r="H36" s="839"/>
      <c r="I36" s="839"/>
      <c r="J36" s="839"/>
      <c r="K36" s="839"/>
      <c r="L36" s="839"/>
      <c r="M36" s="839"/>
      <c r="N36" s="839"/>
      <c r="O36" s="839"/>
      <c r="P36" s="839"/>
      <c r="Q36" s="840"/>
    </row>
    <row r="37" spans="1:17">
      <c r="A37" s="836">
        <f t="shared" si="0"/>
        <v>272</v>
      </c>
      <c r="B37" s="253" t="s">
        <v>556</v>
      </c>
      <c r="D37" s="839"/>
      <c r="E37" s="839"/>
      <c r="F37" s="839"/>
      <c r="G37" s="839"/>
      <c r="H37" s="839"/>
      <c r="I37" s="839"/>
      <c r="J37" s="839"/>
      <c r="K37" s="839"/>
      <c r="L37" s="839"/>
      <c r="M37" s="839"/>
      <c r="N37" s="839"/>
      <c r="O37" s="839"/>
      <c r="P37" s="839"/>
      <c r="Q37" s="840"/>
    </row>
    <row r="38" spans="1:17">
      <c r="A38" s="836">
        <f t="shared" si="0"/>
        <v>273</v>
      </c>
      <c r="B38" s="841" t="s">
        <v>557</v>
      </c>
      <c r="C38" s="833" t="s">
        <v>558</v>
      </c>
      <c r="D38" s="839"/>
      <c r="E38" s="839"/>
      <c r="F38" s="839"/>
      <c r="G38" s="839"/>
      <c r="H38" s="839"/>
      <c r="I38" s="839"/>
      <c r="J38" s="839"/>
      <c r="K38" s="839"/>
      <c r="L38" s="839"/>
      <c r="M38" s="839"/>
      <c r="N38" s="839"/>
      <c r="O38" s="839"/>
      <c r="P38" s="844"/>
      <c r="Q38" s="840"/>
    </row>
    <row r="39" spans="1:17">
      <c r="A39" s="836">
        <f t="shared" si="0"/>
        <v>274</v>
      </c>
      <c r="B39" s="841"/>
      <c r="D39" s="839"/>
      <c r="E39" s="839"/>
      <c r="F39" s="839"/>
      <c r="G39" s="839"/>
      <c r="H39" s="839"/>
      <c r="I39" s="839"/>
      <c r="J39" s="839"/>
      <c r="K39" s="839"/>
      <c r="L39" s="839"/>
      <c r="M39" s="839"/>
      <c r="N39" s="839"/>
      <c r="O39" s="839"/>
      <c r="P39" s="839"/>
      <c r="Q39" s="840"/>
    </row>
    <row r="40" spans="1:17">
      <c r="A40" s="836">
        <f t="shared" si="0"/>
        <v>275</v>
      </c>
      <c r="B40" s="841" t="str">
        <f>"Average Cost of Preferred Stock (Line "&amp;A38&amp;" / Line "&amp;A16&amp;")"</f>
        <v>Average Cost of Preferred Stock (Line 273 / Line 251)</v>
      </c>
      <c r="D40" s="839"/>
      <c r="E40" s="839"/>
      <c r="F40" s="839"/>
      <c r="G40" s="839"/>
      <c r="H40" s="839"/>
      <c r="I40" s="839"/>
      <c r="J40" s="839"/>
      <c r="K40" s="839"/>
      <c r="L40" s="839"/>
      <c r="M40" s="839"/>
      <c r="N40" s="839"/>
      <c r="O40" s="839"/>
      <c r="P40" s="839">
        <f>IF(P38=0,0,ROUND(P38/Q16,4))</f>
        <v>0</v>
      </c>
      <c r="Q40" s="840"/>
    </row>
    <row r="41" spans="1:17">
      <c r="A41" s="836"/>
      <c r="B41" s="841"/>
      <c r="D41" s="839"/>
      <c r="E41" s="839"/>
      <c r="F41" s="839"/>
      <c r="G41" s="839"/>
      <c r="H41" s="839"/>
      <c r="I41" s="839"/>
      <c r="J41" s="839"/>
      <c r="K41" s="839"/>
      <c r="L41" s="839"/>
      <c r="M41" s="839"/>
      <c r="N41" s="839"/>
      <c r="O41" s="839"/>
      <c r="P41" s="839"/>
      <c r="Q41" s="840"/>
    </row>
    <row r="42" spans="1:17">
      <c r="A42" s="836"/>
      <c r="B42" s="1301" t="s">
        <v>559</v>
      </c>
      <c r="C42" s="1301"/>
      <c r="D42" s="1301"/>
      <c r="E42" s="1301"/>
      <c r="F42" s="1301"/>
      <c r="G42" s="1301"/>
      <c r="H42" s="839"/>
      <c r="I42" s="839"/>
      <c r="J42" s="839"/>
      <c r="K42" s="839"/>
      <c r="L42" s="839"/>
      <c r="M42" s="839"/>
      <c r="N42" s="839"/>
      <c r="O42" s="839"/>
      <c r="P42" s="839"/>
      <c r="Q42" s="840"/>
    </row>
    <row r="43" spans="1:17">
      <c r="A43" s="836"/>
      <c r="B43" s="253" t="s">
        <v>560</v>
      </c>
      <c r="D43" s="839"/>
      <c r="E43" s="839"/>
      <c r="F43" s="839"/>
      <c r="G43" s="839"/>
      <c r="H43" s="839"/>
      <c r="I43" s="839"/>
      <c r="J43" s="839"/>
      <c r="K43" s="839"/>
      <c r="L43" s="839"/>
      <c r="M43" s="839"/>
      <c r="N43" s="839"/>
      <c r="O43" s="839"/>
      <c r="P43" s="839"/>
      <c r="Q43" s="840"/>
    </row>
    <row r="44" spans="1:17" ht="16.2" thickBot="1">
      <c r="A44" s="849"/>
      <c r="B44" s="850"/>
      <c r="C44" s="850"/>
      <c r="D44" s="851"/>
      <c r="E44" s="851"/>
      <c r="F44" s="851"/>
      <c r="G44" s="851"/>
      <c r="H44" s="851"/>
      <c r="I44" s="851"/>
      <c r="J44" s="851"/>
      <c r="K44" s="851"/>
      <c r="L44" s="851"/>
      <c r="M44" s="851"/>
      <c r="N44" s="851"/>
      <c r="O44" s="851"/>
      <c r="P44" s="851"/>
      <c r="Q44" s="852"/>
    </row>
  </sheetData>
  <mergeCells count="5">
    <mergeCell ref="A3:F3"/>
    <mergeCell ref="H3:M3"/>
    <mergeCell ref="B42:G42"/>
    <mergeCell ref="E1:J1"/>
    <mergeCell ref="E2:J2"/>
  </mergeCells>
  <pageMargins left="0.7" right="0.7" top="0.75" bottom="0.75" header="0.3" footer="0.3"/>
  <pageSetup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S158"/>
  <sheetViews>
    <sheetView view="pageBreakPreview" zoomScale="73" zoomScaleNormal="100" zoomScaleSheetLayoutView="73" workbookViewId="0"/>
  </sheetViews>
  <sheetFormatPr defaultRowHeight="15"/>
  <cols>
    <col min="1" max="1" width="8.81640625" style="977" customWidth="1"/>
    <col min="2" max="2" width="40.54296875" customWidth="1"/>
    <col min="3" max="3" width="28.81640625" customWidth="1"/>
    <col min="4" max="4" width="11.81640625" customWidth="1"/>
    <col min="5" max="5" width="10.81640625" customWidth="1"/>
    <col min="6" max="6" width="11.1796875" customWidth="1"/>
    <col min="7" max="7" width="10.81640625" customWidth="1"/>
    <col min="8" max="8" width="11.81640625" customWidth="1"/>
    <col min="9" max="9" width="13.453125" bestFit="1" customWidth="1"/>
    <col min="10" max="10" width="17.1796875" customWidth="1"/>
    <col min="11" max="11" width="17" customWidth="1"/>
    <col min="12" max="12" width="23.453125" customWidth="1"/>
    <col min="13" max="13" width="13.08984375" customWidth="1"/>
    <col min="14" max="14" width="12.453125" customWidth="1"/>
    <col min="15" max="15" width="16.1796875" customWidth="1"/>
    <col min="16" max="16" width="14.81640625" customWidth="1"/>
    <col min="17" max="19" width="14.6328125" customWidth="1"/>
  </cols>
  <sheetData>
    <row r="1" spans="1:10" ht="15.6">
      <c r="A1" s="971"/>
      <c r="B1" s="548" t="s">
        <v>561</v>
      </c>
      <c r="C1" s="549"/>
      <c r="D1" s="549"/>
      <c r="E1" s="549"/>
      <c r="F1" s="550" t="s">
        <v>562</v>
      </c>
      <c r="G1" s="549"/>
      <c r="H1" s="549"/>
      <c r="I1" s="549"/>
      <c r="J1" s="551" t="s">
        <v>563</v>
      </c>
    </row>
    <row r="2" spans="1:10">
      <c r="A2" s="971"/>
      <c r="B2" s="549" t="s">
        <v>9</v>
      </c>
      <c r="C2" s="549"/>
      <c r="D2" s="552" t="s">
        <v>28</v>
      </c>
      <c r="E2" s="552"/>
      <c r="F2" s="553" t="s">
        <v>564</v>
      </c>
      <c r="G2" s="552"/>
      <c r="H2" s="552"/>
      <c r="I2" s="552"/>
      <c r="J2" s="549"/>
    </row>
    <row r="3" spans="1:10">
      <c r="A3" s="971"/>
      <c r="B3" s="554"/>
      <c r="C3" s="554"/>
      <c r="D3" s="554"/>
      <c r="E3" s="554"/>
      <c r="F3" s="554"/>
      <c r="G3" s="554"/>
      <c r="H3" s="554"/>
      <c r="I3" s="554"/>
      <c r="J3" s="554"/>
    </row>
    <row r="4" spans="1:10">
      <c r="A4" s="971"/>
      <c r="B4" s="554" t="s">
        <v>565</v>
      </c>
      <c r="C4" s="554"/>
      <c r="D4" s="554"/>
      <c r="E4" s="554"/>
      <c r="F4" s="554"/>
      <c r="G4" s="554"/>
      <c r="H4" s="554"/>
      <c r="I4" s="554"/>
      <c r="J4" s="554"/>
    </row>
    <row r="5" spans="1:10">
      <c r="A5" s="971"/>
      <c r="B5" s="554" t="s">
        <v>566</v>
      </c>
      <c r="C5" s="554"/>
      <c r="D5" s="554"/>
      <c r="E5" s="554"/>
      <c r="F5" s="554"/>
      <c r="G5" s="554"/>
      <c r="H5" s="554"/>
      <c r="I5" s="554"/>
      <c r="J5" s="554"/>
    </row>
    <row r="6" spans="1:10">
      <c r="A6" s="971"/>
      <c r="B6" s="554" t="s">
        <v>567</v>
      </c>
      <c r="C6" s="554"/>
      <c r="D6" s="554"/>
      <c r="E6" s="554"/>
      <c r="F6" s="554"/>
      <c r="G6" s="554"/>
      <c r="H6" s="554"/>
      <c r="I6" s="554"/>
      <c r="J6" s="554"/>
    </row>
    <row r="7" spans="1:10">
      <c r="A7" s="971"/>
      <c r="B7" s="554"/>
      <c r="C7" s="554"/>
      <c r="D7" s="554"/>
      <c r="E7" s="554"/>
      <c r="F7" s="554"/>
      <c r="G7" s="554"/>
      <c r="H7" s="554"/>
      <c r="I7" s="554"/>
      <c r="J7" s="554"/>
    </row>
    <row r="8" spans="1:10" ht="15.6">
      <c r="A8" s="971"/>
      <c r="B8" s="554"/>
      <c r="C8" s="554"/>
      <c r="D8" s="554"/>
      <c r="E8" s="554"/>
      <c r="F8" s="555" t="str">
        <f>+'1 - Revenue Credits'!A2</f>
        <v>New York Transco LLC</v>
      </c>
      <c r="G8" s="554"/>
      <c r="H8" s="554"/>
      <c r="I8" s="554"/>
      <c r="J8" s="554"/>
    </row>
    <row r="9" spans="1:10" ht="15.6">
      <c r="A9" s="982" t="s">
        <v>568</v>
      </c>
      <c r="B9" s="554"/>
      <c r="C9" s="554"/>
      <c r="D9" s="554"/>
      <c r="E9" s="554"/>
      <c r="F9" s="555"/>
      <c r="G9" s="554"/>
      <c r="H9" s="554"/>
      <c r="I9" s="554"/>
      <c r="J9" s="554"/>
    </row>
    <row r="10" spans="1:10" ht="15.6">
      <c r="A10" s="971"/>
      <c r="B10" s="547"/>
      <c r="C10" s="547"/>
      <c r="D10" s="547"/>
      <c r="E10" s="547"/>
      <c r="F10" s="968" t="s">
        <v>44</v>
      </c>
      <c r="G10" s="547"/>
      <c r="H10" s="547"/>
      <c r="I10" s="547"/>
      <c r="J10" s="967" t="s">
        <v>569</v>
      </c>
    </row>
    <row r="11" spans="1:10" ht="15.6">
      <c r="A11" s="971">
        <v>1</v>
      </c>
      <c r="B11" s="547" t="s">
        <v>570</v>
      </c>
      <c r="C11" s="547"/>
      <c r="D11" s="547"/>
      <c r="E11" s="547"/>
      <c r="F11" s="547"/>
      <c r="G11" s="547"/>
      <c r="H11" s="547"/>
      <c r="I11" s="547"/>
      <c r="J11" s="587">
        <f>+'Appendix A'!J117</f>
        <v>833543649.73076928</v>
      </c>
    </row>
    <row r="12" spans="1:10" ht="15.6">
      <c r="A12" s="971"/>
      <c r="B12" s="547"/>
      <c r="C12" s="547"/>
      <c r="D12" s="547"/>
      <c r="E12" s="547"/>
      <c r="F12" s="547"/>
      <c r="G12" s="547"/>
      <c r="H12" s="547"/>
      <c r="I12" s="547"/>
      <c r="J12" s="587"/>
    </row>
    <row r="13" spans="1:10" ht="15.6">
      <c r="A13" s="972">
        <f>+A11+1</f>
        <v>2</v>
      </c>
      <c r="B13" s="558" t="s">
        <v>571</v>
      </c>
      <c r="C13" s="559"/>
      <c r="D13" s="559"/>
      <c r="E13" s="559"/>
      <c r="F13" s="559"/>
      <c r="G13" s="559"/>
      <c r="H13" s="559"/>
      <c r="I13" s="561"/>
      <c r="J13" s="587"/>
    </row>
    <row r="14" spans="1:10" ht="15.6">
      <c r="A14" s="972"/>
      <c r="B14" s="560"/>
      <c r="C14" s="559"/>
      <c r="D14" s="559"/>
      <c r="E14" s="559"/>
      <c r="F14" s="559"/>
      <c r="G14" s="561"/>
      <c r="H14" s="559"/>
      <c r="I14" s="559"/>
      <c r="J14" s="587"/>
    </row>
    <row r="15" spans="1:10" ht="16.2" thickBot="1">
      <c r="A15" s="972"/>
      <c r="B15" s="560"/>
      <c r="C15" s="559"/>
      <c r="D15" s="562" t="s">
        <v>169</v>
      </c>
      <c r="E15" s="562" t="s">
        <v>180</v>
      </c>
      <c r="F15" s="559"/>
      <c r="G15" s="562" t="s">
        <v>181</v>
      </c>
      <c r="H15" s="559"/>
      <c r="I15" s="562" t="s">
        <v>182</v>
      </c>
      <c r="J15" s="587"/>
    </row>
    <row r="16" spans="1:10" ht="15.6">
      <c r="A16" s="972">
        <f>+A13+1</f>
        <v>3</v>
      </c>
      <c r="B16" s="558" t="s">
        <v>572</v>
      </c>
      <c r="C16" s="563" t="s">
        <v>573</v>
      </c>
      <c r="D16" s="566">
        <v>0</v>
      </c>
      <c r="E16" s="946">
        <f>+'Appendix A'!G235</f>
        <v>0.470893709110835</v>
      </c>
      <c r="F16" s="564"/>
      <c r="G16" s="945">
        <f>+'Appendix A'!I235</f>
        <v>4.7E-2</v>
      </c>
      <c r="H16" s="563"/>
      <c r="I16" s="947">
        <f>E16*G16</f>
        <v>2.2132004328209245E-2</v>
      </c>
      <c r="J16" s="587"/>
    </row>
    <row r="17" spans="1:10" ht="15.6">
      <c r="A17" s="972">
        <f>+A16+1</f>
        <v>4</v>
      </c>
      <c r="B17" s="558" t="s">
        <v>574</v>
      </c>
      <c r="C17" s="563" t="s">
        <v>575</v>
      </c>
      <c r="D17" s="566">
        <v>0</v>
      </c>
      <c r="E17" s="946">
        <f>+'Appendix A'!G236</f>
        <v>0</v>
      </c>
      <c r="F17" s="564"/>
      <c r="G17" s="714">
        <f>+'Appendix A'!I236</f>
        <v>0</v>
      </c>
      <c r="H17" s="563"/>
      <c r="I17" s="947">
        <f>E17*G17</f>
        <v>0</v>
      </c>
      <c r="J17" s="587"/>
    </row>
    <row r="18" spans="1:10" ht="16.2" thickBot="1">
      <c r="A18" s="972">
        <f>+A17+1</f>
        <v>5</v>
      </c>
      <c r="B18" s="558" t="s">
        <v>576</v>
      </c>
      <c r="C18" s="563" t="s">
        <v>577</v>
      </c>
      <c r="D18" s="565">
        <v>0</v>
      </c>
      <c r="E18" s="946">
        <f>+'Appendix A'!G237</f>
        <v>0.52910629088916505</v>
      </c>
      <c r="F18" s="564"/>
      <c r="G18" s="714">
        <f>+'Appendix A'!I237</f>
        <v>9.5000000000000001E-2</v>
      </c>
      <c r="H18" s="563"/>
      <c r="I18" s="948">
        <f>E18*G18</f>
        <v>5.0265097634470679E-2</v>
      </c>
      <c r="J18" s="587"/>
    </row>
    <row r="19" spans="1:10" ht="15.6">
      <c r="A19" s="972">
        <f>+A18+1</f>
        <v>6</v>
      </c>
      <c r="B19" s="560" t="s">
        <v>578</v>
      </c>
      <c r="C19" s="563"/>
      <c r="D19" s="566">
        <f>SUM(D16:D18)</f>
        <v>0</v>
      </c>
      <c r="E19" s="559" t="s">
        <v>28</v>
      </c>
      <c r="F19" s="559"/>
      <c r="G19" s="559"/>
      <c r="H19" s="559"/>
      <c r="I19" s="947">
        <f>SUM(I16:I18)</f>
        <v>7.2397101962679927E-2</v>
      </c>
      <c r="J19" s="587"/>
    </row>
    <row r="20" spans="1:10" ht="15.6">
      <c r="A20" s="972">
        <f t="shared" ref="A20:A32" si="0">+A19+1</f>
        <v>7</v>
      </c>
      <c r="B20" s="560" t="s">
        <v>579</v>
      </c>
      <c r="C20" s="563"/>
      <c r="D20" s="566"/>
      <c r="E20" s="559"/>
      <c r="F20" s="559"/>
      <c r="G20" s="559"/>
      <c r="H20" s="559"/>
      <c r="I20" s="564"/>
      <c r="J20" s="587">
        <f>+I19*J11</f>
        <v>60346144.599902868</v>
      </c>
    </row>
    <row r="21" spans="1:10" ht="15.6">
      <c r="A21" s="972"/>
      <c r="B21" s="547"/>
      <c r="C21" s="547"/>
      <c r="D21" s="547"/>
      <c r="E21" s="547"/>
      <c r="F21" s="547"/>
      <c r="G21" s="547"/>
      <c r="H21" s="547"/>
      <c r="I21" s="547"/>
      <c r="J21" s="587"/>
    </row>
    <row r="22" spans="1:10" ht="15.6">
      <c r="A22" s="972">
        <f>+A20+1</f>
        <v>8</v>
      </c>
      <c r="B22" s="560" t="s">
        <v>150</v>
      </c>
      <c r="C22" s="559"/>
      <c r="D22" s="559"/>
      <c r="E22" s="559"/>
      <c r="F22" s="563"/>
      <c r="G22" s="567"/>
      <c r="H22" s="559"/>
      <c r="I22" s="563"/>
      <c r="J22" s="587"/>
    </row>
    <row r="23" spans="1:10" ht="15.6">
      <c r="A23" s="972">
        <f t="shared" si="0"/>
        <v>9</v>
      </c>
      <c r="B23" s="44" t="s">
        <v>580</v>
      </c>
      <c r="C23" s="8"/>
      <c r="D23" s="360">
        <f>+'Appendix A'!E$172</f>
        <v>0.28136512399999991</v>
      </c>
      <c r="E23" s="559"/>
      <c r="F23" s="563"/>
      <c r="G23" s="567"/>
      <c r="H23" s="559"/>
      <c r="I23" s="563"/>
      <c r="J23" s="587"/>
    </row>
    <row r="24" spans="1:10" ht="15.6">
      <c r="A24" s="972">
        <f t="shared" si="0"/>
        <v>10</v>
      </c>
      <c r="B24" s="1" t="s">
        <v>152</v>
      </c>
      <c r="C24" s="8"/>
      <c r="D24" s="360">
        <f>IF('4 - Incentives'!D23&gt;0,('4 - Incentives'!D23/(1-'4 - Incentives'!D23))*(1-'4 - Incentives'!I16/'4 - Incentives'!I19),0)</f>
        <v>0.271836220265323</v>
      </c>
      <c r="E24" s="559"/>
      <c r="F24" s="563"/>
      <c r="G24" s="567"/>
      <c r="H24" s="559"/>
      <c r="I24" s="563"/>
      <c r="J24" s="587"/>
    </row>
    <row r="25" spans="1:10" ht="15.6">
      <c r="A25" s="972">
        <f t="shared" si="0"/>
        <v>11</v>
      </c>
      <c r="B25" s="7" t="str">
        <f>"       where WCLTD=(line "&amp;A16&amp;") and R= (line "&amp;A19&amp;")"</f>
        <v xml:space="preserve">       where WCLTD=(line 3) and R= (line 6)</v>
      </c>
      <c r="C25" s="8"/>
      <c r="D25" s="8"/>
      <c r="E25" s="559"/>
      <c r="F25" s="563"/>
      <c r="G25" s="567"/>
      <c r="H25" s="559"/>
      <c r="I25" s="563"/>
      <c r="J25" s="587"/>
    </row>
    <row r="26" spans="1:10" ht="15.6">
      <c r="A26" s="972">
        <f t="shared" si="0"/>
        <v>12</v>
      </c>
      <c r="B26" s="7" t="str">
        <f>"       and FIT, SIT &amp; p are as given in footnote "&amp;'Appendix A'!$A$288&amp;" on Appendix A."</f>
        <v xml:space="preserve">       and FIT, SIT &amp; p are as given in footnote F on Appendix A.</v>
      </c>
      <c r="C26" s="8"/>
      <c r="D26" s="8"/>
      <c r="E26" s="559"/>
      <c r="F26" s="563"/>
      <c r="G26" s="567"/>
      <c r="H26" s="559"/>
      <c r="I26" s="563"/>
      <c r="J26" s="587"/>
    </row>
    <row r="27" spans="1:10" ht="15.6">
      <c r="A27" s="972">
        <f t="shared" si="0"/>
        <v>13</v>
      </c>
      <c r="B27" s="44" t="str">
        <f>"      1 / (1 - T)  = (T from line "&amp;A23&amp;")"</f>
        <v xml:space="preserve">      1 / (1 - T)  = (T from line 9)</v>
      </c>
      <c r="C27" s="8"/>
      <c r="D27" s="360">
        <f>IF(D23&gt;0,1/(1-D23),0)</f>
        <v>1.3915272322519452</v>
      </c>
      <c r="E27" s="559"/>
      <c r="F27" s="563"/>
      <c r="G27" s="567"/>
      <c r="H27" s="559"/>
      <c r="I27" s="563"/>
      <c r="J27" s="587"/>
    </row>
    <row r="28" spans="1:10" ht="15.6">
      <c r="A28" s="972">
        <f t="shared" si="0"/>
        <v>14</v>
      </c>
      <c r="B28" s="7" t="s">
        <v>581</v>
      </c>
      <c r="C28" s="8"/>
      <c r="D28" s="716">
        <v>0</v>
      </c>
      <c r="E28" s="559"/>
      <c r="F28" s="563"/>
      <c r="G28" s="567"/>
      <c r="H28" s="559"/>
      <c r="I28" s="563"/>
      <c r="J28" s="587"/>
    </row>
    <row r="29" spans="1:10" ht="15.6">
      <c r="A29" s="972"/>
      <c r="B29" s="7"/>
      <c r="C29" s="8"/>
      <c r="D29" s="109"/>
      <c r="E29" s="559"/>
      <c r="F29" s="563"/>
      <c r="G29" s="568"/>
      <c r="H29" s="559"/>
      <c r="I29" s="563"/>
      <c r="J29" s="587"/>
    </row>
    <row r="30" spans="1:10" ht="15.6">
      <c r="A30" s="972">
        <f>+A28+1</f>
        <v>15</v>
      </c>
      <c r="B30" s="44" t="str">
        <f>"Income Tax Calculation = line "&amp;A24&amp;" * line "&amp;A20&amp; " * (1-n)"</f>
        <v>Income Tax Calculation = line 10 * line 7 * (1-n)</v>
      </c>
      <c r="C30" s="45"/>
      <c r="D30" s="109">
        <f>+D24*J20*(1-'Appendix A'!$E$297)</f>
        <v>16404267.855622228</v>
      </c>
      <c r="E30" s="559"/>
      <c r="F30" s="570"/>
      <c r="G30" s="571"/>
      <c r="H30" s="570"/>
      <c r="J30" s="109">
        <f>+D30</f>
        <v>16404267.855622228</v>
      </c>
    </row>
    <row r="31" spans="1:10" ht="15.6">
      <c r="A31" s="972">
        <f t="shared" si="0"/>
        <v>16</v>
      </c>
      <c r="B31" s="353" t="str">
        <f>"ITC adjustment (line "&amp;A27&amp;" * line "&amp;A28&amp;")  * (1-n)"</f>
        <v>ITC adjustment (line 13 * line 14)  * (1-n)</v>
      </c>
      <c r="C31" s="354"/>
      <c r="D31" s="351">
        <f>+D27*D28*(1-'Appendix A'!E297)</f>
        <v>0</v>
      </c>
      <c r="E31" s="570"/>
      <c r="F31" s="573" t="s">
        <v>97</v>
      </c>
      <c r="G31" s="557">
        <f>+'Appendix A'!H97</f>
        <v>1</v>
      </c>
      <c r="H31" s="570"/>
      <c r="J31" s="969">
        <f>G31*D31</f>
        <v>0</v>
      </c>
    </row>
    <row r="32" spans="1:10" ht="15.6">
      <c r="A32" s="972">
        <f t="shared" si="0"/>
        <v>17</v>
      </c>
      <c r="B32" s="46" t="s">
        <v>157</v>
      </c>
      <c r="C32" s="1" t="str">
        <f>"(line "&amp;A30&amp;" plus line "&amp;A31&amp;")"</f>
        <v>(line 15 plus line 16)</v>
      </c>
      <c r="D32" s="119">
        <f>+D31+D30</f>
        <v>16404267.855622228</v>
      </c>
      <c r="E32" s="570"/>
      <c r="J32" s="587">
        <f>+J30+J31</f>
        <v>16404267.855622228</v>
      </c>
    </row>
    <row r="33" spans="1:14" ht="15.6">
      <c r="A33" s="972"/>
      <c r="B33" s="563"/>
      <c r="C33" s="569"/>
      <c r="D33" s="572"/>
      <c r="E33" s="570"/>
      <c r="F33" s="573"/>
      <c r="G33" s="557"/>
      <c r="H33" s="570"/>
      <c r="I33" s="572"/>
      <c r="J33" s="587"/>
    </row>
    <row r="34" spans="1:14" ht="15.6">
      <c r="A34" s="972"/>
      <c r="B34" s="547"/>
      <c r="C34" s="547"/>
      <c r="D34" s="547"/>
      <c r="E34" s="547"/>
      <c r="F34" s="547"/>
      <c r="G34" s="547"/>
      <c r="H34" s="547"/>
      <c r="I34" s="547"/>
      <c r="J34" s="587"/>
      <c r="K34" s="547"/>
      <c r="L34" s="547"/>
      <c r="M34" s="547"/>
      <c r="N34" s="547"/>
    </row>
    <row r="35" spans="1:14" ht="15.6">
      <c r="A35" s="972">
        <f>+A32+1</f>
        <v>18</v>
      </c>
      <c r="B35" s="563" t="s">
        <v>582</v>
      </c>
      <c r="C35" s="547"/>
      <c r="D35" s="547"/>
      <c r="E35" s="547" t="s">
        <v>583</v>
      </c>
      <c r="F35" s="547"/>
      <c r="G35" s="547"/>
      <c r="H35" s="547"/>
      <c r="I35" s="547"/>
      <c r="J35" s="587">
        <f>+J32+J20</f>
        <v>76750412.4555251</v>
      </c>
      <c r="K35" s="547"/>
      <c r="L35" s="547"/>
      <c r="M35" s="547"/>
      <c r="N35" s="547"/>
    </row>
    <row r="36" spans="1:14" ht="15.6">
      <c r="A36" s="973">
        <f>+A35+1</f>
        <v>19</v>
      </c>
      <c r="B36" s="547" t="s">
        <v>570</v>
      </c>
      <c r="C36" s="547"/>
      <c r="D36" s="547"/>
      <c r="E36" s="547" t="s">
        <v>584</v>
      </c>
      <c r="F36" s="547"/>
      <c r="G36" s="547"/>
      <c r="H36" s="547"/>
      <c r="I36" s="547"/>
      <c r="J36" s="568">
        <f>+J11</f>
        <v>833543649.73076928</v>
      </c>
      <c r="K36" s="547"/>
      <c r="L36" s="547"/>
      <c r="M36" s="547"/>
      <c r="N36" s="547"/>
    </row>
    <row r="37" spans="1:14" ht="15.6">
      <c r="A37" s="973">
        <f>+A36+1</f>
        <v>20</v>
      </c>
      <c r="B37" s="547" t="s">
        <v>585</v>
      </c>
      <c r="C37" s="547"/>
      <c r="D37" s="547"/>
      <c r="E37" s="547" t="s">
        <v>586</v>
      </c>
      <c r="F37" s="547"/>
      <c r="G37" s="547"/>
      <c r="H37" s="547"/>
      <c r="I37" s="547"/>
      <c r="J37" s="686">
        <f>IF(J36=0,0,J35/J36)</f>
        <v>9.2077256518378045E-2</v>
      </c>
      <c r="K37" s="547"/>
      <c r="L37" s="547"/>
      <c r="M37" s="547"/>
      <c r="N37" s="547"/>
    </row>
    <row r="38" spans="1:14" ht="15.6">
      <c r="A38" s="973"/>
      <c r="B38" s="563"/>
      <c r="C38" s="547"/>
      <c r="D38" s="547"/>
      <c r="E38" s="547"/>
      <c r="F38" s="547"/>
      <c r="G38" s="547"/>
      <c r="H38" s="547"/>
      <c r="I38" s="547"/>
      <c r="J38" s="587"/>
      <c r="K38" s="547"/>
      <c r="L38" s="547"/>
      <c r="M38" s="547"/>
      <c r="N38" s="547"/>
    </row>
    <row r="39" spans="1:14" ht="15.6">
      <c r="A39" s="974"/>
      <c r="B39" s="547"/>
      <c r="C39" s="547"/>
      <c r="D39" s="547"/>
      <c r="E39" s="547"/>
      <c r="F39" s="547"/>
      <c r="G39" s="547"/>
      <c r="H39" s="547"/>
      <c r="I39" s="547"/>
      <c r="J39" s="547"/>
      <c r="K39" s="547"/>
      <c r="L39" s="547"/>
      <c r="M39" s="547"/>
      <c r="N39" s="547"/>
    </row>
    <row r="40" spans="1:14" ht="15.6">
      <c r="A40" s="981" t="s">
        <v>587</v>
      </c>
      <c r="C40" s="547"/>
      <c r="D40" s="547"/>
      <c r="E40" s="547"/>
      <c r="F40" s="547"/>
      <c r="G40" s="547"/>
      <c r="H40" s="547"/>
      <c r="I40" s="547"/>
      <c r="J40" s="549" t="str">
        <f>+B2</f>
        <v>Attachment 4</v>
      </c>
      <c r="K40" s="547"/>
      <c r="L40" s="547"/>
      <c r="M40" s="547"/>
      <c r="N40" s="547"/>
    </row>
    <row r="41" spans="1:14" ht="15.6">
      <c r="A41" s="975"/>
      <c r="C41" s="547"/>
      <c r="D41" s="547"/>
      <c r="E41" s="547"/>
      <c r="F41" s="547"/>
      <c r="G41" s="547"/>
      <c r="H41" s="547"/>
      <c r="I41" s="547"/>
      <c r="J41" s="549"/>
      <c r="K41" s="547"/>
      <c r="L41" s="547"/>
      <c r="M41" s="547"/>
      <c r="N41" s="547"/>
    </row>
    <row r="42" spans="1:14" ht="15.6">
      <c r="A42" s="973"/>
      <c r="B42" s="563"/>
      <c r="C42" s="547"/>
      <c r="D42" s="547"/>
      <c r="E42" s="547"/>
      <c r="F42" s="547"/>
      <c r="G42" s="547"/>
      <c r="H42" s="547"/>
      <c r="I42" s="547"/>
      <c r="J42" s="967" t="s">
        <v>569</v>
      </c>
      <c r="K42" s="547"/>
      <c r="L42" s="547"/>
      <c r="M42" s="547"/>
      <c r="N42" s="547"/>
    </row>
    <row r="43" spans="1:14" ht="15.6">
      <c r="A43" s="976">
        <f>+A37+1</f>
        <v>21</v>
      </c>
      <c r="B43" s="547" t="s">
        <v>570</v>
      </c>
      <c r="C43" s="547"/>
      <c r="D43" s="547"/>
      <c r="E43" s="547"/>
      <c r="F43" s="547"/>
      <c r="G43" s="547"/>
      <c r="H43" s="547"/>
      <c r="I43" s="547"/>
      <c r="J43" s="557">
        <f>+J11</f>
        <v>833543649.73076928</v>
      </c>
      <c r="K43" s="547"/>
      <c r="L43" s="547"/>
      <c r="M43" s="547"/>
      <c r="N43" s="547"/>
    </row>
    <row r="44" spans="1:14" ht="15.6">
      <c r="A44" s="976"/>
      <c r="B44" s="547"/>
      <c r="C44" s="547"/>
      <c r="D44" s="547"/>
      <c r="E44" s="547"/>
      <c r="F44" s="547"/>
      <c r="G44" s="547"/>
      <c r="H44" s="547"/>
      <c r="I44" s="547"/>
      <c r="J44" s="556"/>
      <c r="K44" s="547"/>
      <c r="L44" s="547"/>
      <c r="M44" s="547"/>
      <c r="N44" s="547"/>
    </row>
    <row r="45" spans="1:14" ht="15.6">
      <c r="A45" s="973">
        <f>+A43+1</f>
        <v>22</v>
      </c>
      <c r="B45" s="558" t="s">
        <v>588</v>
      </c>
      <c r="C45" s="559"/>
      <c r="D45" s="559"/>
      <c r="E45" s="559"/>
      <c r="F45" s="559"/>
      <c r="G45" s="559"/>
      <c r="H45" s="559"/>
      <c r="I45" s="561"/>
      <c r="J45" s="556"/>
      <c r="K45" s="547"/>
      <c r="L45" s="547"/>
      <c r="M45" s="547"/>
      <c r="N45" s="547"/>
    </row>
    <row r="46" spans="1:14" ht="15.6">
      <c r="A46" s="973"/>
      <c r="B46" s="560"/>
      <c r="C46" s="559"/>
      <c r="D46" s="559"/>
      <c r="E46" s="559"/>
      <c r="F46" s="559"/>
      <c r="G46" s="561"/>
      <c r="H46" s="559"/>
      <c r="I46" s="559"/>
      <c r="J46" s="556"/>
      <c r="K46" s="547"/>
      <c r="L46" s="547"/>
      <c r="M46" s="547"/>
      <c r="N46" s="547"/>
    </row>
    <row r="47" spans="1:14" ht="16.2" thickBot="1">
      <c r="A47" s="973"/>
      <c r="B47" s="560"/>
      <c r="C47" s="559"/>
      <c r="D47" s="562" t="s">
        <v>169</v>
      </c>
      <c r="E47" s="562" t="s">
        <v>180</v>
      </c>
      <c r="F47" s="559"/>
      <c r="G47" s="562" t="s">
        <v>181</v>
      </c>
      <c r="H47" s="559"/>
      <c r="I47" s="562" t="s">
        <v>182</v>
      </c>
      <c r="J47" s="556"/>
      <c r="K47" s="547"/>
      <c r="L47" s="547"/>
      <c r="M47" s="547"/>
      <c r="N47" s="547"/>
    </row>
    <row r="48" spans="1:14" ht="15.6">
      <c r="A48" s="973">
        <f>+A45+1</f>
        <v>23</v>
      </c>
      <c r="B48" s="558" t="s">
        <v>572</v>
      </c>
      <c r="C48" s="563" t="s">
        <v>589</v>
      </c>
      <c r="D48" s="566">
        <v>0</v>
      </c>
      <c r="E48" s="946">
        <f>+E16</f>
        <v>0.470893709110835</v>
      </c>
      <c r="F48" s="557"/>
      <c r="G48" s="945">
        <f>G16</f>
        <v>4.7E-2</v>
      </c>
      <c r="H48" s="557"/>
      <c r="I48" s="949">
        <f>E48*G48</f>
        <v>2.2132004328209245E-2</v>
      </c>
      <c r="J48" s="556"/>
      <c r="K48" s="547"/>
      <c r="L48" s="547"/>
      <c r="M48" s="547"/>
      <c r="N48" s="547"/>
    </row>
    <row r="49" spans="1:14" ht="15.6">
      <c r="A49" s="973">
        <f>+A48+1</f>
        <v>24</v>
      </c>
      <c r="B49" s="558" t="s">
        <v>574</v>
      </c>
      <c r="C49" s="563" t="s">
        <v>590</v>
      </c>
      <c r="D49" s="566">
        <v>0</v>
      </c>
      <c r="E49" s="946">
        <f>+E17</f>
        <v>0</v>
      </c>
      <c r="F49" s="557"/>
      <c r="G49" s="1053">
        <f>+G17</f>
        <v>0</v>
      </c>
      <c r="H49" s="557"/>
      <c r="I49" s="949">
        <f>E49*G49</f>
        <v>0</v>
      </c>
      <c r="J49" s="556"/>
      <c r="K49" s="547"/>
      <c r="L49" s="547"/>
      <c r="M49" s="547"/>
      <c r="N49" s="547"/>
    </row>
    <row r="50" spans="1:14" ht="16.2" thickBot="1">
      <c r="A50" s="973">
        <f>+A49+1</f>
        <v>25</v>
      </c>
      <c r="B50" s="558" t="s">
        <v>591</v>
      </c>
      <c r="C50" s="563" t="s">
        <v>592</v>
      </c>
      <c r="D50" s="565">
        <v>0</v>
      </c>
      <c r="E50" s="946">
        <f>+E18</f>
        <v>0.52910629088916505</v>
      </c>
      <c r="F50" s="557"/>
      <c r="G50" s="714">
        <f>G18+0.01</f>
        <v>0.105</v>
      </c>
      <c r="H50" s="557"/>
      <c r="I50" s="950">
        <f>E50*G50</f>
        <v>5.5556160543362328E-2</v>
      </c>
      <c r="J50" s="556"/>
      <c r="K50" s="721"/>
      <c r="L50" s="547"/>
      <c r="M50" s="547"/>
      <c r="N50" s="547"/>
    </row>
    <row r="51" spans="1:14" ht="15.6">
      <c r="A51" s="973">
        <f>+A50+1</f>
        <v>26</v>
      </c>
      <c r="B51" s="560" t="s">
        <v>593</v>
      </c>
      <c r="C51" s="563"/>
      <c r="D51" s="566">
        <f>SUM(D48:D50)</f>
        <v>0</v>
      </c>
      <c r="E51" s="557" t="s">
        <v>28</v>
      </c>
      <c r="F51" s="557"/>
      <c r="G51" s="557"/>
      <c r="H51" s="557"/>
      <c r="I51" s="949">
        <f>SUM(I48:I50)</f>
        <v>7.7688164871571569E-2</v>
      </c>
      <c r="J51" s="556"/>
      <c r="K51" s="547"/>
      <c r="L51" s="547"/>
      <c r="M51" s="547"/>
      <c r="N51" s="547"/>
    </row>
    <row r="52" spans="1:14" ht="15.6">
      <c r="A52" s="973">
        <f t="shared" ref="A52:A64" si="1">+A51+1</f>
        <v>27</v>
      </c>
      <c r="B52" s="560" t="s">
        <v>594</v>
      </c>
      <c r="C52" s="563"/>
      <c r="D52" s="566"/>
      <c r="E52" s="559"/>
      <c r="F52" s="559"/>
      <c r="G52" s="559"/>
      <c r="H52" s="559"/>
      <c r="I52" s="564"/>
      <c r="J52" s="557">
        <f>+I51*J43</f>
        <v>64756476.487935506</v>
      </c>
      <c r="K52" s="547"/>
      <c r="L52" s="547"/>
      <c r="M52" s="547"/>
      <c r="N52" s="547"/>
    </row>
    <row r="53" spans="1:14" ht="15.6">
      <c r="A53" s="973"/>
      <c r="B53" s="547"/>
      <c r="C53" s="547"/>
      <c r="D53" s="547"/>
      <c r="E53" s="547"/>
      <c r="F53" s="547"/>
      <c r="G53" s="547"/>
      <c r="H53" s="547"/>
      <c r="I53" s="547"/>
      <c r="J53" s="556"/>
      <c r="K53" s="547"/>
      <c r="L53" s="547"/>
      <c r="M53" s="547"/>
      <c r="N53" s="547"/>
    </row>
    <row r="54" spans="1:14" ht="15.6">
      <c r="A54" s="973">
        <f>+A52+1</f>
        <v>28</v>
      </c>
      <c r="B54" s="560" t="s">
        <v>150</v>
      </c>
      <c r="C54" s="559"/>
      <c r="D54" s="559"/>
      <c r="E54" s="559"/>
      <c r="F54" s="563"/>
      <c r="G54" s="567"/>
      <c r="H54" s="559"/>
      <c r="I54" s="563"/>
      <c r="J54" s="556"/>
      <c r="K54" s="547"/>
      <c r="L54" s="547"/>
      <c r="M54" s="547"/>
      <c r="N54" s="547"/>
    </row>
    <row r="55" spans="1:14" ht="15.6">
      <c r="A55" s="973">
        <f t="shared" si="1"/>
        <v>29</v>
      </c>
      <c r="B55" s="44" t="s">
        <v>580</v>
      </c>
      <c r="C55" s="8"/>
      <c r="D55" s="360">
        <f>+'Appendix A'!E$172</f>
        <v>0.28136512399999991</v>
      </c>
      <c r="E55" s="559"/>
      <c r="F55" s="563"/>
      <c r="G55" s="567"/>
      <c r="H55" s="559"/>
      <c r="I55" s="563"/>
      <c r="J55" s="556"/>
    </row>
    <row r="56" spans="1:14" ht="15.6">
      <c r="A56" s="973">
        <f t="shared" si="1"/>
        <v>30</v>
      </c>
      <c r="B56" s="1" t="s">
        <v>152</v>
      </c>
      <c r="C56" s="8"/>
      <c r="D56" s="360">
        <f>IF('4 - Incentives'!D55&gt;0,('4 - Incentives'!D55/(1-'4 - Incentives'!D55))*(1-'4 - Incentives'!I48/'4 - Incentives'!I51),0)</f>
        <v>0.27998794678759359</v>
      </c>
      <c r="E56" s="559"/>
      <c r="F56" s="563"/>
      <c r="G56" s="567"/>
      <c r="H56" s="559"/>
      <c r="I56" s="563"/>
      <c r="J56" s="556"/>
    </row>
    <row r="57" spans="1:14" ht="15.6">
      <c r="A57" s="973">
        <f t="shared" si="1"/>
        <v>31</v>
      </c>
      <c r="B57" s="7" t="str">
        <f>"       where WCLTD=(line "&amp;A48&amp;") and R= (line "&amp;A51&amp;")"</f>
        <v xml:space="preserve">       where WCLTD=(line 23) and R= (line 26)</v>
      </c>
      <c r="C57" s="8"/>
      <c r="E57" s="559"/>
      <c r="F57" s="563"/>
      <c r="G57" s="567"/>
      <c r="H57" s="559"/>
      <c r="I57" s="563"/>
      <c r="J57" s="556"/>
    </row>
    <row r="58" spans="1:14" ht="15.6">
      <c r="A58" s="973">
        <f t="shared" si="1"/>
        <v>32</v>
      </c>
      <c r="B58" s="7" t="str">
        <f>"       and FIT, SIT &amp; p are as given in footnote "&amp;'Appendix A'!$A$288&amp;" on Appendix A."</f>
        <v xml:space="preserve">       and FIT, SIT &amp; p are as given in footnote F on Appendix A.</v>
      </c>
      <c r="C58" s="8"/>
      <c r="D58" s="8"/>
      <c r="E58" s="559"/>
      <c r="F58" s="563"/>
      <c r="G58" s="567"/>
      <c r="H58" s="559"/>
      <c r="I58" s="563"/>
      <c r="J58" s="556"/>
    </row>
    <row r="59" spans="1:14" ht="15.6">
      <c r="A59" s="973">
        <f t="shared" si="1"/>
        <v>33</v>
      </c>
      <c r="B59" s="44" t="str">
        <f>"      1 / (1 - T)  = (T from line "&amp;A55&amp;")"</f>
        <v xml:space="preserve">      1 / (1 - T)  = (T from line 29)</v>
      </c>
      <c r="C59" s="8"/>
      <c r="D59" s="360">
        <f>IF(D55&gt;0,1/(1-D55),0)</f>
        <v>1.3915272322519452</v>
      </c>
      <c r="E59" s="559"/>
      <c r="F59" s="563"/>
      <c r="G59" s="567"/>
      <c r="H59" s="559"/>
      <c r="I59" s="563"/>
      <c r="J59" s="556"/>
    </row>
    <row r="60" spans="1:14" ht="15.6">
      <c r="A60" s="973">
        <f t="shared" si="1"/>
        <v>34</v>
      </c>
      <c r="B60" s="7" t="s">
        <v>595</v>
      </c>
      <c r="C60" s="8"/>
      <c r="D60" s="74">
        <f>D28</f>
        <v>0</v>
      </c>
      <c r="E60" s="559"/>
      <c r="F60" s="563"/>
      <c r="G60" s="567"/>
      <c r="H60" s="559"/>
      <c r="I60" s="563"/>
      <c r="J60" s="556"/>
    </row>
    <row r="61" spans="1:14" ht="15.6">
      <c r="A61" s="973"/>
      <c r="B61" s="7"/>
      <c r="C61" s="8"/>
      <c r="D61" s="109"/>
      <c r="E61" s="559"/>
      <c r="F61" s="563"/>
      <c r="G61" s="568"/>
      <c r="H61" s="559"/>
      <c r="I61" s="563"/>
      <c r="J61" s="556"/>
    </row>
    <row r="62" spans="1:14" ht="15.6">
      <c r="A62" s="973">
        <f>+A60+1</f>
        <v>35</v>
      </c>
      <c r="B62" s="44" t="str">
        <f>"Income Tax Calculation = line "&amp;A56&amp;" * line "&amp;A52&amp; " * (1-n)"</f>
        <v>Income Tax Calculation = line 30 * line 27 * (1-n)</v>
      </c>
      <c r="C62" s="45"/>
      <c r="D62" s="109">
        <f>+D56*J52*(1-'Appendix A'!$E$297)</f>
        <v>18131032.893056143</v>
      </c>
      <c r="E62" s="559"/>
      <c r="F62" s="570"/>
      <c r="G62" s="571"/>
      <c r="H62" s="570"/>
      <c r="J62" s="109">
        <f>+D62</f>
        <v>18131032.893056143</v>
      </c>
    </row>
    <row r="63" spans="1:14" ht="15.6">
      <c r="A63" s="973">
        <f t="shared" si="1"/>
        <v>36</v>
      </c>
      <c r="B63" s="353" t="str">
        <f>"ITC adjustment (line "&amp;A59&amp;" * line "&amp;A60&amp;")  * (1-n)"</f>
        <v>ITC adjustment (line 33 * line 34)  * (1-n)</v>
      </c>
      <c r="C63" s="354"/>
      <c r="D63" s="351">
        <f>+D59*D60*(1-'Appendix A'!E297)</f>
        <v>0</v>
      </c>
      <c r="E63" s="570"/>
      <c r="F63" s="573" t="s">
        <v>97</v>
      </c>
      <c r="G63" s="557">
        <f>+'Appendix A'!H97</f>
        <v>1</v>
      </c>
      <c r="H63" s="570"/>
      <c r="J63" s="969">
        <f>G63*D63</f>
        <v>0</v>
      </c>
    </row>
    <row r="64" spans="1:14" ht="15.6">
      <c r="A64" s="973">
        <f t="shared" si="1"/>
        <v>37</v>
      </c>
      <c r="B64" s="46" t="s">
        <v>157</v>
      </c>
      <c r="C64" s="1" t="str">
        <f>"(line "&amp;A62&amp;" plus line "&amp;A63&amp;")"</f>
        <v>(line 35 plus line 36)</v>
      </c>
      <c r="D64" s="119">
        <f>+D63+D62</f>
        <v>18131032.893056143</v>
      </c>
      <c r="E64" s="570"/>
      <c r="J64" s="587">
        <f>+J62+J63</f>
        <v>18131032.893056143</v>
      </c>
    </row>
    <row r="65" spans="1:10" ht="15.6">
      <c r="B65" s="585"/>
      <c r="C65" s="563"/>
      <c r="D65" s="586"/>
      <c r="E65" s="570"/>
      <c r="F65" s="570"/>
      <c r="G65" s="571"/>
      <c r="H65" s="570"/>
      <c r="I65" s="586"/>
      <c r="J65" s="572"/>
    </row>
    <row r="66" spans="1:10" ht="15.6">
      <c r="A66" s="973"/>
      <c r="B66" s="547"/>
      <c r="C66" s="547"/>
      <c r="D66" s="547"/>
      <c r="E66" s="547"/>
      <c r="F66" s="547"/>
      <c r="G66" s="547"/>
      <c r="H66" s="547"/>
      <c r="I66" s="547"/>
      <c r="J66" s="556"/>
    </row>
    <row r="67" spans="1:10" ht="15.6">
      <c r="A67" s="973">
        <f>+A64+1</f>
        <v>38</v>
      </c>
      <c r="B67" s="563" t="s">
        <v>596</v>
      </c>
      <c r="C67" s="547"/>
      <c r="D67" s="547"/>
      <c r="E67" s="547" t="s">
        <v>597</v>
      </c>
      <c r="F67" s="547"/>
      <c r="G67" s="547"/>
      <c r="H67" s="547"/>
      <c r="I67" s="547"/>
      <c r="J67" s="587">
        <f>+J64+J52</f>
        <v>82887509.380991653</v>
      </c>
    </row>
    <row r="68" spans="1:10" ht="15.6">
      <c r="A68" s="973">
        <f>+A67+1</f>
        <v>39</v>
      </c>
      <c r="B68" s="547" t="s">
        <v>570</v>
      </c>
      <c r="C68" s="547"/>
      <c r="D68" s="547"/>
      <c r="E68" s="547" t="s">
        <v>598</v>
      </c>
      <c r="F68" s="547"/>
      <c r="G68" s="547"/>
      <c r="H68" s="547"/>
      <c r="I68" s="547"/>
      <c r="J68" s="568">
        <f>+J43</f>
        <v>833543649.73076928</v>
      </c>
    </row>
    <row r="69" spans="1:10" ht="15.6">
      <c r="A69" s="973">
        <f>+A68+1</f>
        <v>40</v>
      </c>
      <c r="B69" s="547" t="s">
        <v>599</v>
      </c>
      <c r="C69" s="547"/>
      <c r="D69" s="547"/>
      <c r="E69" s="547" t="s">
        <v>600</v>
      </c>
      <c r="F69" s="547"/>
      <c r="G69" s="547"/>
      <c r="H69" s="547"/>
      <c r="I69" s="547"/>
      <c r="J69" s="686">
        <f>IF(J68=0,0,J67/J68)</f>
        <v>9.943991464365895E-2</v>
      </c>
    </row>
    <row r="70" spans="1:10" ht="15.6">
      <c r="A70" s="973">
        <f>+A69+1</f>
        <v>41</v>
      </c>
      <c r="B70" s="547" t="s">
        <v>601</v>
      </c>
      <c r="C70" s="547"/>
      <c r="D70" s="547"/>
      <c r="E70" s="547" t="s">
        <v>602</v>
      </c>
      <c r="F70" s="547"/>
      <c r="G70" s="547"/>
      <c r="H70" s="547"/>
      <c r="I70" s="547"/>
      <c r="J70" s="686">
        <f>+J69-J37</f>
        <v>7.3626581252809048E-3</v>
      </c>
    </row>
    <row r="71" spans="1:10">
      <c r="A71" s="978"/>
      <c r="B71" s="936"/>
      <c r="C71" s="936"/>
      <c r="D71" s="936"/>
    </row>
    <row r="72" spans="1:10">
      <c r="A72" s="978"/>
      <c r="B72" s="936"/>
      <c r="C72" s="936"/>
      <c r="D72" s="936"/>
    </row>
    <row r="73" spans="1:10" ht="15.6">
      <c r="A73" s="981" t="s">
        <v>603</v>
      </c>
      <c r="C73" s="547"/>
      <c r="D73" s="547"/>
      <c r="E73" s="547"/>
      <c r="F73" s="547"/>
      <c r="G73" s="547"/>
      <c r="H73" s="547"/>
      <c r="I73" s="547"/>
      <c r="J73" s="944"/>
    </row>
    <row r="74" spans="1:10" ht="15.6">
      <c r="A74" s="975"/>
      <c r="C74" s="547"/>
      <c r="D74" s="547"/>
      <c r="E74" s="547"/>
      <c r="F74" s="547"/>
      <c r="G74" s="547"/>
      <c r="H74" s="547"/>
      <c r="I74" s="547"/>
      <c r="J74" s="970" t="s">
        <v>604</v>
      </c>
    </row>
    <row r="75" spans="1:10" ht="15.6">
      <c r="A75" s="973"/>
      <c r="B75" s="563"/>
      <c r="C75" s="547"/>
      <c r="D75" s="547"/>
      <c r="E75" s="547"/>
      <c r="F75" s="547"/>
      <c r="G75" s="547"/>
      <c r="H75" s="547"/>
      <c r="I75" s="547"/>
      <c r="J75" s="547"/>
    </row>
    <row r="76" spans="1:10" ht="15.6">
      <c r="A76" s="976">
        <f>+A70+1</f>
        <v>42</v>
      </c>
      <c r="B76" s="547" t="s">
        <v>570</v>
      </c>
      <c r="C76" s="547"/>
      <c r="D76" s="547"/>
      <c r="E76" s="547"/>
      <c r="F76" s="547"/>
      <c r="G76" s="547"/>
      <c r="H76" s="547"/>
      <c r="I76" s="547"/>
      <c r="J76" s="587">
        <f>+J43</f>
        <v>833543649.73076928</v>
      </c>
    </row>
    <row r="77" spans="1:10" ht="15.6">
      <c r="A77" s="976"/>
      <c r="B77" s="547"/>
      <c r="C77" s="547"/>
      <c r="D77" s="547"/>
      <c r="E77" s="547"/>
      <c r="F77" s="547"/>
      <c r="G77" s="547"/>
      <c r="H77" s="547"/>
      <c r="I77" s="547"/>
      <c r="J77" s="556"/>
    </row>
    <row r="78" spans="1:10" ht="15.6">
      <c r="A78" s="973">
        <f>+A76+1</f>
        <v>43</v>
      </c>
      <c r="B78" s="558" t="s">
        <v>605</v>
      </c>
      <c r="C78" s="559"/>
      <c r="D78" s="559"/>
      <c r="E78" s="559"/>
      <c r="F78" s="559"/>
      <c r="G78" s="559"/>
      <c r="H78" s="559"/>
      <c r="I78" s="561"/>
      <c r="J78" s="556"/>
    </row>
    <row r="79" spans="1:10" ht="15.6">
      <c r="A79" s="973"/>
      <c r="B79" s="560"/>
      <c r="C79" s="559"/>
      <c r="D79" s="559"/>
      <c r="E79" s="559"/>
      <c r="F79" s="559"/>
      <c r="G79" s="561"/>
      <c r="H79" s="559"/>
      <c r="I79" s="559"/>
      <c r="J79" s="556"/>
    </row>
    <row r="80" spans="1:10" ht="16.2" thickBot="1">
      <c r="A80" s="973"/>
      <c r="B80" s="560"/>
      <c r="C80" s="559"/>
      <c r="D80" s="562" t="s">
        <v>169</v>
      </c>
      <c r="E80" s="562" t="s">
        <v>180</v>
      </c>
      <c r="F80" s="559"/>
      <c r="G80" s="562" t="s">
        <v>181</v>
      </c>
      <c r="H80" s="559"/>
      <c r="I80" s="562" t="s">
        <v>182</v>
      </c>
      <c r="J80" s="556"/>
    </row>
    <row r="81" spans="1:10" ht="15.6">
      <c r="A81" s="973">
        <f>+A78+1</f>
        <v>44</v>
      </c>
      <c r="B81" s="558" t="s">
        <v>572</v>
      </c>
      <c r="C81" s="563" t="s">
        <v>606</v>
      </c>
      <c r="D81" s="566">
        <v>0</v>
      </c>
      <c r="E81" s="946">
        <f>+E48-0.01</f>
        <v>0.46089370911083499</v>
      </c>
      <c r="F81" s="557"/>
      <c r="G81" s="945">
        <f>+G16</f>
        <v>4.7E-2</v>
      </c>
      <c r="H81" s="947"/>
      <c r="I81" s="947">
        <f>E81*G81</f>
        <v>2.1662004328209243E-2</v>
      </c>
      <c r="J81" s="556"/>
    </row>
    <row r="82" spans="1:10" ht="15.6">
      <c r="A82" s="973">
        <f>+A81+1</f>
        <v>45</v>
      </c>
      <c r="B82" s="558" t="s">
        <v>574</v>
      </c>
      <c r="C82" s="563" t="s">
        <v>590</v>
      </c>
      <c r="D82" s="566">
        <v>0</v>
      </c>
      <c r="E82" s="946">
        <f>E17</f>
        <v>0</v>
      </c>
      <c r="F82" s="557"/>
      <c r="G82" s="945">
        <f>+G17</f>
        <v>0</v>
      </c>
      <c r="H82" s="947"/>
      <c r="I82" s="947">
        <f>E82*G82</f>
        <v>0</v>
      </c>
      <c r="J82" s="556"/>
    </row>
    <row r="83" spans="1:10" ht="16.2" thickBot="1">
      <c r="A83" s="973">
        <f>+A82+1</f>
        <v>46</v>
      </c>
      <c r="B83" s="558" t="s">
        <v>607</v>
      </c>
      <c r="C83" s="563" t="s">
        <v>608</v>
      </c>
      <c r="D83" s="565">
        <v>0</v>
      </c>
      <c r="E83" s="946">
        <f>+E50+0.01</f>
        <v>0.53910629088916506</v>
      </c>
      <c r="F83" s="557"/>
      <c r="G83" s="945">
        <f>+G18</f>
        <v>9.5000000000000001E-2</v>
      </c>
      <c r="H83" s="947"/>
      <c r="I83" s="948">
        <f>E83*G83</f>
        <v>5.1215097634470678E-2</v>
      </c>
      <c r="J83" s="556"/>
    </row>
    <row r="84" spans="1:10" ht="15.6">
      <c r="A84" s="973">
        <f>+A83+1</f>
        <v>47</v>
      </c>
      <c r="B84" s="560" t="s">
        <v>609</v>
      </c>
      <c r="C84" s="563"/>
      <c r="D84" s="566">
        <f>SUM(D81:D83)</f>
        <v>0</v>
      </c>
      <c r="E84" s="557" t="s">
        <v>28</v>
      </c>
      <c r="F84" s="557"/>
      <c r="G84" s="947"/>
      <c r="H84" s="947"/>
      <c r="I84" s="947">
        <f>SUM(I81:I83)</f>
        <v>7.2877101962679922E-2</v>
      </c>
      <c r="J84" s="556"/>
    </row>
    <row r="85" spans="1:10" ht="15.6">
      <c r="A85" s="973">
        <f t="shared" ref="A85:A96" si="2">+A84+1</f>
        <v>48</v>
      </c>
      <c r="B85" s="560" t="s">
        <v>610</v>
      </c>
      <c r="C85" s="563"/>
      <c r="D85" s="566"/>
      <c r="E85" s="559"/>
      <c r="F85" s="559"/>
      <c r="G85" s="947"/>
      <c r="H85" s="947"/>
      <c r="I85" s="947"/>
      <c r="J85" s="557">
        <f>+I84*J76</f>
        <v>60746245.55177363</v>
      </c>
    </row>
    <row r="86" spans="1:10" ht="15.6">
      <c r="A86" s="973"/>
      <c r="B86" s="547"/>
      <c r="C86" s="547"/>
      <c r="D86" s="547"/>
      <c r="E86" s="547"/>
      <c r="F86" s="547"/>
      <c r="G86" s="547"/>
      <c r="H86" s="547"/>
      <c r="I86" s="547"/>
      <c r="J86" s="556"/>
    </row>
    <row r="87" spans="1:10" ht="15.6">
      <c r="A87" s="973">
        <f>+A85+1</f>
        <v>49</v>
      </c>
      <c r="B87" s="560" t="s">
        <v>150</v>
      </c>
      <c r="C87" s="559"/>
      <c r="D87" s="559"/>
      <c r="E87" s="559"/>
      <c r="F87" s="563"/>
      <c r="G87" s="567"/>
      <c r="H87" s="559"/>
      <c r="I87" s="563"/>
      <c r="J87" s="556"/>
    </row>
    <row r="88" spans="1:10" ht="15.6">
      <c r="A88" s="973">
        <f t="shared" si="2"/>
        <v>50</v>
      </c>
      <c r="B88" s="44" t="s">
        <v>580</v>
      </c>
      <c r="C88" s="8"/>
      <c r="D88" s="360">
        <f>+'Appendix A'!E$172</f>
        <v>0.28136512399999991</v>
      </c>
      <c r="E88" s="559"/>
      <c r="F88" s="563"/>
      <c r="G88" s="567"/>
      <c r="H88" s="559"/>
      <c r="I88" s="563"/>
      <c r="J88" s="556"/>
    </row>
    <row r="89" spans="1:10" ht="15.6">
      <c r="A89" s="973">
        <f t="shared" si="2"/>
        <v>51</v>
      </c>
      <c r="B89" s="1" t="s">
        <v>152</v>
      </c>
      <c r="C89" s="8"/>
      <c r="D89" s="360">
        <f>IF('4 - Incentives'!D88&gt;0,('4 - Incentives'!D88/(1-'4 - Incentives'!D88))*(1-'4 - Incentives'!I81/'4 - Incentives'!I84),0)</f>
        <v>0.27514959961780666</v>
      </c>
      <c r="E89" s="559"/>
      <c r="F89" s="563"/>
      <c r="G89" s="567"/>
      <c r="H89" s="559"/>
      <c r="I89" s="563"/>
      <c r="J89" s="556"/>
    </row>
    <row r="90" spans="1:10" ht="15.6">
      <c r="A90" s="973">
        <f t="shared" si="2"/>
        <v>52</v>
      </c>
      <c r="B90" s="7" t="str">
        <f>"       where WCLTD=(line "&amp;A81&amp;") and R= (line "&amp;A84&amp;")"</f>
        <v xml:space="preserve">       where WCLTD=(line 44) and R= (line 47)</v>
      </c>
      <c r="C90" s="8"/>
      <c r="E90" s="559"/>
      <c r="F90" s="563"/>
      <c r="G90" s="567"/>
      <c r="H90" s="559"/>
      <c r="I90" s="563"/>
      <c r="J90" s="556"/>
    </row>
    <row r="91" spans="1:10" ht="15.6">
      <c r="A91" s="973">
        <f t="shared" si="2"/>
        <v>53</v>
      </c>
      <c r="B91" s="7" t="str">
        <f>"       and FIT, SIT &amp; p are as given in footnote "&amp;'Appendix A'!$A$288&amp;" on Appendix A."</f>
        <v xml:space="preserve">       and FIT, SIT &amp; p are as given in footnote F on Appendix A.</v>
      </c>
      <c r="C91" s="8"/>
      <c r="D91" s="8"/>
      <c r="E91" s="559"/>
      <c r="F91" s="563"/>
      <c r="G91" s="567"/>
      <c r="H91" s="559"/>
      <c r="I91" s="563"/>
      <c r="J91" s="556"/>
    </row>
    <row r="92" spans="1:10" ht="15.6">
      <c r="A92" s="973">
        <f t="shared" si="2"/>
        <v>54</v>
      </c>
      <c r="B92" s="44" t="str">
        <f>"      1 / (1 - T)  = (T from line "&amp;A88&amp;")"</f>
        <v xml:space="preserve">      1 / (1 - T)  = (T from line 50)</v>
      </c>
      <c r="C92" s="8"/>
      <c r="D92" s="360">
        <f>IF(D88&gt;0,1/(1-D88),0)</f>
        <v>1.3915272322519452</v>
      </c>
      <c r="E92" s="559"/>
      <c r="F92" s="563"/>
      <c r="G92" s="567"/>
      <c r="H92" s="559"/>
      <c r="I92" s="563"/>
      <c r="J92" s="556"/>
    </row>
    <row r="93" spans="1:10" ht="15.6">
      <c r="A93" s="973">
        <f t="shared" si="2"/>
        <v>55</v>
      </c>
      <c r="B93" s="7" t="s">
        <v>595</v>
      </c>
      <c r="C93" s="8"/>
      <c r="D93" s="74">
        <f>D28</f>
        <v>0</v>
      </c>
      <c r="E93" s="559"/>
      <c r="F93" s="563"/>
      <c r="G93" s="567"/>
      <c r="H93" s="559"/>
      <c r="I93" s="563"/>
      <c r="J93" s="556"/>
    </row>
    <row r="94" spans="1:10" ht="15.6">
      <c r="A94" s="973"/>
      <c r="B94" s="7"/>
      <c r="C94" s="8"/>
      <c r="D94" s="109"/>
      <c r="E94" s="559"/>
      <c r="F94" s="563"/>
      <c r="G94" s="568"/>
      <c r="H94" s="559"/>
      <c r="I94" s="563"/>
      <c r="J94" s="556"/>
    </row>
    <row r="95" spans="1:10" ht="15.6">
      <c r="A95" s="973">
        <f>+A93+1</f>
        <v>56</v>
      </c>
      <c r="B95" s="44" t="str">
        <f>"Income Tax Calculation = line "&amp;A89&amp;" * line "&amp;A85&amp; " * (1-n)"</f>
        <v>Income Tax Calculation = line 51 * line 48 * (1-n)</v>
      </c>
      <c r="C95" s="45"/>
      <c r="D95" s="109">
        <f>+D89*J85*(1-'Appendix A'!$E$297)</f>
        <v>16714305.141855484</v>
      </c>
      <c r="E95" s="559"/>
      <c r="F95" s="570"/>
      <c r="G95" s="571"/>
      <c r="H95" s="570"/>
      <c r="J95" s="109">
        <f>+D95</f>
        <v>16714305.141855484</v>
      </c>
    </row>
    <row r="96" spans="1:10" ht="15.6">
      <c r="A96" s="973">
        <f t="shared" si="2"/>
        <v>57</v>
      </c>
      <c r="B96" s="7" t="str">
        <f>"ITC adjustment (line "&amp;A92&amp;" * line "&amp;A93&amp;")  * (1-n)"</f>
        <v>ITC adjustment (line 54 * line 55)  * (1-n)</v>
      </c>
      <c r="C96" s="45"/>
      <c r="D96" s="639">
        <f>+D92*D93*(1-'Appendix A'!E297)</f>
        <v>0</v>
      </c>
      <c r="E96" s="570"/>
      <c r="F96" s="573" t="s">
        <v>97</v>
      </c>
      <c r="G96" s="557">
        <f>+'Appendix A'!H97</f>
        <v>1</v>
      </c>
      <c r="H96" s="570"/>
      <c r="J96" s="568">
        <f>G96*D96</f>
        <v>0</v>
      </c>
    </row>
    <row r="97" spans="1:10" s="936" customFormat="1" ht="15.6">
      <c r="A97" s="973" t="s">
        <v>611</v>
      </c>
      <c r="B97" s="348" t="s">
        <v>155</v>
      </c>
      <c r="C97" s="354" t="s">
        <v>612</v>
      </c>
      <c r="D97" s="351">
        <f>'Attachment 11'!G44</f>
        <v>1793626</v>
      </c>
      <c r="E97" s="570"/>
      <c r="F97" s="573"/>
      <c r="G97" s="557"/>
      <c r="H97" s="570"/>
      <c r="J97" s="969">
        <f>+D97</f>
        <v>1793626</v>
      </c>
    </row>
    <row r="98" spans="1:10" ht="15.6">
      <c r="A98" s="973">
        <f>+A96+1</f>
        <v>58</v>
      </c>
      <c r="B98" s="46" t="s">
        <v>157</v>
      </c>
      <c r="C98" s="7" t="str">
        <f>"(line "&amp;A95&amp;" plus line "&amp;A96&amp;" plus line "&amp;A97&amp;")"</f>
        <v>(line 56 plus line 57 plus line 57a)</v>
      </c>
      <c r="D98" s="119">
        <f>+D95+D96+D97</f>
        <v>18507931.141855486</v>
      </c>
      <c r="E98" s="570"/>
      <c r="J98" s="587">
        <f>+J95+J96+J97</f>
        <v>18507931.141855486</v>
      </c>
    </row>
    <row r="99" spans="1:10" ht="15.6">
      <c r="B99" s="585"/>
      <c r="C99" s="563"/>
      <c r="D99" s="586"/>
      <c r="E99" s="570"/>
      <c r="F99" s="570"/>
      <c r="G99" s="571"/>
      <c r="H99" s="570"/>
      <c r="I99" s="586"/>
      <c r="J99" s="572"/>
    </row>
    <row r="100" spans="1:10" ht="15.6">
      <c r="A100" s="973"/>
      <c r="B100" s="547"/>
      <c r="C100" s="547"/>
      <c r="D100" s="547"/>
      <c r="E100" s="547"/>
      <c r="F100" s="547"/>
      <c r="G100" s="547"/>
      <c r="H100" s="547"/>
      <c r="I100" s="547"/>
      <c r="J100" s="556"/>
    </row>
    <row r="101" spans="1:10" ht="15.6">
      <c r="A101" s="973">
        <f>+A98+1</f>
        <v>59</v>
      </c>
      <c r="B101" s="563" t="s">
        <v>613</v>
      </c>
      <c r="C101" s="547"/>
      <c r="D101" s="547"/>
      <c r="E101" s="547" t="s">
        <v>614</v>
      </c>
      <c r="F101" s="547"/>
      <c r="G101" s="547"/>
      <c r="H101" s="547"/>
      <c r="I101" s="547"/>
      <c r="J101" s="587">
        <f>+J98+J85</f>
        <v>79254176.693629116</v>
      </c>
    </row>
    <row r="102" spans="1:10" ht="15.6">
      <c r="A102" s="973">
        <f>+A101+1</f>
        <v>60</v>
      </c>
      <c r="B102" s="547" t="s">
        <v>570</v>
      </c>
      <c r="C102" s="547"/>
      <c r="D102" s="547"/>
      <c r="E102" s="547" t="s">
        <v>615</v>
      </c>
      <c r="F102" s="547"/>
      <c r="G102" s="547"/>
      <c r="H102" s="547"/>
      <c r="I102" s="547"/>
      <c r="J102" s="568">
        <f>+J76</f>
        <v>833543649.73076928</v>
      </c>
    </row>
    <row r="103" spans="1:10" ht="15.6">
      <c r="A103" s="973">
        <f>+A102+1</f>
        <v>61</v>
      </c>
      <c r="B103" s="547" t="s">
        <v>613</v>
      </c>
      <c r="C103" s="547"/>
      <c r="D103" s="547"/>
      <c r="E103" s="547" t="s">
        <v>616</v>
      </c>
      <c r="F103" s="547"/>
      <c r="G103" s="547"/>
      <c r="H103" s="547"/>
      <c r="I103" s="547"/>
      <c r="J103" s="686">
        <f>IF(J102=0,0,J101/J102)</f>
        <v>9.508101551637739E-2</v>
      </c>
    </row>
    <row r="104" spans="1:10" ht="15.6">
      <c r="A104" s="973">
        <f>+A103+1</f>
        <v>62</v>
      </c>
      <c r="B104" s="547" t="s">
        <v>617</v>
      </c>
      <c r="C104" s="547"/>
      <c r="D104" s="547"/>
      <c r="E104" s="547" t="s">
        <v>618</v>
      </c>
      <c r="F104" s="547"/>
      <c r="G104" s="547"/>
      <c r="H104" s="547"/>
      <c r="I104" s="547"/>
      <c r="J104" s="686">
        <f>+J103-J37</f>
        <v>3.0037589979993451E-3</v>
      </c>
    </row>
    <row r="105" spans="1:10" ht="15.6">
      <c r="A105" s="979"/>
      <c r="B105" s="547"/>
      <c r="J105" s="549" t="str">
        <f>+J40</f>
        <v>Attachment 4</v>
      </c>
    </row>
    <row r="107" spans="1:10" ht="15.6">
      <c r="A107" s="973">
        <v>63</v>
      </c>
      <c r="B107" s="687" t="s">
        <v>619</v>
      </c>
      <c r="E107" s="559"/>
      <c r="F107" s="559"/>
      <c r="G107" s="559"/>
      <c r="H107" s="559"/>
      <c r="J107" s="685"/>
    </row>
    <row r="108" spans="1:10" ht="15.6">
      <c r="B108" s="687"/>
      <c r="E108" s="559"/>
      <c r="F108" s="559"/>
      <c r="G108" s="559"/>
      <c r="H108" s="559"/>
      <c r="J108" s="685"/>
    </row>
    <row r="109" spans="1:10" ht="15.6">
      <c r="A109" s="973">
        <v>64</v>
      </c>
      <c r="B109" s="687" t="s">
        <v>620</v>
      </c>
      <c r="C109" t="s">
        <v>621</v>
      </c>
      <c r="E109" s="559"/>
      <c r="F109" s="559"/>
      <c r="G109" s="559"/>
      <c r="H109" s="559"/>
      <c r="J109" s="1077">
        <f>IF(M135=0,0,('Appendix A'!J153+'Appendix A'!J169-'Appendix A'!J151)/M135)</f>
        <v>2.1319904931465416E-2</v>
      </c>
    </row>
    <row r="110" spans="1:10" ht="15.6">
      <c r="A110" s="973">
        <v>65</v>
      </c>
      <c r="B110" s="687" t="str">
        <f>+'Appendix A'!C250</f>
        <v>Base Carrying Charge (used in Attach 4, Line 65)</v>
      </c>
      <c r="C110" t="s">
        <v>622</v>
      </c>
      <c r="E110" s="559"/>
      <c r="F110" s="559"/>
      <c r="G110" s="559"/>
      <c r="H110" s="559"/>
      <c r="J110" s="1077">
        <f>+'Appendix A'!M250</f>
        <v>9.0314450642504526E-2</v>
      </c>
    </row>
    <row r="111" spans="1:10" ht="15.6">
      <c r="A111" s="980"/>
      <c r="D111" s="559"/>
      <c r="E111" s="559"/>
      <c r="F111" s="559"/>
      <c r="G111" s="559"/>
      <c r="H111" s="559"/>
      <c r="J111" s="685"/>
    </row>
    <row r="112" spans="1:10">
      <c r="A112" s="813" t="s">
        <v>623</v>
      </c>
    </row>
    <row r="113" spans="1:19" ht="15.6">
      <c r="A113" s="980"/>
      <c r="D113" s="559"/>
      <c r="E113" s="559"/>
      <c r="F113" s="559"/>
      <c r="G113" s="559"/>
      <c r="H113" s="559"/>
      <c r="J113" s="685"/>
    </row>
    <row r="114" spans="1:19" ht="16.2" thickBot="1">
      <c r="A114" s="980"/>
      <c r="B114" t="s">
        <v>191</v>
      </c>
      <c r="C114" t="s">
        <v>192</v>
      </c>
      <c r="D114" s="831" t="s">
        <v>193</v>
      </c>
      <c r="E114" s="831" t="s">
        <v>421</v>
      </c>
      <c r="F114" s="831" t="s">
        <v>422</v>
      </c>
      <c r="G114" s="831" t="s">
        <v>423</v>
      </c>
      <c r="H114" s="831" t="s">
        <v>424</v>
      </c>
      <c r="I114" s="831" t="s">
        <v>425</v>
      </c>
      <c r="J114" s="831" t="s">
        <v>624</v>
      </c>
      <c r="K114" s="831" t="s">
        <v>625</v>
      </c>
      <c r="L114" s="831" t="s">
        <v>626</v>
      </c>
      <c r="M114" s="831" t="s">
        <v>627</v>
      </c>
      <c r="N114" s="831" t="s">
        <v>628</v>
      </c>
      <c r="O114" s="831" t="s">
        <v>629</v>
      </c>
      <c r="P114" s="831" t="s">
        <v>630</v>
      </c>
      <c r="Q114" s="831" t="s">
        <v>631</v>
      </c>
      <c r="R114" s="831" t="s">
        <v>632</v>
      </c>
      <c r="S114" s="1123" t="s">
        <v>633</v>
      </c>
    </row>
    <row r="115" spans="1:19" ht="92.25" customHeight="1" thickBot="1">
      <c r="A115" s="1044" t="s">
        <v>36</v>
      </c>
      <c r="B115" s="1045" t="s">
        <v>634</v>
      </c>
      <c r="C115" s="1046" t="s">
        <v>635</v>
      </c>
      <c r="D115" s="1046" t="s">
        <v>636</v>
      </c>
      <c r="E115" s="1046" t="s">
        <v>637</v>
      </c>
      <c r="F115" s="1046" t="s">
        <v>638</v>
      </c>
      <c r="G115" s="1047" t="s">
        <v>639</v>
      </c>
      <c r="H115" s="1048" t="s">
        <v>640</v>
      </c>
      <c r="I115" s="1046" t="s">
        <v>641</v>
      </c>
      <c r="J115" s="1046" t="s">
        <v>642</v>
      </c>
      <c r="K115" s="1046" t="s">
        <v>643</v>
      </c>
      <c r="L115" s="1049" t="s">
        <v>644</v>
      </c>
      <c r="M115" s="1048" t="s">
        <v>645</v>
      </c>
      <c r="N115" s="1048" t="s">
        <v>646</v>
      </c>
      <c r="O115" s="1048" t="s">
        <v>647</v>
      </c>
      <c r="P115" s="1048" t="s">
        <v>648</v>
      </c>
      <c r="Q115" s="1050" t="s">
        <v>649</v>
      </c>
      <c r="R115" s="1124" t="s">
        <v>46</v>
      </c>
      <c r="S115" s="1124" t="s">
        <v>650</v>
      </c>
    </row>
    <row r="116" spans="1:19" ht="15.6">
      <c r="A116" s="1022">
        <v>66</v>
      </c>
      <c r="B116" s="1023" t="s">
        <v>651</v>
      </c>
      <c r="C116" s="1023">
        <f>+'2 - Cost Support '!M20+'2 - Cost Support '!M52-'2 - Cost Support '!M106-'2 - Cost Support '!M138</f>
        <v>180679208</v>
      </c>
      <c r="D116" s="1273">
        <v>9.5000000000000001E-2</v>
      </c>
      <c r="E116" s="1024">
        <f>+G18</f>
        <v>9.5000000000000001E-2</v>
      </c>
      <c r="F116" s="1118">
        <v>5.0000000000000001E-3</v>
      </c>
      <c r="G116" s="1075">
        <f>+$J$70</f>
        <v>7.3626581252809048E-3</v>
      </c>
      <c r="H116" s="1076">
        <f>+F116/0.01*G116</f>
        <v>3.6813290626404524E-3</v>
      </c>
      <c r="I116" s="1070">
        <f>+C116*H116</f>
        <v>665139.6194252593</v>
      </c>
      <c r="J116" s="1023">
        <v>0</v>
      </c>
      <c r="K116" s="1025">
        <f>+J116*$J$104*C116</f>
        <v>0</v>
      </c>
      <c r="L116" s="1026">
        <f t="shared" ref="L116:L123" si="3">+C116*J$110</f>
        <v>16317943.41304281</v>
      </c>
      <c r="M116" s="1023">
        <f>+'2 - Cost Support '!M20+'2 - Cost Support '!M52</f>
        <v>214394800</v>
      </c>
      <c r="N116" s="1078">
        <f>+J109</f>
        <v>2.1319904931465416E-2</v>
      </c>
      <c r="O116" s="1025">
        <f>+M116*N116</f>
        <v>4570876.7538005412</v>
      </c>
      <c r="P116" s="1023">
        <f>'2 - Cost Support '!M201</f>
        <v>4615404</v>
      </c>
      <c r="Q116" s="1025">
        <f>+I116+L116+O116+P116+K116</f>
        <v>26169363.786268611</v>
      </c>
      <c r="R116" s="1023">
        <f>-'7 - True-Up'!I9-166196-'7 - True-Up'!I11-9+1</f>
        <v>-2565775</v>
      </c>
      <c r="S116" s="1027">
        <f>+Q116+R116</f>
        <v>23603588.786268611</v>
      </c>
    </row>
    <row r="117" spans="1:19" s="936" customFormat="1" ht="15.6">
      <c r="A117" s="1028" t="s">
        <v>652</v>
      </c>
      <c r="B117" s="1237" t="s">
        <v>1209</v>
      </c>
      <c r="C117" s="688">
        <f>'10 - Workpaper'!V70</f>
        <v>143974598</v>
      </c>
      <c r="D117" s="1238">
        <v>9.5000000000000001E-2</v>
      </c>
      <c r="E117" s="717">
        <f>+E116</f>
        <v>9.5000000000000001E-2</v>
      </c>
      <c r="F117" s="1115">
        <v>1.15E-2</v>
      </c>
      <c r="G117" s="1077">
        <f>+$J$70</f>
        <v>7.3626581252809048E-3</v>
      </c>
      <c r="H117" s="1083">
        <f>+F117/0.01*G117</f>
        <v>8.4670568440730395E-3</v>
      </c>
      <c r="I117" s="1084">
        <f>+C117*H117</f>
        <v>1219041.1053685646</v>
      </c>
      <c r="J117" s="688">
        <v>0</v>
      </c>
      <c r="K117" s="1116">
        <f>+J117*$J$104*C117</f>
        <v>0</v>
      </c>
      <c r="L117" s="684">
        <f t="shared" si="3"/>
        <v>13002986.724845432</v>
      </c>
      <c r="M117" s="688">
        <v>0</v>
      </c>
      <c r="N117" s="1117">
        <f>+N116</f>
        <v>2.1319904931465416E-2</v>
      </c>
      <c r="O117" s="1116">
        <f>+M117*N117</f>
        <v>0</v>
      </c>
      <c r="P117" s="688">
        <v>0</v>
      </c>
      <c r="Q117" s="1116">
        <f>+I117+L117+O117+P117+K117</f>
        <v>14222027.830213996</v>
      </c>
      <c r="R117" s="688">
        <f>-'7 - True-Up'!I12-270498</f>
        <v>-4175801</v>
      </c>
      <c r="S117" s="1030">
        <f>+Q117+R117</f>
        <v>10046226.830213996</v>
      </c>
    </row>
    <row r="118" spans="1:19" ht="15.6">
      <c r="A118" s="1028" t="s">
        <v>654</v>
      </c>
      <c r="B118" s="1237" t="s">
        <v>1210</v>
      </c>
      <c r="C118" s="688">
        <f>'10 - Workpaper'!V71</f>
        <v>29884826.846153848</v>
      </c>
      <c r="D118" s="1238">
        <v>9.5000000000000001E-2</v>
      </c>
      <c r="E118" s="717">
        <f>+E117</f>
        <v>9.5000000000000001E-2</v>
      </c>
      <c r="F118" s="1238">
        <v>6.4999999999999997E-3</v>
      </c>
      <c r="G118" s="1077">
        <f>+$J$70</f>
        <v>7.3626581252809048E-3</v>
      </c>
      <c r="H118" s="1083">
        <f>+F118/0.01*G118</f>
        <v>4.7857277814325871E-3</v>
      </c>
      <c r="I118" s="1084">
        <f>+C118*H118</f>
        <v>143020.64608094087</v>
      </c>
      <c r="J118" s="688">
        <v>0</v>
      </c>
      <c r="K118" s="1029">
        <f>+J118*$J$104*C118</f>
        <v>0</v>
      </c>
      <c r="L118" s="684">
        <f t="shared" si="3"/>
        <v>2699031.7191567561</v>
      </c>
      <c r="M118" s="688">
        <v>0</v>
      </c>
      <c r="N118" s="1117">
        <f>+N117</f>
        <v>2.1319904931465416E-2</v>
      </c>
      <c r="O118" s="1029">
        <f>+M118*N118</f>
        <v>0</v>
      </c>
      <c r="P118" s="688">
        <v>0</v>
      </c>
      <c r="Q118" s="1029">
        <f>+I118+L118+O118+P118+K118</f>
        <v>2842052.365237697</v>
      </c>
      <c r="R118" s="688">
        <f>-'7 - True-Up'!I13+64926</f>
        <v>1002298</v>
      </c>
      <c r="S118" s="1030">
        <f>+Q118+R118</f>
        <v>3844350.365237697</v>
      </c>
    </row>
    <row r="119" spans="1:19" ht="15.6">
      <c r="A119" s="1028" t="s">
        <v>655</v>
      </c>
      <c r="B119" s="1237" t="s">
        <v>1203</v>
      </c>
      <c r="C119" s="688">
        <f>+'2 - Cost Support '!H20+'2 - Cost Support '!H52-'2 - Cost Support '!H106-'2 - Cost Support '!H138</f>
        <v>303054763.30769235</v>
      </c>
      <c r="D119" s="1238">
        <v>9.5000000000000001E-2</v>
      </c>
      <c r="E119" s="717">
        <f>+E118</f>
        <v>9.5000000000000001E-2</v>
      </c>
      <c r="F119" s="1238">
        <v>1.15E-2</v>
      </c>
      <c r="G119" s="1077">
        <f>+$J$70</f>
        <v>7.3626581252809048E-3</v>
      </c>
      <c r="H119" s="1083">
        <f>+F119/0.01*G119</f>
        <v>8.4670568440730395E-3</v>
      </c>
      <c r="I119" s="1084">
        <f t="shared" ref="I119:I123" si="4">+C119*H119</f>
        <v>2565981.9077933314</v>
      </c>
      <c r="J119" s="688">
        <v>0</v>
      </c>
      <c r="K119" s="1029">
        <f>+J119*$J$104*C119</f>
        <v>0</v>
      </c>
      <c r="L119" s="684">
        <f t="shared" si="3"/>
        <v>27370224.462728471</v>
      </c>
      <c r="M119" s="688">
        <f>+'2 - Cost Support '!H20+'2 - Cost Support '!H52</f>
        <v>307681937.69230771</v>
      </c>
      <c r="N119" s="1079">
        <f>+N118</f>
        <v>2.1319904931465416E-2</v>
      </c>
      <c r="O119" s="1029">
        <f t="shared" ref="O119:O134" si="5">+M119*N119</f>
        <v>6559749.6607290655</v>
      </c>
      <c r="P119" s="688">
        <f>'2 - Cost Support '!H201</f>
        <v>7053490</v>
      </c>
      <c r="Q119" s="1029">
        <f>+I119+L119+O119+P119+K119</f>
        <v>43549446.031250864</v>
      </c>
      <c r="R119" s="688">
        <f>-'7 - True-Up'!I14+391079</f>
        <v>6037269</v>
      </c>
      <c r="S119" s="1030">
        <f>+Q119+R119</f>
        <v>49586715.031250864</v>
      </c>
    </row>
    <row r="120" spans="1:19" ht="15.6">
      <c r="A120" s="1028" t="s">
        <v>656</v>
      </c>
      <c r="B120" s="1237" t="s">
        <v>1205</v>
      </c>
      <c r="C120" s="688">
        <f>+'2 - Cost Support '!I20+'2 - Cost Support '!I52-'2 - Cost Support '!I106-'2 - Cost Support '!I138</f>
        <v>2743669.1538461535</v>
      </c>
      <c r="D120" s="1238">
        <v>9.5000000000000001E-2</v>
      </c>
      <c r="E120" s="717">
        <f>+E119</f>
        <v>9.5000000000000001E-2</v>
      </c>
      <c r="F120" s="1238">
        <v>0</v>
      </c>
      <c r="G120" s="1077">
        <f t="shared" ref="G120:G123" si="6">+$J$70</f>
        <v>7.3626581252809048E-3</v>
      </c>
      <c r="H120" s="1083">
        <f t="shared" ref="H120:H123" si="7">+F120/0.01*G120</f>
        <v>0</v>
      </c>
      <c r="I120" s="1084">
        <f t="shared" si="4"/>
        <v>0</v>
      </c>
      <c r="J120" s="688">
        <v>0</v>
      </c>
      <c r="K120" s="1029">
        <f>+J120*$J$104*C120</f>
        <v>0</v>
      </c>
      <c r="L120" s="684">
        <f>+C120*J$110</f>
        <v>247792.97237440059</v>
      </c>
      <c r="M120" s="688">
        <f>+'2 - Cost Support '!I20+'2 - Cost Support '!I52</f>
        <v>2761080.846153846</v>
      </c>
      <c r="N120" s="1079">
        <f t="shared" ref="N120:N123" si="8">+N119</f>
        <v>2.1319904931465416E-2</v>
      </c>
      <c r="O120" s="1029">
        <f t="shared" ref="O120:O123" si="9">+M120*N120</f>
        <v>58865.981148090083</v>
      </c>
      <c r="P120" s="688">
        <f>'2 - Cost Support '!I201</f>
        <v>56588</v>
      </c>
      <c r="Q120" s="1029">
        <f t="shared" ref="Q120:Q123" si="10">+I120+L120+O120+P120+K120</f>
        <v>363246.95352249069</v>
      </c>
      <c r="R120" s="688">
        <v>0</v>
      </c>
      <c r="S120" s="1030">
        <f t="shared" ref="S120:S123" si="11">+Q120+R120</f>
        <v>363246.95352249069</v>
      </c>
    </row>
    <row r="121" spans="1:19" ht="15.6">
      <c r="A121" s="1028" t="s">
        <v>657</v>
      </c>
      <c r="B121" s="1237" t="s">
        <v>1204</v>
      </c>
      <c r="C121" s="688">
        <f>+'2 - Cost Support '!J20+'2 - Cost Support '!J52-'2 - Cost Support '!J106-'2 - Cost Support '!J138</f>
        <v>145226191.9230769</v>
      </c>
      <c r="D121" s="1238">
        <v>9.5000000000000001E-2</v>
      </c>
      <c r="E121" s="717">
        <f>+E120</f>
        <v>9.5000000000000001E-2</v>
      </c>
      <c r="F121" s="1238">
        <v>1.15E-2</v>
      </c>
      <c r="G121" s="1077">
        <f t="shared" si="6"/>
        <v>7.3626581252809048E-3</v>
      </c>
      <c r="H121" s="1083">
        <f t="shared" si="7"/>
        <v>8.4670568440730395E-3</v>
      </c>
      <c r="I121" s="1084">
        <f t="shared" si="4"/>
        <v>1229638.4222609531</v>
      </c>
      <c r="J121" s="688">
        <v>0</v>
      </c>
      <c r="K121" s="1029">
        <f t="shared" ref="K121" si="12">+J121*$J$104*C121</f>
        <v>0</v>
      </c>
      <c r="L121" s="684">
        <f t="shared" si="3"/>
        <v>13116023.742435617</v>
      </c>
      <c r="M121" s="688">
        <f>'2 - Cost Support '!J20+'2 - Cost Support '!J52</f>
        <v>146944248.23076922</v>
      </c>
      <c r="N121" s="1079">
        <f t="shared" si="8"/>
        <v>2.1319904931465416E-2</v>
      </c>
      <c r="O121" s="1029">
        <f t="shared" si="9"/>
        <v>3132837.4025056548</v>
      </c>
      <c r="P121" s="688">
        <f>'2 - Cost Support '!J201</f>
        <v>2901920</v>
      </c>
      <c r="Q121" s="1029">
        <f t="shared" si="10"/>
        <v>20380419.567202225</v>
      </c>
      <c r="R121" s="688">
        <v>0</v>
      </c>
      <c r="S121" s="1030">
        <f t="shared" si="11"/>
        <v>20380419.567202225</v>
      </c>
    </row>
    <row r="122" spans="1:19" ht="15.6">
      <c r="A122" s="1028" t="s">
        <v>658</v>
      </c>
      <c r="B122" s="1237" t="s">
        <v>326</v>
      </c>
      <c r="C122" s="688">
        <f>+'2 - Cost Support '!K20+'2 - Cost Support '!K52-'2 - Cost Support '!K106-'2 - Cost Support '!K138</f>
        <v>57959062.461538464</v>
      </c>
      <c r="D122" s="1238">
        <v>9.5000000000000001E-2</v>
      </c>
      <c r="E122" s="717">
        <f t="shared" ref="E122:E133" si="13">+E121</f>
        <v>9.5000000000000001E-2</v>
      </c>
      <c r="F122" s="1238">
        <v>6.4999999999999997E-3</v>
      </c>
      <c r="G122" s="1077">
        <f t="shared" si="6"/>
        <v>7.3626581252809048E-3</v>
      </c>
      <c r="H122" s="1083">
        <f t="shared" si="7"/>
        <v>4.7857277814325871E-3</v>
      </c>
      <c r="I122" s="1084">
        <f t="shared" si="4"/>
        <v>277376.29540797119</v>
      </c>
      <c r="J122" s="688">
        <v>0</v>
      </c>
      <c r="K122" s="1029">
        <f>+J122*$J$104*C122</f>
        <v>0</v>
      </c>
      <c r="L122" s="684">
        <f t="shared" si="3"/>
        <v>5234540.8859684523</v>
      </c>
      <c r="M122" s="688">
        <f>'2 - Cost Support '!K20+'2 - Cost Support '!K52</f>
        <v>58304128</v>
      </c>
      <c r="N122" s="1079">
        <f t="shared" si="8"/>
        <v>2.1319904931465416E-2</v>
      </c>
      <c r="O122" s="1029">
        <f t="shared" si="9"/>
        <v>1243038.4660719908</v>
      </c>
      <c r="P122" s="688">
        <f>'2 - Cost Support '!K201</f>
        <v>1121463</v>
      </c>
      <c r="Q122" s="1029">
        <f t="shared" si="10"/>
        <v>7876418.6474484149</v>
      </c>
      <c r="R122" s="688">
        <v>0</v>
      </c>
      <c r="S122" s="1030">
        <f t="shared" si="11"/>
        <v>7876418.6474484149</v>
      </c>
    </row>
    <row r="123" spans="1:19" ht="15.6">
      <c r="A123" s="1028" t="s">
        <v>659</v>
      </c>
      <c r="B123" s="1237" t="s">
        <v>327</v>
      </c>
      <c r="C123" s="688">
        <f>+'2 - Cost Support '!L20+'2 - Cost Support '!L52-'2 - Cost Support '!L106-'2 - Cost Support '!L138</f>
        <v>6150671.692307692</v>
      </c>
      <c r="D123" s="1238">
        <v>9.5000000000000001E-2</v>
      </c>
      <c r="E123" s="717">
        <f t="shared" si="13"/>
        <v>9.5000000000000001E-2</v>
      </c>
      <c r="F123" s="1238">
        <v>1.15E-2</v>
      </c>
      <c r="G123" s="1077">
        <f t="shared" si="6"/>
        <v>7.3626581252809048E-3</v>
      </c>
      <c r="H123" s="1083">
        <f t="shared" si="7"/>
        <v>8.4670568440730395E-3</v>
      </c>
      <c r="I123" s="1084">
        <f t="shared" si="4"/>
        <v>52078.086848000145</v>
      </c>
      <c r="J123" s="688">
        <v>0</v>
      </c>
      <c r="K123" s="1029">
        <f>+J123*$J$104*C123</f>
        <v>0</v>
      </c>
      <c r="L123" s="684">
        <f t="shared" si="3"/>
        <v>555494.53497317282</v>
      </c>
      <c r="M123" s="688">
        <f>'2 - Cost Support '!L20+'2 - Cost Support '!L52</f>
        <v>6150671.692307692</v>
      </c>
      <c r="N123" s="1079">
        <f t="shared" si="8"/>
        <v>2.1319904931465416E-2</v>
      </c>
      <c r="O123" s="1029">
        <f t="shared" si="9"/>
        <v>131131.73574465551</v>
      </c>
      <c r="P123" s="688">
        <f>'2 - Cost Support '!L201</f>
        <v>0</v>
      </c>
      <c r="Q123" s="1029">
        <f t="shared" si="10"/>
        <v>738704.35756582848</v>
      </c>
      <c r="R123" s="688">
        <v>0</v>
      </c>
      <c r="S123" s="1030">
        <f t="shared" si="11"/>
        <v>738704.35756582848</v>
      </c>
    </row>
    <row r="124" spans="1:19" ht="15.6">
      <c r="A124" s="1028" t="s">
        <v>298</v>
      </c>
      <c r="B124" s="1237"/>
      <c r="C124" s="688"/>
      <c r="D124" s="691"/>
      <c r="E124" s="717">
        <f t="shared" si="13"/>
        <v>9.5000000000000001E-2</v>
      </c>
      <c r="F124" s="693"/>
      <c r="G124" s="1071"/>
      <c r="H124" s="684"/>
      <c r="I124" s="684"/>
      <c r="J124" s="688"/>
      <c r="K124" s="1029"/>
      <c r="L124" s="684"/>
      <c r="M124" s="688"/>
      <c r="N124" s="1029">
        <f t="shared" ref="N124:N134" si="14">+N123</f>
        <v>2.1319904931465416E-2</v>
      </c>
      <c r="O124" s="1029">
        <f t="shared" si="5"/>
        <v>0</v>
      </c>
      <c r="P124" s="688"/>
      <c r="Q124" s="1029"/>
      <c r="R124" s="688"/>
      <c r="S124" s="1030"/>
    </row>
    <row r="125" spans="1:19" ht="15.6">
      <c r="A125" s="1028" t="s">
        <v>298</v>
      </c>
      <c r="B125" s="1237"/>
      <c r="C125" s="688"/>
      <c r="D125" s="689"/>
      <c r="E125" s="717">
        <f t="shared" si="13"/>
        <v>9.5000000000000001E-2</v>
      </c>
      <c r="F125" s="693"/>
      <c r="G125" s="1071"/>
      <c r="H125" s="684"/>
      <c r="I125" s="684"/>
      <c r="J125" s="688"/>
      <c r="K125" s="1029"/>
      <c r="L125" s="684"/>
      <c r="M125" s="688"/>
      <c r="N125" s="1029">
        <f t="shared" si="14"/>
        <v>2.1319904931465416E-2</v>
      </c>
      <c r="O125" s="1029">
        <f t="shared" si="5"/>
        <v>0</v>
      </c>
      <c r="P125" s="688"/>
      <c r="Q125" s="1029"/>
      <c r="R125" s="688"/>
      <c r="S125" s="1030"/>
    </row>
    <row r="126" spans="1:19" ht="15.6">
      <c r="A126" s="1028" t="s">
        <v>298</v>
      </c>
      <c r="B126" s="1237"/>
      <c r="C126" s="688"/>
      <c r="D126" s="690"/>
      <c r="E126" s="717">
        <f t="shared" si="13"/>
        <v>9.5000000000000001E-2</v>
      </c>
      <c r="F126" s="693"/>
      <c r="G126" s="1071"/>
      <c r="H126" s="684"/>
      <c r="I126" s="684"/>
      <c r="J126" s="688"/>
      <c r="K126" s="1029"/>
      <c r="L126" s="684"/>
      <c r="M126" s="688"/>
      <c r="N126" s="1029">
        <f t="shared" si="14"/>
        <v>2.1319904931465416E-2</v>
      </c>
      <c r="O126" s="1029">
        <f t="shared" si="5"/>
        <v>0</v>
      </c>
      <c r="P126" s="688"/>
      <c r="Q126" s="1029"/>
      <c r="R126" s="688"/>
      <c r="S126" s="1030"/>
    </row>
    <row r="127" spans="1:19" ht="15.6">
      <c r="A127" s="1028" t="s">
        <v>298</v>
      </c>
      <c r="B127" s="1237"/>
      <c r="C127" s="688"/>
      <c r="D127" s="689"/>
      <c r="E127" s="717">
        <f t="shared" si="13"/>
        <v>9.5000000000000001E-2</v>
      </c>
      <c r="F127" s="693"/>
      <c r="G127" s="1071"/>
      <c r="H127" s="684"/>
      <c r="I127" s="684"/>
      <c r="J127" s="688"/>
      <c r="K127" s="1029"/>
      <c r="L127" s="684"/>
      <c r="M127" s="688"/>
      <c r="N127" s="1029">
        <f t="shared" si="14"/>
        <v>2.1319904931465416E-2</v>
      </c>
      <c r="O127" s="1029">
        <f>+M127*N127</f>
        <v>0</v>
      </c>
      <c r="P127" s="688"/>
      <c r="Q127" s="1029"/>
      <c r="R127" s="688"/>
      <c r="S127" s="1030"/>
    </row>
    <row r="128" spans="1:19" ht="15.6">
      <c r="A128" s="1028" t="s">
        <v>298</v>
      </c>
      <c r="B128" s="1237"/>
      <c r="C128" s="688"/>
      <c r="D128" s="690"/>
      <c r="E128" s="717">
        <f t="shared" si="13"/>
        <v>9.5000000000000001E-2</v>
      </c>
      <c r="F128" s="693"/>
      <c r="G128" s="1071"/>
      <c r="H128" s="684"/>
      <c r="I128" s="684"/>
      <c r="J128" s="688"/>
      <c r="K128" s="1029"/>
      <c r="L128" s="684"/>
      <c r="M128" s="688"/>
      <c r="N128" s="1029">
        <f t="shared" si="14"/>
        <v>2.1319904931465416E-2</v>
      </c>
      <c r="O128" s="1029">
        <f>+M128*N128</f>
        <v>0</v>
      </c>
      <c r="P128" s="688"/>
      <c r="Q128" s="1029"/>
      <c r="R128" s="688"/>
      <c r="S128" s="1030"/>
    </row>
    <row r="129" spans="1:19" ht="15.6">
      <c r="A129" s="1028" t="s">
        <v>298</v>
      </c>
      <c r="B129" s="1021"/>
      <c r="C129" s="688"/>
      <c r="D129" s="691"/>
      <c r="E129" s="717">
        <f>+E126</f>
        <v>9.5000000000000001E-2</v>
      </c>
      <c r="F129" s="693"/>
      <c r="G129" s="1071"/>
      <c r="H129" s="684"/>
      <c r="I129" s="684"/>
      <c r="J129" s="688"/>
      <c r="K129" s="1029"/>
      <c r="L129" s="684"/>
      <c r="M129" s="688"/>
      <c r="N129" s="1029">
        <f>+N126</f>
        <v>2.1319904931465416E-2</v>
      </c>
      <c r="O129" s="1029">
        <f t="shared" si="5"/>
        <v>0</v>
      </c>
      <c r="P129" s="688"/>
      <c r="Q129" s="1029"/>
      <c r="R129" s="688"/>
      <c r="S129" s="1030"/>
    </row>
    <row r="130" spans="1:19" ht="15.6">
      <c r="A130" s="1028" t="s">
        <v>298</v>
      </c>
      <c r="B130" s="1021"/>
      <c r="C130" s="688"/>
      <c r="D130" s="692"/>
      <c r="E130" s="717">
        <f>+E129</f>
        <v>9.5000000000000001E-2</v>
      </c>
      <c r="F130" s="693"/>
      <c r="G130" s="1071"/>
      <c r="H130" s="684"/>
      <c r="I130" s="684"/>
      <c r="J130" s="688"/>
      <c r="K130" s="1029"/>
      <c r="L130" s="684"/>
      <c r="M130" s="688"/>
      <c r="N130" s="1029">
        <f t="shared" si="14"/>
        <v>2.1319904931465416E-2</v>
      </c>
      <c r="O130" s="1029">
        <f t="shared" si="5"/>
        <v>0</v>
      </c>
      <c r="P130" s="688"/>
      <c r="Q130" s="1029"/>
      <c r="R130" s="688"/>
      <c r="S130" s="1030"/>
    </row>
    <row r="131" spans="1:19" ht="15.6">
      <c r="A131" s="1028" t="s">
        <v>298</v>
      </c>
      <c r="B131" s="1021"/>
      <c r="C131" s="688"/>
      <c r="D131" s="692"/>
      <c r="E131" s="717">
        <f t="shared" si="13"/>
        <v>9.5000000000000001E-2</v>
      </c>
      <c r="F131" s="693"/>
      <c r="G131" s="684"/>
      <c r="H131" s="684"/>
      <c r="I131" s="684"/>
      <c r="J131" s="688"/>
      <c r="K131" s="1029"/>
      <c r="L131" s="684"/>
      <c r="M131" s="688"/>
      <c r="N131" s="1029">
        <f t="shared" si="14"/>
        <v>2.1319904931465416E-2</v>
      </c>
      <c r="O131" s="1029">
        <f t="shared" si="5"/>
        <v>0</v>
      </c>
      <c r="P131" s="688"/>
      <c r="Q131" s="1029"/>
      <c r="R131" s="688"/>
      <c r="S131" s="1030"/>
    </row>
    <row r="132" spans="1:19" ht="15.6">
      <c r="A132" s="1028" t="s">
        <v>298</v>
      </c>
      <c r="B132" s="1021"/>
      <c r="C132" s="688"/>
      <c r="D132" s="692"/>
      <c r="E132" s="717">
        <f t="shared" si="13"/>
        <v>9.5000000000000001E-2</v>
      </c>
      <c r="F132" s="693"/>
      <c r="G132" s="684"/>
      <c r="H132" s="684"/>
      <c r="I132" s="87"/>
      <c r="J132" s="688"/>
      <c r="K132" s="1029"/>
      <c r="L132" s="1020"/>
      <c r="M132" s="688"/>
      <c r="N132" s="1029">
        <f t="shared" si="14"/>
        <v>2.1319904931465416E-2</v>
      </c>
      <c r="O132" s="1029">
        <f t="shared" si="5"/>
        <v>0</v>
      </c>
      <c r="P132" s="688"/>
      <c r="Q132" s="1029"/>
      <c r="R132" s="688"/>
      <c r="S132" s="1030"/>
    </row>
    <row r="133" spans="1:19" ht="15.6">
      <c r="A133" s="1028" t="s">
        <v>298</v>
      </c>
      <c r="B133" s="1021"/>
      <c r="C133" s="688"/>
      <c r="D133" s="692"/>
      <c r="E133" s="717">
        <f t="shared" si="13"/>
        <v>9.5000000000000001E-2</v>
      </c>
      <c r="F133" s="693"/>
      <c r="G133" s="684"/>
      <c r="H133" s="684"/>
      <c r="I133" s="684"/>
      <c r="J133" s="688"/>
      <c r="K133" s="1029"/>
      <c r="L133" s="684"/>
      <c r="M133" s="688"/>
      <c r="N133" s="1029">
        <f t="shared" si="14"/>
        <v>2.1319904931465416E-2</v>
      </c>
      <c r="O133" s="1029">
        <f t="shared" si="5"/>
        <v>0</v>
      </c>
      <c r="P133" s="688"/>
      <c r="Q133" s="1029"/>
      <c r="R133" s="688"/>
      <c r="S133" s="1030"/>
    </row>
    <row r="134" spans="1:19" ht="16.2" thickBot="1">
      <c r="A134" s="1036"/>
      <c r="B134" s="1037"/>
      <c r="C134" s="1038"/>
      <c r="D134" s="1039"/>
      <c r="E134" s="1040">
        <f>+E133</f>
        <v>9.5000000000000001E-2</v>
      </c>
      <c r="F134" s="1041"/>
      <c r="G134" s="1033"/>
      <c r="H134" s="1033"/>
      <c r="I134" s="1033"/>
      <c r="J134" s="1041"/>
      <c r="K134" s="1034"/>
      <c r="L134" s="1042"/>
      <c r="M134" s="1041"/>
      <c r="N134" s="1034">
        <f t="shared" si="14"/>
        <v>2.1319904931465416E-2</v>
      </c>
      <c r="O134" s="1034">
        <f t="shared" si="5"/>
        <v>0</v>
      </c>
      <c r="P134" s="1041"/>
      <c r="Q134" s="1034"/>
      <c r="R134" s="1041"/>
      <c r="S134" s="1043"/>
    </row>
    <row r="135" spans="1:19" ht="15.6" thickBot="1">
      <c r="A135" s="1031">
        <v>67</v>
      </c>
      <c r="B135" s="1032" t="s">
        <v>43</v>
      </c>
      <c r="C135" s="1032">
        <f>SUM(C116:C134)</f>
        <v>869672991.38461542</v>
      </c>
      <c r="D135" s="1032"/>
      <c r="E135" s="1032"/>
      <c r="F135" s="1032"/>
      <c r="G135" s="1032"/>
      <c r="H135" s="1032"/>
      <c r="I135" s="1033">
        <f>SUM(I116:I134)</f>
        <v>6152276.0831850208</v>
      </c>
      <c r="J135" s="1034"/>
      <c r="K135" s="1033">
        <f>SUM(K116:K134)</f>
        <v>0</v>
      </c>
      <c r="L135" s="1033">
        <f>SUM(L116:L134)</f>
        <v>78544038.4555251</v>
      </c>
      <c r="M135" s="1085">
        <f>SUM(M116:M134)</f>
        <v>736236866.46153855</v>
      </c>
      <c r="N135" s="1034"/>
      <c r="O135" s="1033">
        <f>SUM(O116:O134)</f>
        <v>15696499.999999998</v>
      </c>
      <c r="P135" s="1033">
        <f>SUM(P116:P134)</f>
        <v>15748865</v>
      </c>
      <c r="Q135" s="1125">
        <f>SUM(Q116:Q134)</f>
        <v>116141679.53871013</v>
      </c>
      <c r="R135" s="1125">
        <f>SUM(R116:R134)</f>
        <v>297991</v>
      </c>
      <c r="S135" s="1035">
        <f>SUM(S116:S134)</f>
        <v>116439670.53871013</v>
      </c>
    </row>
    <row r="136" spans="1:19" ht="15.6">
      <c r="A136" s="980"/>
      <c r="B136" s="563" t="s">
        <v>660</v>
      </c>
      <c r="C136" s="547"/>
      <c r="D136" s="547"/>
      <c r="E136" s="547"/>
      <c r="F136" s="547"/>
      <c r="G136" s="547"/>
      <c r="H136" s="547"/>
      <c r="I136" s="684"/>
      <c r="J136" s="548"/>
      <c r="K136" s="548"/>
      <c r="L136" s="684"/>
      <c r="M136" s="548"/>
      <c r="N136" s="548"/>
      <c r="O136" s="548"/>
      <c r="P136" s="548"/>
      <c r="Q136" s="548">
        <f>+'Appendix A'!J191</f>
        <v>116141679.53871012</v>
      </c>
      <c r="R136" s="548"/>
      <c r="S136" s="548">
        <f>'Appendix A'!J25</f>
        <v>116439670.66689698</v>
      </c>
    </row>
    <row r="137" spans="1:19" ht="15.6">
      <c r="A137" s="980"/>
      <c r="B137" s="547" t="s">
        <v>661</v>
      </c>
      <c r="C137" s="547"/>
      <c r="D137" s="547"/>
      <c r="E137" s="547"/>
      <c r="F137" s="547"/>
      <c r="G137" s="547"/>
      <c r="H137" s="547"/>
      <c r="I137" s="684"/>
      <c r="J137" s="548"/>
      <c r="K137" s="548"/>
      <c r="L137" s="684"/>
      <c r="M137" s="548"/>
      <c r="N137" s="548"/>
      <c r="O137" s="548"/>
      <c r="P137" s="548"/>
      <c r="Q137" s="548">
        <f>+Q135-Q136</f>
        <v>0</v>
      </c>
      <c r="R137" s="548"/>
      <c r="S137" s="548">
        <f>ROUND(+S135-S136,0)</f>
        <v>0</v>
      </c>
    </row>
    <row r="138" spans="1:19" ht="15.6">
      <c r="A138" s="980" t="s">
        <v>662</v>
      </c>
      <c r="B138" s="547"/>
      <c r="C138" s="547"/>
      <c r="D138" s="547"/>
      <c r="E138" s="547"/>
      <c r="F138" s="547"/>
      <c r="G138" s="547"/>
      <c r="H138" s="547"/>
      <c r="I138" s="684"/>
      <c r="J138" s="548"/>
      <c r="K138" s="548"/>
      <c r="L138" s="684"/>
      <c r="M138" s="548"/>
      <c r="N138" s="548"/>
      <c r="O138" s="548"/>
      <c r="P138" s="548"/>
      <c r="Q138" s="548"/>
      <c r="R138" s="548"/>
      <c r="S138" s="548"/>
    </row>
    <row r="139" spans="1:19" ht="15.6">
      <c r="A139" s="977" t="s">
        <v>212</v>
      </c>
      <c r="B139" s="547" t="s">
        <v>663</v>
      </c>
      <c r="C139" s="547"/>
      <c r="D139" s="547"/>
      <c r="E139" s="547"/>
      <c r="F139" s="547"/>
      <c r="G139" s="547"/>
      <c r="H139" s="547"/>
      <c r="I139" s="547"/>
      <c r="J139" s="547"/>
      <c r="O139" s="832"/>
    </row>
    <row r="140" spans="1:19" ht="15.6">
      <c r="A140" s="977" t="s">
        <v>215</v>
      </c>
      <c r="B140" s="547" t="s">
        <v>664</v>
      </c>
      <c r="C140" s="701"/>
      <c r="D140" s="701"/>
      <c r="E140" s="701"/>
      <c r="F140" s="701"/>
      <c r="G140" s="701"/>
      <c r="H140" s="701"/>
      <c r="I140" s="701"/>
      <c r="J140" s="701"/>
    </row>
    <row r="141" spans="1:19" ht="15.6">
      <c r="A141" s="977" t="s">
        <v>217</v>
      </c>
      <c r="B141" s="547" t="s">
        <v>665</v>
      </c>
    </row>
    <row r="142" spans="1:19" ht="15.6">
      <c r="A142" s="977" t="s">
        <v>220</v>
      </c>
      <c r="B142" s="547" t="s">
        <v>666</v>
      </c>
    </row>
    <row r="143" spans="1:19" ht="15.6">
      <c r="A143" s="977" t="s">
        <v>227</v>
      </c>
      <c r="B143" s="547" t="s">
        <v>667</v>
      </c>
    </row>
    <row r="144" spans="1:19" ht="15.6">
      <c r="A144" s="977" t="s">
        <v>231</v>
      </c>
      <c r="B144" s="547" t="s">
        <v>668</v>
      </c>
    </row>
    <row r="145" spans="2:16" ht="15.6">
      <c r="B145" s="1356" t="s">
        <v>669</v>
      </c>
      <c r="C145" s="1356"/>
      <c r="D145" s="1355" t="s">
        <v>670</v>
      </c>
      <c r="E145" s="1355"/>
      <c r="F145" s="1355"/>
      <c r="G145" s="1355" t="s">
        <v>210</v>
      </c>
      <c r="H145" s="1355"/>
      <c r="I145" s="1355"/>
      <c r="J145" s="1355"/>
      <c r="K145" s="1355"/>
    </row>
    <row r="146" spans="2:16">
      <c r="B146" s="1354" t="s">
        <v>671</v>
      </c>
      <c r="C146" s="1354"/>
      <c r="D146" s="1353" t="s">
        <v>672</v>
      </c>
      <c r="E146" s="1353"/>
      <c r="F146" s="1353"/>
      <c r="G146" s="1353" t="s">
        <v>673</v>
      </c>
      <c r="H146" s="1353"/>
      <c r="I146" s="1353"/>
      <c r="J146" s="1353"/>
      <c r="K146" s="1353"/>
    </row>
    <row r="147" spans="2:16">
      <c r="B147" s="1354" t="s">
        <v>674</v>
      </c>
      <c r="C147" s="1354"/>
      <c r="D147" s="1353" t="s">
        <v>672</v>
      </c>
      <c r="E147" s="1353"/>
      <c r="F147" s="1353"/>
      <c r="G147" s="1353" t="s">
        <v>673</v>
      </c>
      <c r="H147" s="1353"/>
      <c r="I147" s="1353"/>
      <c r="J147" s="1353"/>
      <c r="K147" s="1353"/>
    </row>
    <row r="148" spans="2:16">
      <c r="B148" s="1354" t="s">
        <v>675</v>
      </c>
      <c r="C148" s="1354"/>
      <c r="D148" s="1353" t="s">
        <v>672</v>
      </c>
      <c r="E148" s="1353"/>
      <c r="F148" s="1353"/>
      <c r="G148" s="1353" t="s">
        <v>673</v>
      </c>
      <c r="H148" s="1353"/>
      <c r="I148" s="1353"/>
      <c r="J148" s="1353"/>
      <c r="K148" s="1353"/>
    </row>
    <row r="149" spans="2:16">
      <c r="B149" s="1354" t="s">
        <v>676</v>
      </c>
      <c r="C149" s="1354"/>
      <c r="D149" s="1353" t="s">
        <v>672</v>
      </c>
      <c r="E149" s="1353"/>
      <c r="F149" s="1353"/>
      <c r="G149" s="1353"/>
      <c r="H149" s="1353"/>
      <c r="I149" s="1353"/>
      <c r="J149" s="1353"/>
      <c r="K149" s="1353"/>
    </row>
    <row r="150" spans="2:16">
      <c r="B150" s="1354" t="s">
        <v>677</v>
      </c>
      <c r="C150" s="1354"/>
      <c r="D150" s="1353" t="s">
        <v>672</v>
      </c>
      <c r="E150" s="1353"/>
      <c r="F150" s="1353"/>
      <c r="G150" s="1353"/>
      <c r="H150" s="1353"/>
      <c r="I150" s="1353"/>
      <c r="J150" s="1353"/>
      <c r="K150" s="1353"/>
    </row>
    <row r="151" spans="2:16">
      <c r="B151" s="1354" t="s">
        <v>653</v>
      </c>
      <c r="C151" s="1354"/>
      <c r="D151" s="1353" t="s">
        <v>672</v>
      </c>
      <c r="E151" s="1353"/>
      <c r="F151" s="1353"/>
      <c r="G151" s="1353"/>
      <c r="H151" s="1353"/>
      <c r="I151" s="1353"/>
      <c r="J151" s="1353"/>
      <c r="K151" s="1353"/>
    </row>
    <row r="152" spans="2:16">
      <c r="B152" s="1353"/>
      <c r="C152" s="1353"/>
      <c r="D152" s="1353"/>
      <c r="E152" s="1353"/>
      <c r="F152" s="1353"/>
      <c r="G152" s="1353"/>
      <c r="H152" s="1353"/>
      <c r="I152" s="1353"/>
      <c r="J152" s="1353"/>
      <c r="K152" s="1353"/>
    </row>
    <row r="156" spans="2:16">
      <c r="L156" s="548"/>
      <c r="M156" s="548"/>
      <c r="N156" s="548"/>
      <c r="O156" s="548"/>
      <c r="P156" s="548"/>
    </row>
    <row r="157" spans="2:16">
      <c r="L157" s="548"/>
      <c r="M157" s="548"/>
      <c r="N157" s="548"/>
      <c r="O157" s="548"/>
      <c r="P157" s="548"/>
    </row>
    <row r="158" spans="2:16">
      <c r="L158" s="1086"/>
    </row>
  </sheetData>
  <mergeCells count="24">
    <mergeCell ref="G145:K145"/>
    <mergeCell ref="G146:K146"/>
    <mergeCell ref="G147:K147"/>
    <mergeCell ref="G148:K148"/>
    <mergeCell ref="B145:C145"/>
    <mergeCell ref="B146:C146"/>
    <mergeCell ref="B147:C147"/>
    <mergeCell ref="B148:C148"/>
    <mergeCell ref="D145:F145"/>
    <mergeCell ref="D146:F146"/>
    <mergeCell ref="D147:F147"/>
    <mergeCell ref="D148:F148"/>
    <mergeCell ref="G152:K152"/>
    <mergeCell ref="B149:C149"/>
    <mergeCell ref="D149:F149"/>
    <mergeCell ref="G149:K149"/>
    <mergeCell ref="B150:C150"/>
    <mergeCell ref="D150:F150"/>
    <mergeCell ref="G150:K150"/>
    <mergeCell ref="B151:C151"/>
    <mergeCell ref="D151:F151"/>
    <mergeCell ref="G151:K151"/>
    <mergeCell ref="B152:C152"/>
    <mergeCell ref="D152:F152"/>
  </mergeCells>
  <pageMargins left="0.7" right="0.7" top="0.75" bottom="0.75" header="0.3" footer="0.3"/>
  <pageSetup scale="33" fitToHeight="0" orientation="landscape" r:id="rId1"/>
  <rowBreaks count="2" manualBreakCount="2">
    <brk id="39" max="18" man="1"/>
    <brk id="104"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Q100"/>
  <sheetViews>
    <sheetView view="pageBreakPreview" zoomScale="75" zoomScaleNormal="100" zoomScaleSheetLayoutView="75" workbookViewId="0"/>
  </sheetViews>
  <sheetFormatPr defaultColWidth="8.81640625" defaultRowHeight="13.2"/>
  <cols>
    <col min="1" max="1" width="5.453125" style="127" customWidth="1"/>
    <col min="2" max="2" width="14.1796875" style="98" customWidth="1"/>
    <col min="3" max="3" width="12.08984375" style="98" bestFit="1" customWidth="1"/>
    <col min="4" max="4" width="12.1796875" style="98" customWidth="1"/>
    <col min="5" max="5" width="11" style="98" customWidth="1"/>
    <col min="6" max="6" width="13.453125" style="98" customWidth="1"/>
    <col min="7" max="7" width="15.54296875" style="98" customWidth="1"/>
    <col min="8" max="8" width="17.08984375" style="98" customWidth="1"/>
    <col min="9" max="9" width="20.6328125" style="98" customWidth="1"/>
    <col min="10" max="10" width="20.81640625" style="98" customWidth="1"/>
    <col min="11" max="11" width="7.1796875" style="98" customWidth="1"/>
    <col min="12" max="12" width="12.1796875" style="98" customWidth="1"/>
    <col min="13" max="13" width="8.08984375" style="98" customWidth="1"/>
    <col min="14" max="14" width="7.6328125" style="98" bestFit="1" customWidth="1"/>
    <col min="15" max="15" width="11.6328125" style="98" bestFit="1" customWidth="1"/>
    <col min="16" max="16" width="10.81640625" style="98" bestFit="1" customWidth="1"/>
    <col min="17" max="16384" width="8.81640625" style="98"/>
  </cols>
  <sheetData>
    <row r="1" spans="1:11" ht="15.6">
      <c r="I1" s="290"/>
    </row>
    <row r="2" spans="1:11" ht="15.6">
      <c r="A2" s="1359" t="s">
        <v>678</v>
      </c>
      <c r="B2" s="1359"/>
      <c r="C2" s="1359"/>
      <c r="D2" s="1359"/>
      <c r="E2" s="1359"/>
      <c r="F2" s="1359"/>
      <c r="G2" s="1359"/>
      <c r="H2" s="1359"/>
      <c r="I2" s="1359"/>
      <c r="J2" s="1359"/>
    </row>
    <row r="3" spans="1:11">
      <c r="A3" s="1360" t="str">
        <f>+'6a- ADIT'!B1</f>
        <v>New York Transco LLC</v>
      </c>
      <c r="B3" s="1360"/>
      <c r="C3" s="1360"/>
      <c r="D3" s="1360"/>
      <c r="E3" s="1360"/>
      <c r="F3" s="1360"/>
      <c r="G3" s="1360"/>
      <c r="H3" s="1360"/>
      <c r="I3" s="1360"/>
      <c r="J3" s="1360"/>
      <c r="K3" s="99"/>
    </row>
    <row r="4" spans="1:11">
      <c r="A4" s="1360" t="s">
        <v>679</v>
      </c>
      <c r="B4" s="1360"/>
      <c r="C4" s="1360"/>
      <c r="D4" s="1360"/>
      <c r="E4" s="1360"/>
      <c r="F4" s="1360"/>
      <c r="G4" s="1360"/>
      <c r="H4" s="1360"/>
      <c r="I4" s="1360"/>
      <c r="J4" s="1360"/>
      <c r="K4" s="99"/>
    </row>
    <row r="5" spans="1:11">
      <c r="A5" s="702"/>
      <c r="B5" s="99"/>
      <c r="C5" s="99"/>
      <c r="D5" s="99"/>
      <c r="E5" s="99"/>
      <c r="F5" s="292"/>
      <c r="G5" s="99"/>
      <c r="H5" s="99"/>
      <c r="I5" s="99"/>
      <c r="J5" s="99"/>
      <c r="K5" s="99"/>
    </row>
    <row r="6" spans="1:11">
      <c r="A6" s="702"/>
      <c r="B6" s="99"/>
      <c r="C6" s="99"/>
      <c r="D6" s="99"/>
      <c r="E6" s="1361"/>
      <c r="F6" s="1361"/>
      <c r="G6" s="1361"/>
      <c r="H6" s="99"/>
      <c r="I6" s="99"/>
      <c r="J6" s="99"/>
      <c r="K6" s="99"/>
    </row>
    <row r="7" spans="1:11">
      <c r="A7" s="702"/>
      <c r="B7" s="99"/>
      <c r="C7" s="99"/>
      <c r="D7" s="99"/>
      <c r="E7" s="99"/>
      <c r="F7" s="292"/>
      <c r="G7" s="99"/>
      <c r="H7" s="99"/>
      <c r="I7" s="99"/>
      <c r="J7" s="99"/>
      <c r="K7" s="99"/>
    </row>
    <row r="8" spans="1:11">
      <c r="A8" s="702"/>
      <c r="B8" s="99" t="s">
        <v>680</v>
      </c>
      <c r="C8" s="99"/>
      <c r="D8" s="99"/>
      <c r="E8" s="99"/>
      <c r="F8" s="292"/>
      <c r="G8" s="99"/>
      <c r="H8" s="99"/>
      <c r="I8" s="99"/>
      <c r="J8" s="99"/>
      <c r="K8" s="99"/>
    </row>
    <row r="9" spans="1:11">
      <c r="A9" s="702"/>
      <c r="B9" s="99" t="s">
        <v>681</v>
      </c>
      <c r="C9" s="99"/>
      <c r="D9" s="99"/>
      <c r="E9" s="99"/>
      <c r="F9" s="292"/>
      <c r="G9" s="99"/>
      <c r="H9" s="99"/>
      <c r="I9" s="99"/>
      <c r="J9" s="99"/>
      <c r="K9" s="99"/>
    </row>
    <row r="10" spans="1:11">
      <c r="A10" s="702"/>
      <c r="B10" s="99" t="s">
        <v>682</v>
      </c>
      <c r="C10" s="99"/>
      <c r="D10" s="99"/>
      <c r="E10" s="99"/>
      <c r="F10" s="292"/>
      <c r="G10" s="99"/>
      <c r="H10" s="99"/>
      <c r="I10" s="99"/>
      <c r="J10" s="99"/>
      <c r="K10" s="99"/>
    </row>
    <row r="11" spans="1:11">
      <c r="A11" s="702"/>
      <c r="B11" s="99"/>
      <c r="C11" s="99"/>
      <c r="D11" s="99"/>
      <c r="E11" s="99"/>
      <c r="F11" s="292"/>
      <c r="G11" s="99"/>
      <c r="H11" s="99"/>
      <c r="I11" s="99"/>
      <c r="J11" s="99"/>
      <c r="K11" s="99"/>
    </row>
    <row r="12" spans="1:11" ht="13.8" thickBot="1">
      <c r="A12" s="698"/>
      <c r="B12" s="291" t="s">
        <v>683</v>
      </c>
      <c r="C12" s="99"/>
      <c r="D12" s="99"/>
      <c r="E12" s="99"/>
      <c r="F12" s="99"/>
      <c r="G12" s="99"/>
      <c r="H12" s="99"/>
      <c r="I12" s="99"/>
      <c r="J12" s="99"/>
      <c r="K12" s="99"/>
    </row>
    <row r="13" spans="1:11" ht="13.8">
      <c r="A13" s="698"/>
      <c r="B13" s="293"/>
      <c r="C13" s="294"/>
      <c r="D13" s="294"/>
      <c r="E13" s="294"/>
      <c r="F13" s="295"/>
      <c r="G13" s="99"/>
      <c r="H13" s="99"/>
      <c r="I13" s="99"/>
      <c r="J13" s="99"/>
      <c r="K13" s="99"/>
    </row>
    <row r="14" spans="1:11" ht="14.4" thickBot="1">
      <c r="A14" s="698">
        <v>1</v>
      </c>
      <c r="B14" s="296" t="s">
        <v>684</v>
      </c>
      <c r="C14" s="297"/>
      <c r="D14" s="297"/>
      <c r="E14" s="297"/>
      <c r="F14" s="598">
        <v>0</v>
      </c>
      <c r="G14" s="99"/>
      <c r="H14" s="99"/>
      <c r="I14" s="99"/>
      <c r="J14" s="99"/>
      <c r="K14" s="99"/>
    </row>
    <row r="15" spans="1:11" ht="14.4" thickBot="1">
      <c r="A15" s="698"/>
      <c r="B15" s="291" t="s">
        <v>685</v>
      </c>
      <c r="C15" s="298"/>
      <c r="D15" s="298"/>
      <c r="E15" s="298"/>
      <c r="F15" s="299"/>
      <c r="G15" s="99"/>
      <c r="H15" s="99"/>
      <c r="I15" s="300"/>
      <c r="J15" s="99"/>
      <c r="K15" s="99"/>
    </row>
    <row r="16" spans="1:11" ht="16.8">
      <c r="A16" s="698">
        <v>2</v>
      </c>
      <c r="B16" s="293" t="s">
        <v>686</v>
      </c>
      <c r="C16" s="294"/>
      <c r="D16" s="294"/>
      <c r="E16" s="294"/>
      <c r="F16" s="494" t="e">
        <f>XIRR(J51:J70,B51:B70,0.08)</f>
        <v>#NUM!</v>
      </c>
      <c r="G16" s="301"/>
      <c r="H16" s="722"/>
      <c r="I16" s="99"/>
      <c r="J16" s="99"/>
      <c r="K16" s="99"/>
    </row>
    <row r="17" spans="1:12" ht="16.2">
      <c r="A17" s="698">
        <v>3</v>
      </c>
      <c r="B17" s="302" t="s">
        <v>687</v>
      </c>
      <c r="C17" s="298"/>
      <c r="D17" s="298"/>
      <c r="E17" s="298"/>
      <c r="F17" s="303"/>
      <c r="G17" s="99"/>
      <c r="H17"/>
      <c r="I17"/>
      <c r="J17"/>
    </row>
    <row r="18" spans="1:12" ht="15">
      <c r="A18" s="698"/>
      <c r="B18" s="304"/>
      <c r="D18" s="99"/>
      <c r="E18" s="99"/>
      <c r="F18" s="305"/>
      <c r="G18" s="99"/>
      <c r="H18"/>
      <c r="I18"/>
      <c r="J18"/>
    </row>
    <row r="19" spans="1:12">
      <c r="A19" s="698"/>
      <c r="B19" s="304"/>
      <c r="D19" s="99"/>
      <c r="E19" s="99"/>
      <c r="F19" s="305"/>
      <c r="G19" s="99"/>
      <c r="H19" s="99"/>
      <c r="I19" s="99"/>
      <c r="J19" s="99"/>
      <c r="K19" s="123"/>
    </row>
    <row r="20" spans="1:12" ht="22.8">
      <c r="A20" s="698">
        <v>4</v>
      </c>
      <c r="B20" s="306" t="s">
        <v>688</v>
      </c>
      <c r="C20" s="127"/>
      <c r="D20" s="307"/>
      <c r="E20" s="307"/>
      <c r="F20" s="305"/>
      <c r="G20" s="99"/>
      <c r="H20" s="99"/>
      <c r="J20" s="308"/>
      <c r="K20" s="99"/>
    </row>
    <row r="21" spans="1:12" ht="22.8">
      <c r="A21" s="698"/>
      <c r="B21" s="304"/>
      <c r="C21" s="309"/>
      <c r="D21" s="99"/>
      <c r="E21" s="99"/>
      <c r="F21" s="305"/>
      <c r="G21" s="99"/>
      <c r="H21" s="99"/>
      <c r="I21" s="99"/>
      <c r="J21" s="99"/>
      <c r="K21" s="99"/>
    </row>
    <row r="22" spans="1:12" ht="19.5" customHeight="1" thickBot="1">
      <c r="A22" s="698"/>
      <c r="B22" s="310"/>
      <c r="C22" s="156"/>
      <c r="D22" s="311"/>
      <c r="E22" s="311"/>
      <c r="F22" s="312"/>
      <c r="G22" s="99"/>
      <c r="H22" s="99"/>
      <c r="I22" s="99"/>
      <c r="J22" s="99"/>
      <c r="K22" s="99"/>
    </row>
    <row r="23" spans="1:12">
      <c r="A23" s="698"/>
      <c r="B23" s="291"/>
      <c r="D23" s="99"/>
      <c r="E23" s="99"/>
      <c r="F23" s="313"/>
      <c r="G23" s="99"/>
      <c r="H23" s="99"/>
      <c r="I23" s="99"/>
      <c r="J23" s="99"/>
      <c r="K23" s="99"/>
    </row>
    <row r="24" spans="1:12" ht="13.8" thickBot="1">
      <c r="A24" s="698"/>
      <c r="B24" s="163" t="s">
        <v>689</v>
      </c>
      <c r="D24" s="99"/>
      <c r="E24" s="99"/>
      <c r="F24" s="314"/>
      <c r="G24" s="99"/>
      <c r="H24" s="99"/>
      <c r="I24" s="99"/>
      <c r="J24" s="99"/>
      <c r="K24" s="99"/>
    </row>
    <row r="25" spans="1:12">
      <c r="A25" s="698"/>
      <c r="B25" s="315"/>
      <c r="C25" s="316"/>
      <c r="D25" s="317"/>
      <c r="E25" s="317"/>
      <c r="F25" s="318"/>
      <c r="G25" s="99"/>
      <c r="H25" s="99"/>
      <c r="I25" s="99"/>
      <c r="J25" s="99"/>
      <c r="K25" s="99"/>
    </row>
    <row r="26" spans="1:12">
      <c r="A26" s="698"/>
      <c r="B26" s="304" t="s">
        <v>690</v>
      </c>
      <c r="D26" s="99"/>
      <c r="E26" s="99"/>
      <c r="F26" s="319"/>
      <c r="G26" s="99"/>
      <c r="H26" s="99"/>
      <c r="I26" s="99"/>
      <c r="J26" s="99"/>
      <c r="K26" s="99"/>
    </row>
    <row r="27" spans="1:12" ht="15.6">
      <c r="A27" s="698">
        <v>5</v>
      </c>
      <c r="B27" s="320" t="s">
        <v>691</v>
      </c>
      <c r="D27" s="99"/>
      <c r="E27" s="99"/>
      <c r="F27" s="599">
        <v>0</v>
      </c>
      <c r="G27" s="99"/>
      <c r="H27" s="722"/>
      <c r="I27" s="99"/>
      <c r="J27" s="99"/>
      <c r="K27" s="99"/>
    </row>
    <row r="28" spans="1:12" ht="15.6">
      <c r="A28" s="698">
        <v>6</v>
      </c>
      <c r="B28" s="320" t="s">
        <v>692</v>
      </c>
      <c r="D28" s="99"/>
      <c r="E28" s="99"/>
      <c r="F28" s="599">
        <f>0.002*F14</f>
        <v>0</v>
      </c>
      <c r="H28" s="722"/>
      <c r="I28" s="99"/>
      <c r="J28" s="99"/>
      <c r="K28" s="99"/>
      <c r="L28" s="370"/>
    </row>
    <row r="29" spans="1:12">
      <c r="A29" s="698">
        <v>7</v>
      </c>
      <c r="B29" s="320" t="s">
        <v>693</v>
      </c>
      <c r="D29" s="99"/>
      <c r="E29" s="99"/>
      <c r="F29" s="599">
        <f>0.0035*F14</f>
        <v>0</v>
      </c>
      <c r="G29" s="368"/>
      <c r="H29" s="99"/>
      <c r="I29" s="99"/>
      <c r="J29" s="99"/>
      <c r="K29" s="99"/>
    </row>
    <row r="30" spans="1:12">
      <c r="A30" s="698">
        <v>8</v>
      </c>
      <c r="B30" s="320" t="s">
        <v>694</v>
      </c>
      <c r="D30" s="99"/>
      <c r="E30" s="99"/>
      <c r="F30" s="599">
        <v>0</v>
      </c>
      <c r="G30" s="99"/>
      <c r="H30" s="99"/>
      <c r="I30" s="99"/>
      <c r="J30" s="99"/>
      <c r="K30" s="99"/>
    </row>
    <row r="31" spans="1:12">
      <c r="A31" s="698">
        <v>9</v>
      </c>
      <c r="B31" s="320" t="s">
        <v>695</v>
      </c>
      <c r="C31" s="321"/>
      <c r="D31" s="99"/>
      <c r="E31" s="99"/>
      <c r="F31" s="599">
        <v>0</v>
      </c>
      <c r="G31" s="99"/>
      <c r="H31" s="99"/>
      <c r="I31" s="99"/>
      <c r="J31" s="99"/>
      <c r="K31" s="99"/>
    </row>
    <row r="32" spans="1:12" ht="13.8" thickBot="1">
      <c r="A32" s="698">
        <v>10</v>
      </c>
      <c r="B32" s="320" t="s">
        <v>696</v>
      </c>
      <c r="C32" s="321"/>
      <c r="D32" s="99"/>
      <c r="E32" s="99"/>
      <c r="F32" s="322">
        <f>SUM(F27:F31)</f>
        <v>0</v>
      </c>
      <c r="G32" s="99"/>
      <c r="H32" s="99"/>
      <c r="I32" s="99"/>
      <c r="J32" s="99"/>
      <c r="K32" s="99"/>
    </row>
    <row r="33" spans="1:17" ht="14.4" thickTop="1" thickBot="1">
      <c r="A33" s="698"/>
      <c r="B33" s="323"/>
      <c r="C33" s="324"/>
      <c r="D33" s="325"/>
      <c r="E33" s="325"/>
      <c r="F33" s="326"/>
      <c r="G33" s="99"/>
      <c r="H33" s="99"/>
      <c r="I33" s="99"/>
      <c r="J33" s="99"/>
      <c r="K33" s="99"/>
    </row>
    <row r="34" spans="1:17">
      <c r="A34" s="698"/>
      <c r="B34" s="315"/>
      <c r="C34" s="327"/>
      <c r="D34" s="317"/>
      <c r="E34" s="317"/>
      <c r="F34" s="328"/>
      <c r="G34" s="99"/>
      <c r="H34" s="99"/>
      <c r="I34" s="99"/>
      <c r="J34" s="329"/>
      <c r="K34" s="99"/>
    </row>
    <row r="35" spans="1:17">
      <c r="A35" s="698">
        <v>11</v>
      </c>
      <c r="B35" s="304" t="s">
        <v>697</v>
      </c>
      <c r="C35" s="321"/>
      <c r="D35" s="99"/>
      <c r="E35" s="99"/>
      <c r="F35" s="600">
        <f>+F14*0.0004*2</f>
        <v>0</v>
      </c>
      <c r="G35" s="368"/>
      <c r="H35" s="99"/>
      <c r="I35" s="99"/>
      <c r="J35" s="329"/>
      <c r="K35" s="99"/>
    </row>
    <row r="36" spans="1:17">
      <c r="A36" s="698">
        <v>12</v>
      </c>
      <c r="B36" s="304" t="s">
        <v>698</v>
      </c>
      <c r="C36" s="321"/>
      <c r="D36" s="99"/>
      <c r="E36" s="99"/>
      <c r="F36" s="600">
        <v>0</v>
      </c>
      <c r="G36" s="99"/>
      <c r="H36" s="99"/>
      <c r="I36" s="99"/>
      <c r="J36" s="329"/>
      <c r="K36" s="99"/>
    </row>
    <row r="37" spans="1:17" ht="13.8" thickBot="1">
      <c r="A37" s="698">
        <v>13</v>
      </c>
      <c r="B37" s="310" t="s">
        <v>699</v>
      </c>
      <c r="C37" s="330"/>
      <c r="D37" s="311"/>
      <c r="E37" s="311"/>
      <c r="F37" s="601">
        <v>0</v>
      </c>
      <c r="G37" s="331"/>
      <c r="H37" s="99"/>
      <c r="I37" s="99"/>
      <c r="K37" s="99"/>
    </row>
    <row r="38" spans="1:17">
      <c r="A38" s="698"/>
      <c r="B38" s="291"/>
      <c r="C38" s="292"/>
      <c r="D38" s="99"/>
      <c r="E38" s="99"/>
      <c r="F38" s="99"/>
      <c r="G38" s="99"/>
      <c r="H38" s="99"/>
      <c r="I38" s="99"/>
      <c r="J38" s="99"/>
      <c r="K38" s="99"/>
    </row>
    <row r="39" spans="1:17" ht="13.8" thickBot="1">
      <c r="A39" s="698"/>
      <c r="B39" s="163" t="s">
        <v>700</v>
      </c>
      <c r="C39" s="292"/>
      <c r="D39" s="99"/>
      <c r="E39" s="99"/>
      <c r="F39" s="99"/>
      <c r="G39" s="99"/>
      <c r="H39" s="99"/>
      <c r="I39" s="99"/>
      <c r="J39" s="99"/>
      <c r="K39" s="99"/>
    </row>
    <row r="40" spans="1:17" ht="16.2" thickBot="1">
      <c r="B40" s="332"/>
      <c r="C40" s="369">
        <v>2014</v>
      </c>
      <c r="D40" s="333">
        <f t="shared" ref="D40:I40" si="0">+C40+1</f>
        <v>2015</v>
      </c>
      <c r="E40" s="333">
        <f t="shared" si="0"/>
        <v>2016</v>
      </c>
      <c r="F40" s="333">
        <f t="shared" si="0"/>
        <v>2017</v>
      </c>
      <c r="G40" s="333">
        <f t="shared" si="0"/>
        <v>2018</v>
      </c>
      <c r="H40" s="333">
        <f t="shared" si="0"/>
        <v>2019</v>
      </c>
      <c r="I40" s="333">
        <f t="shared" si="0"/>
        <v>2020</v>
      </c>
      <c r="K40" s="722"/>
    </row>
    <row r="41" spans="1:17" ht="16.2" thickBot="1">
      <c r="A41" s="127">
        <v>14</v>
      </c>
      <c r="B41" s="146" t="s">
        <v>701</v>
      </c>
      <c r="C41" s="602">
        <v>6.3600000000000002E-3</v>
      </c>
      <c r="D41" s="602">
        <v>1.034E-2</v>
      </c>
      <c r="E41" s="602">
        <v>1.6E-2</v>
      </c>
      <c r="F41" s="602">
        <v>2.1299999999999999E-2</v>
      </c>
      <c r="G41" s="602">
        <v>2.1299999999999999E-2</v>
      </c>
      <c r="H41" s="602">
        <v>2.1299999999999999E-2</v>
      </c>
      <c r="I41" s="602">
        <v>2.1299999999999999E-2</v>
      </c>
      <c r="K41" s="722"/>
      <c r="L41" s="1357"/>
      <c r="M41" s="1357"/>
      <c r="N41" s="1357"/>
      <c r="O41" s="1357"/>
      <c r="P41" s="1357"/>
      <c r="Q41" s="1357"/>
    </row>
    <row r="42" spans="1:17" ht="13.8" thickBot="1">
      <c r="A42" s="127">
        <v>15</v>
      </c>
      <c r="B42" s="146" t="s">
        <v>702</v>
      </c>
      <c r="C42" s="602">
        <v>2.2499999999999999E-2</v>
      </c>
      <c r="D42" s="602">
        <v>2.2499999999999999E-2</v>
      </c>
      <c r="E42" s="602">
        <v>2.2499999999999999E-2</v>
      </c>
      <c r="F42" s="602">
        <v>2.2499999999999999E-2</v>
      </c>
      <c r="G42" s="602">
        <v>2.2499999999999999E-2</v>
      </c>
      <c r="H42" s="602">
        <v>2.2499999999999999E-2</v>
      </c>
      <c r="I42" s="602">
        <v>2.2499999999999999E-2</v>
      </c>
    </row>
    <row r="43" spans="1:17" ht="13.8" thickBot="1">
      <c r="A43" s="127">
        <v>16</v>
      </c>
      <c r="B43" s="334" t="s">
        <v>703</v>
      </c>
      <c r="C43" s="335">
        <f t="shared" ref="C43:I43" si="1">SUM(C41:C42)</f>
        <v>2.886E-2</v>
      </c>
      <c r="D43" s="335">
        <f t="shared" si="1"/>
        <v>3.2840000000000001E-2</v>
      </c>
      <c r="E43" s="335">
        <f t="shared" si="1"/>
        <v>3.85E-2</v>
      </c>
      <c r="F43" s="335">
        <f t="shared" si="1"/>
        <v>4.3799999999999999E-2</v>
      </c>
      <c r="G43" s="335">
        <f t="shared" si="1"/>
        <v>4.3799999999999999E-2</v>
      </c>
      <c r="H43" s="335">
        <f t="shared" si="1"/>
        <v>4.3799999999999999E-2</v>
      </c>
      <c r="I43" s="335">
        <f t="shared" si="1"/>
        <v>4.3799999999999999E-2</v>
      </c>
    </row>
    <row r="45" spans="1:17" ht="13.8" thickBot="1">
      <c r="B45" s="163" t="s">
        <v>704</v>
      </c>
    </row>
    <row r="46" spans="1:17">
      <c r="B46" s="336" t="s">
        <v>705</v>
      </c>
      <c r="C46" s="203" t="s">
        <v>706</v>
      </c>
      <c r="D46" s="203" t="s">
        <v>707</v>
      </c>
      <c r="E46" s="203" t="s">
        <v>708</v>
      </c>
      <c r="F46" s="203" t="s">
        <v>709</v>
      </c>
      <c r="G46" s="203" t="s">
        <v>710</v>
      </c>
      <c r="H46" s="203" t="s">
        <v>711</v>
      </c>
      <c r="I46" s="203" t="s">
        <v>712</v>
      </c>
      <c r="J46" s="337" t="s">
        <v>713</v>
      </c>
    </row>
    <row r="47" spans="1:17" ht="52.8">
      <c r="A47" s="127">
        <v>17</v>
      </c>
      <c r="B47" s="121" t="s">
        <v>324</v>
      </c>
      <c r="C47" s="127"/>
      <c r="D47" s="282" t="s">
        <v>714</v>
      </c>
      <c r="E47" s="282" t="s">
        <v>715</v>
      </c>
      <c r="F47" s="282" t="s">
        <v>716</v>
      </c>
      <c r="G47" s="282" t="s">
        <v>717</v>
      </c>
      <c r="H47" s="282" t="s">
        <v>718</v>
      </c>
      <c r="I47" s="282" t="s">
        <v>719</v>
      </c>
      <c r="J47" s="338" t="s">
        <v>720</v>
      </c>
    </row>
    <row r="48" spans="1:17" ht="58.5" customHeight="1" thickBot="1">
      <c r="B48" s="339"/>
      <c r="C48" s="156"/>
      <c r="D48" s="703"/>
      <c r="E48" s="703"/>
      <c r="F48" s="703" t="s">
        <v>721</v>
      </c>
      <c r="G48" s="703" t="s">
        <v>722</v>
      </c>
      <c r="H48" s="703" t="s">
        <v>723</v>
      </c>
      <c r="I48" s="703" t="s">
        <v>724</v>
      </c>
      <c r="J48" s="704" t="s">
        <v>725</v>
      </c>
    </row>
    <row r="49" spans="1:12">
      <c r="B49" s="336"/>
      <c r="C49" s="203"/>
      <c r="D49" s="316"/>
      <c r="E49" s="316"/>
      <c r="F49" s="316"/>
      <c r="G49" s="316"/>
      <c r="H49" s="316"/>
      <c r="I49" s="316"/>
      <c r="J49" s="340"/>
    </row>
    <row r="50" spans="1:12" ht="15">
      <c r="A50" s="127">
        <v>18</v>
      </c>
      <c r="B50" s="603"/>
      <c r="C50" s="358"/>
      <c r="D50" s="597"/>
      <c r="E50" s="604"/>
      <c r="F50" s="604"/>
      <c r="H50" s="604"/>
      <c r="J50" s="343"/>
    </row>
    <row r="51" spans="1:12" ht="15.6">
      <c r="A51" s="127">
        <f>+A50+1</f>
        <v>19</v>
      </c>
      <c r="B51" s="603">
        <v>41729</v>
      </c>
      <c r="C51" s="358" t="s">
        <v>726</v>
      </c>
      <c r="D51" s="597">
        <v>0</v>
      </c>
      <c r="E51" s="597">
        <v>0</v>
      </c>
      <c r="F51" s="597">
        <f>SUM($E$50:E51)</f>
        <v>0</v>
      </c>
      <c r="H51" s="597"/>
      <c r="J51" s="343">
        <f t="shared" ref="J51:J67" si="2">E51-G51-H51-I51</f>
        <v>0</v>
      </c>
      <c r="L51" s="723"/>
    </row>
    <row r="52" spans="1:12" ht="15.6">
      <c r="A52" s="127">
        <f t="shared" ref="A52:A74" si="3">+A51+1</f>
        <v>20</v>
      </c>
      <c r="B52" s="603">
        <v>41820</v>
      </c>
      <c r="C52" s="358" t="s">
        <v>727</v>
      </c>
      <c r="D52" s="597">
        <v>0</v>
      </c>
      <c r="E52" s="597">
        <v>0</v>
      </c>
      <c r="F52" s="597">
        <f>SUM($E$50:E52)</f>
        <v>0</v>
      </c>
      <c r="G52" s="706">
        <f>F51*SUMIF($C$40:$I$40,YEAR(B51),$C$43:$I$43)*((B52-B51)/365)</f>
        <v>0</v>
      </c>
      <c r="H52" s="597"/>
      <c r="I52" s="342">
        <f>($F$14/1000-F51)*$F$37/4+($F$36/1000)/4+($F$35/1000)/4</f>
        <v>0</v>
      </c>
      <c r="J52" s="343">
        <f t="shared" si="2"/>
        <v>0</v>
      </c>
      <c r="L52" s="722"/>
    </row>
    <row r="53" spans="1:12" ht="15.6">
      <c r="A53" s="127">
        <f t="shared" si="3"/>
        <v>21</v>
      </c>
      <c r="B53" s="603">
        <v>41912</v>
      </c>
      <c r="C53" s="358" t="s">
        <v>728</v>
      </c>
      <c r="D53" s="597">
        <v>0</v>
      </c>
      <c r="E53" s="597">
        <v>0</v>
      </c>
      <c r="F53" s="597">
        <f>SUM($E$50:E53)</f>
        <v>0</v>
      </c>
      <c r="G53" s="706">
        <f>F52*SUMIF($C$40:$I$40,YEAR(B52),$C$43:$I$43)*((B53-B52)/365)</f>
        <v>0</v>
      </c>
      <c r="H53" s="597"/>
      <c r="I53" s="342">
        <f t="shared" ref="I53:I66" si="4">($F$14/1000-F52)*$F$37/4+($F$36/1000)/4+($F$35/1000)/4</f>
        <v>0</v>
      </c>
      <c r="J53" s="343">
        <f t="shared" si="2"/>
        <v>0</v>
      </c>
      <c r="K53" s="122"/>
      <c r="L53" s="722"/>
    </row>
    <row r="54" spans="1:12" ht="15">
      <c r="A54" s="127">
        <f t="shared" si="3"/>
        <v>22</v>
      </c>
      <c r="B54" s="603">
        <v>42004</v>
      </c>
      <c r="C54" s="358" t="s">
        <v>729</v>
      </c>
      <c r="D54" s="597">
        <v>0</v>
      </c>
      <c r="E54" s="597">
        <v>0</v>
      </c>
      <c r="F54" s="597">
        <f>SUM($E$50:E54)</f>
        <v>0</v>
      </c>
      <c r="G54" s="706">
        <f t="shared" ref="G54:G66" si="5">F53*SUMIF($C$40:$I$40,YEAR(B53),$C$43:$I$43)*((B54-B53)/365)</f>
        <v>0</v>
      </c>
      <c r="H54" s="597"/>
      <c r="I54" s="342">
        <f t="shared" si="4"/>
        <v>0</v>
      </c>
      <c r="J54" s="343">
        <f t="shared" si="2"/>
        <v>0</v>
      </c>
      <c r="K54" s="122"/>
      <c r="L54" s="281"/>
    </row>
    <row r="55" spans="1:12" ht="15">
      <c r="A55" s="127">
        <f t="shared" si="3"/>
        <v>23</v>
      </c>
      <c r="B55" s="603">
        <v>42094</v>
      </c>
      <c r="C55" s="358" t="s">
        <v>726</v>
      </c>
      <c r="D55" s="597">
        <v>0</v>
      </c>
      <c r="E55" s="597">
        <v>0</v>
      </c>
      <c r="F55" s="597">
        <f>SUM($E$50:E55)</f>
        <v>0</v>
      </c>
      <c r="G55" s="706">
        <f t="shared" si="5"/>
        <v>0</v>
      </c>
      <c r="H55" s="597"/>
      <c r="I55" s="342">
        <f t="shared" si="4"/>
        <v>0</v>
      </c>
      <c r="J55" s="343">
        <f t="shared" si="2"/>
        <v>0</v>
      </c>
      <c r="K55" s="122"/>
      <c r="L55" s="281"/>
    </row>
    <row r="56" spans="1:12" ht="15">
      <c r="A56" s="127">
        <f t="shared" si="3"/>
        <v>24</v>
      </c>
      <c r="B56" s="603">
        <v>42185</v>
      </c>
      <c r="C56" s="358" t="s">
        <v>727</v>
      </c>
      <c r="D56" s="597">
        <v>0</v>
      </c>
      <c r="E56" s="597">
        <v>0</v>
      </c>
      <c r="F56" s="597">
        <f>SUM($E$50:E56)</f>
        <v>0</v>
      </c>
      <c r="G56" s="706">
        <f t="shared" si="5"/>
        <v>0</v>
      </c>
      <c r="H56" s="597"/>
      <c r="I56" s="342">
        <f t="shared" si="4"/>
        <v>0</v>
      </c>
      <c r="J56" s="343">
        <f t="shared" si="2"/>
        <v>0</v>
      </c>
      <c r="K56" s="122"/>
      <c r="L56" s="281"/>
    </row>
    <row r="57" spans="1:12" ht="15">
      <c r="A57" s="127">
        <f t="shared" si="3"/>
        <v>25</v>
      </c>
      <c r="B57" s="603">
        <v>42277</v>
      </c>
      <c r="C57" s="358" t="s">
        <v>728</v>
      </c>
      <c r="D57" s="597">
        <v>0</v>
      </c>
      <c r="E57" s="597">
        <v>0</v>
      </c>
      <c r="F57" s="597">
        <f>SUM($E$50:E57)</f>
        <v>0</v>
      </c>
      <c r="G57" s="706">
        <f t="shared" si="5"/>
        <v>0</v>
      </c>
      <c r="H57" s="597"/>
      <c r="I57" s="342">
        <f t="shared" si="4"/>
        <v>0</v>
      </c>
      <c r="J57" s="343">
        <f t="shared" si="2"/>
        <v>0</v>
      </c>
      <c r="K57" s="122"/>
      <c r="L57" s="281"/>
    </row>
    <row r="58" spans="1:12" ht="15">
      <c r="A58" s="127">
        <f t="shared" si="3"/>
        <v>26</v>
      </c>
      <c r="B58" s="603">
        <v>42369</v>
      </c>
      <c r="C58" s="358" t="s">
        <v>729</v>
      </c>
      <c r="D58" s="597">
        <v>0</v>
      </c>
      <c r="E58" s="597">
        <v>0</v>
      </c>
      <c r="F58" s="597">
        <f>SUM($E$50:E58)</f>
        <v>0</v>
      </c>
      <c r="G58" s="706">
        <f t="shared" si="5"/>
        <v>0</v>
      </c>
      <c r="H58" s="597"/>
      <c r="I58" s="342">
        <f t="shared" si="4"/>
        <v>0</v>
      </c>
      <c r="J58" s="343">
        <f t="shared" si="2"/>
        <v>0</v>
      </c>
      <c r="K58" s="122"/>
      <c r="L58" s="281"/>
    </row>
    <row r="59" spans="1:12" ht="15">
      <c r="A59" s="127">
        <f t="shared" si="3"/>
        <v>27</v>
      </c>
      <c r="B59" s="603">
        <v>42460</v>
      </c>
      <c r="C59" s="358" t="s">
        <v>726</v>
      </c>
      <c r="D59" s="597">
        <v>0</v>
      </c>
      <c r="E59" s="597">
        <v>0</v>
      </c>
      <c r="F59" s="597">
        <f>SUM($E$50:E59)</f>
        <v>0</v>
      </c>
      <c r="G59" s="706">
        <f t="shared" si="5"/>
        <v>0</v>
      </c>
      <c r="H59" s="597"/>
      <c r="I59" s="342">
        <f t="shared" si="4"/>
        <v>0</v>
      </c>
      <c r="J59" s="343">
        <f t="shared" si="2"/>
        <v>0</v>
      </c>
      <c r="K59" s="122"/>
      <c r="L59" s="281"/>
    </row>
    <row r="60" spans="1:12" ht="15">
      <c r="A60" s="127">
        <f t="shared" si="3"/>
        <v>28</v>
      </c>
      <c r="B60" s="603">
        <v>42551</v>
      </c>
      <c r="C60" s="358" t="s">
        <v>727</v>
      </c>
      <c r="D60" s="597">
        <v>0</v>
      </c>
      <c r="E60" s="597">
        <v>0</v>
      </c>
      <c r="F60" s="597">
        <f>SUM($E$50:E60)</f>
        <v>0</v>
      </c>
      <c r="G60" s="706">
        <f t="shared" si="5"/>
        <v>0</v>
      </c>
      <c r="H60" s="597"/>
      <c r="I60" s="342">
        <f t="shared" si="4"/>
        <v>0</v>
      </c>
      <c r="J60" s="343">
        <f t="shared" si="2"/>
        <v>0</v>
      </c>
      <c r="K60" s="122"/>
      <c r="L60" s="281"/>
    </row>
    <row r="61" spans="1:12" ht="15">
      <c r="A61" s="127">
        <f t="shared" si="3"/>
        <v>29</v>
      </c>
      <c r="B61" s="603">
        <v>42643</v>
      </c>
      <c r="C61" s="358" t="s">
        <v>728</v>
      </c>
      <c r="D61" s="597">
        <v>0</v>
      </c>
      <c r="E61" s="597">
        <v>0</v>
      </c>
      <c r="F61" s="597">
        <f>SUM($E$50:E61)</f>
        <v>0</v>
      </c>
      <c r="G61" s="706">
        <f t="shared" si="5"/>
        <v>0</v>
      </c>
      <c r="H61" s="597"/>
      <c r="I61" s="342">
        <f t="shared" si="4"/>
        <v>0</v>
      </c>
      <c r="J61" s="343">
        <f t="shared" si="2"/>
        <v>0</v>
      </c>
      <c r="K61" s="122"/>
      <c r="L61" s="281"/>
    </row>
    <row r="62" spans="1:12" ht="15">
      <c r="A62" s="127">
        <f t="shared" si="3"/>
        <v>30</v>
      </c>
      <c r="B62" s="603">
        <v>42735</v>
      </c>
      <c r="C62" s="358" t="s">
        <v>729</v>
      </c>
      <c r="D62" s="597">
        <v>0</v>
      </c>
      <c r="E62" s="597">
        <v>0</v>
      </c>
      <c r="F62" s="597">
        <f>SUM($E$50:E62)</f>
        <v>0</v>
      </c>
      <c r="G62" s="706">
        <f t="shared" si="5"/>
        <v>0</v>
      </c>
      <c r="H62" s="597"/>
      <c r="I62" s="342">
        <f t="shared" si="4"/>
        <v>0</v>
      </c>
      <c r="J62" s="343">
        <f t="shared" si="2"/>
        <v>0</v>
      </c>
      <c r="K62" s="122"/>
      <c r="L62" s="281"/>
    </row>
    <row r="63" spans="1:12" ht="15">
      <c r="A63" s="127">
        <f t="shared" si="3"/>
        <v>31</v>
      </c>
      <c r="B63" s="603">
        <v>42825</v>
      </c>
      <c r="C63" s="358" t="s">
        <v>726</v>
      </c>
      <c r="D63" s="597">
        <v>0</v>
      </c>
      <c r="E63" s="597">
        <v>0</v>
      </c>
      <c r="F63" s="597">
        <f>SUM($E$50:E63)</f>
        <v>0</v>
      </c>
      <c r="G63" s="706">
        <f t="shared" si="5"/>
        <v>0</v>
      </c>
      <c r="H63" s="597"/>
      <c r="I63" s="342">
        <f t="shared" si="4"/>
        <v>0</v>
      </c>
      <c r="J63" s="343">
        <f t="shared" si="2"/>
        <v>0</v>
      </c>
      <c r="K63" s="122"/>
      <c r="L63" s="281"/>
    </row>
    <row r="64" spans="1:12" ht="15">
      <c r="A64" s="127">
        <f t="shared" si="3"/>
        <v>32</v>
      </c>
      <c r="B64" s="603">
        <v>42916</v>
      </c>
      <c r="C64" s="358" t="s">
        <v>727</v>
      </c>
      <c r="D64" s="597">
        <v>0</v>
      </c>
      <c r="E64" s="597">
        <v>0</v>
      </c>
      <c r="F64" s="597">
        <f>SUM($E$50:E64)</f>
        <v>0</v>
      </c>
      <c r="G64" s="706">
        <f t="shared" si="5"/>
        <v>0</v>
      </c>
      <c r="H64" s="597"/>
      <c r="I64" s="342">
        <f t="shared" si="4"/>
        <v>0</v>
      </c>
      <c r="J64" s="343">
        <f t="shared" si="2"/>
        <v>0</v>
      </c>
      <c r="K64" s="122"/>
      <c r="L64" s="281"/>
    </row>
    <row r="65" spans="1:15" ht="15">
      <c r="A65" s="127">
        <f t="shared" si="3"/>
        <v>33</v>
      </c>
      <c r="B65" s="603">
        <v>43008</v>
      </c>
      <c r="C65" s="358" t="s">
        <v>728</v>
      </c>
      <c r="D65" s="597">
        <v>0</v>
      </c>
      <c r="E65" s="597">
        <v>0</v>
      </c>
      <c r="F65" s="597">
        <f>SUM($E$50:E65)</f>
        <v>0</v>
      </c>
      <c r="G65" s="706">
        <f t="shared" si="5"/>
        <v>0</v>
      </c>
      <c r="H65" s="597"/>
      <c r="I65" s="342">
        <f t="shared" si="4"/>
        <v>0</v>
      </c>
      <c r="J65" s="343">
        <f t="shared" si="2"/>
        <v>0</v>
      </c>
      <c r="K65" s="122"/>
      <c r="L65" s="281"/>
    </row>
    <row r="66" spans="1:15" ht="15">
      <c r="A66" s="127">
        <f t="shared" si="3"/>
        <v>34</v>
      </c>
      <c r="B66" s="603">
        <v>43100</v>
      </c>
      <c r="C66" s="358" t="s">
        <v>729</v>
      </c>
      <c r="D66" s="597">
        <v>0</v>
      </c>
      <c r="E66" s="597">
        <v>0</v>
      </c>
      <c r="F66" s="597">
        <f>SUM($E$50:E66)</f>
        <v>0</v>
      </c>
      <c r="G66" s="706">
        <f t="shared" si="5"/>
        <v>0</v>
      </c>
      <c r="H66" s="597"/>
      <c r="I66" s="342">
        <f t="shared" si="4"/>
        <v>0</v>
      </c>
      <c r="J66" s="343">
        <f t="shared" si="2"/>
        <v>0</v>
      </c>
      <c r="K66" s="122"/>
      <c r="L66" s="281"/>
    </row>
    <row r="67" spans="1:15" ht="15">
      <c r="A67" s="127">
        <f t="shared" si="3"/>
        <v>35</v>
      </c>
      <c r="B67" s="603">
        <v>43190</v>
      </c>
      <c r="C67" s="358" t="s">
        <v>726</v>
      </c>
      <c r="D67" s="597">
        <v>0</v>
      </c>
      <c r="E67" s="597">
        <v>0</v>
      </c>
      <c r="F67" s="597">
        <f>SUM($E$50:E67)</f>
        <v>0</v>
      </c>
      <c r="G67" s="706">
        <f>F66*SUMIF($C$40:$I$40,YEAR(B66),$C$43:$I$43)*((B67-B66)/365)+F67</f>
        <v>0</v>
      </c>
      <c r="H67" s="597"/>
      <c r="I67" s="342"/>
      <c r="J67" s="343">
        <f t="shared" si="2"/>
        <v>0</v>
      </c>
      <c r="K67" s="122"/>
      <c r="L67" s="281"/>
    </row>
    <row r="68" spans="1:15" ht="15">
      <c r="A68" s="127">
        <f t="shared" si="3"/>
        <v>36</v>
      </c>
      <c r="B68" s="603"/>
      <c r="C68" s="358"/>
      <c r="D68" s="597"/>
      <c r="E68" s="597"/>
      <c r="F68" s="597"/>
      <c r="G68" s="706"/>
      <c r="H68" s="597"/>
      <c r="I68" s="342"/>
      <c r="J68" s="705"/>
      <c r="K68" s="122"/>
      <c r="L68" s="281"/>
    </row>
    <row r="69" spans="1:15" ht="15">
      <c r="A69" s="127">
        <f t="shared" si="3"/>
        <v>37</v>
      </c>
      <c r="B69" s="603"/>
      <c r="C69" s="358"/>
      <c r="D69" s="597"/>
      <c r="E69" s="597"/>
      <c r="F69" s="597"/>
      <c r="G69" s="707"/>
      <c r="H69" s="597"/>
      <c r="I69" s="342"/>
      <c r="J69" s="705"/>
      <c r="K69" s="122"/>
      <c r="L69" s="281"/>
    </row>
    <row r="70" spans="1:15" ht="15">
      <c r="A70" s="127">
        <f t="shared" si="3"/>
        <v>38</v>
      </c>
      <c r="B70" s="603"/>
      <c r="C70" s="606"/>
      <c r="D70" s="597"/>
      <c r="E70" s="597"/>
      <c r="F70" s="597"/>
      <c r="G70" s="706"/>
      <c r="H70" s="597"/>
      <c r="I70" s="708"/>
      <c r="J70" s="705"/>
      <c r="K70" s="122"/>
    </row>
    <row r="71" spans="1:15" ht="15">
      <c r="A71" s="127">
        <f t="shared" si="3"/>
        <v>39</v>
      </c>
      <c r="B71" s="603"/>
      <c r="C71" s="606"/>
      <c r="D71" s="597"/>
      <c r="E71" s="597"/>
      <c r="F71" s="597"/>
      <c r="G71" s="341"/>
      <c r="H71" s="597"/>
      <c r="I71" s="342"/>
      <c r="J71" s="343"/>
      <c r="K71" s="122"/>
    </row>
    <row r="72" spans="1:15" ht="15">
      <c r="A72" s="127">
        <f t="shared" si="3"/>
        <v>40</v>
      </c>
      <c r="B72" s="603"/>
      <c r="C72" s="606"/>
      <c r="D72" s="597"/>
      <c r="E72" s="597"/>
      <c r="F72" s="597"/>
      <c r="G72" s="341"/>
      <c r="H72" s="597"/>
      <c r="I72" s="342"/>
      <c r="J72" s="343"/>
      <c r="K72" s="122"/>
    </row>
    <row r="73" spans="1:15" ht="15">
      <c r="A73" s="127">
        <f t="shared" si="3"/>
        <v>41</v>
      </c>
      <c r="B73" s="603"/>
      <c r="C73" s="606"/>
      <c r="D73" s="597"/>
      <c r="E73" s="597"/>
      <c r="F73" s="597"/>
      <c r="G73" s="341"/>
      <c r="H73" s="597"/>
      <c r="I73" s="342"/>
      <c r="J73" s="343"/>
      <c r="K73" s="122"/>
    </row>
    <row r="74" spans="1:15" ht="15.6" thickBot="1">
      <c r="A74" s="127">
        <f t="shared" si="3"/>
        <v>42</v>
      </c>
      <c r="B74" s="824"/>
      <c r="C74" s="825"/>
      <c r="D74" s="826"/>
      <c r="E74" s="826"/>
      <c r="F74" s="826"/>
      <c r="G74" s="344"/>
      <c r="H74" s="826"/>
      <c r="I74" s="345"/>
      <c r="J74" s="346"/>
      <c r="K74" s="122"/>
    </row>
    <row r="77" spans="1:15">
      <c r="A77" s="127" t="s">
        <v>730</v>
      </c>
      <c r="B77" s="735" t="str">
        <f>"1  The IRR is the input to Debt Cost shown on Appendix A, Page 4, Line "&amp;'Appendix A'!A235&amp;" during the construction period, after obtaining project financing, in accordance with Note G of Appendix A."</f>
        <v>1  The IRR is the input to Debt Cost shown on Appendix A, Page 4, Line 91 during the construction period, after obtaining project financing, in accordance with Note G of Appendix A.</v>
      </c>
      <c r="C77" s="735"/>
      <c r="D77" s="735"/>
      <c r="E77" s="735"/>
      <c r="F77" s="735"/>
      <c r="G77" s="735"/>
      <c r="H77" s="735"/>
      <c r="I77" s="735"/>
      <c r="J77" s="735"/>
    </row>
    <row r="78" spans="1:15">
      <c r="B78" s="735" t="s">
        <v>731</v>
      </c>
      <c r="C78" s="735"/>
      <c r="D78" s="735"/>
      <c r="E78" s="735"/>
      <c r="F78" s="735"/>
      <c r="G78" s="735"/>
      <c r="H78" s="735"/>
      <c r="I78" s="735"/>
      <c r="J78" s="735"/>
      <c r="O78" s="709"/>
    </row>
    <row r="79" spans="1:15" ht="15">
      <c r="B79" s="735" t="s">
        <v>732</v>
      </c>
      <c r="C79" s="735"/>
      <c r="D79" s="735"/>
      <c r="E79" s="735"/>
      <c r="F79" s="735"/>
      <c r="G79" s="735"/>
      <c r="H79" s="735"/>
      <c r="I79" s="735"/>
      <c r="J79" s="735"/>
      <c r="O79" s="710"/>
    </row>
    <row r="80" spans="1:15">
      <c r="B80" s="735" t="s">
        <v>733</v>
      </c>
      <c r="C80" s="735"/>
      <c r="D80" s="735"/>
      <c r="E80" s="735"/>
      <c r="F80" s="735"/>
      <c r="G80" s="735"/>
      <c r="H80" s="735"/>
      <c r="I80" s="735"/>
      <c r="J80" s="735"/>
      <c r="O80" s="709"/>
    </row>
    <row r="81" spans="1:15" ht="15">
      <c r="B81" s="735" t="s">
        <v>734</v>
      </c>
      <c r="C81" s="735"/>
      <c r="D81" s="735"/>
      <c r="E81" s="735"/>
      <c r="F81" s="735"/>
      <c r="G81" s="735"/>
      <c r="H81" s="735"/>
      <c r="I81" s="735"/>
      <c r="J81" s="735"/>
      <c r="O81" s="710"/>
    </row>
    <row r="82" spans="1:15">
      <c r="B82" s="735" t="s">
        <v>735</v>
      </c>
      <c r="C82" s="735"/>
      <c r="D82" s="735"/>
      <c r="E82" s="735"/>
      <c r="F82" s="735"/>
      <c r="G82" s="735"/>
      <c r="H82" s="735"/>
      <c r="I82" s="735"/>
      <c r="J82" s="735"/>
      <c r="O82" s="709"/>
    </row>
    <row r="83" spans="1:15" ht="15">
      <c r="B83" s="735" t="s">
        <v>736</v>
      </c>
      <c r="C83" s="735"/>
      <c r="D83" s="735"/>
      <c r="E83" s="735"/>
      <c r="F83" s="735"/>
      <c r="G83" s="735"/>
      <c r="H83" s="735"/>
      <c r="I83" s="735"/>
      <c r="J83" s="735"/>
      <c r="O83" s="711"/>
    </row>
    <row r="84" spans="1:15">
      <c r="B84" s="735" t="s">
        <v>737</v>
      </c>
      <c r="C84" s="735"/>
      <c r="D84" s="735"/>
      <c r="E84" s="735"/>
      <c r="F84" s="735"/>
      <c r="G84" s="735"/>
      <c r="H84" s="735"/>
      <c r="I84" s="735"/>
      <c r="J84" s="735"/>
    </row>
    <row r="85" spans="1:15">
      <c r="B85" s="735" t="s">
        <v>738</v>
      </c>
      <c r="C85" s="735"/>
      <c r="D85" s="735"/>
      <c r="E85" s="735"/>
      <c r="F85" s="735"/>
      <c r="G85" s="735"/>
      <c r="H85" s="735"/>
      <c r="I85" s="735"/>
      <c r="J85" s="735"/>
    </row>
    <row r="86" spans="1:15">
      <c r="B86" s="827" t="s">
        <v>739</v>
      </c>
      <c r="C86" s="735"/>
      <c r="D86" s="735"/>
      <c r="E86" s="735"/>
      <c r="F86" s="735"/>
      <c r="G86" s="735"/>
      <c r="H86" s="735"/>
      <c r="I86" s="735"/>
      <c r="J86" s="735"/>
    </row>
    <row r="87" spans="1:15">
      <c r="B87" s="735" t="s">
        <v>740</v>
      </c>
      <c r="C87" s="735"/>
      <c r="D87" s="735"/>
      <c r="E87" s="735"/>
      <c r="F87" s="735"/>
      <c r="G87" s="735"/>
      <c r="H87" s="735"/>
      <c r="I87" s="735"/>
      <c r="J87" s="735"/>
    </row>
    <row r="88" spans="1:15">
      <c r="B88" s="735" t="s">
        <v>741</v>
      </c>
      <c r="C88" s="735"/>
      <c r="D88" s="735"/>
      <c r="E88" s="735"/>
      <c r="F88" s="735"/>
      <c r="G88" s="735"/>
      <c r="H88" s="735"/>
      <c r="I88" s="735"/>
      <c r="J88" s="735"/>
    </row>
    <row r="89" spans="1:15">
      <c r="B89" s="735" t="s">
        <v>742</v>
      </c>
      <c r="C89" s="735"/>
      <c r="D89" s="735"/>
      <c r="E89" s="727"/>
      <c r="F89" s="735"/>
      <c r="G89" s="727"/>
      <c r="H89" s="727"/>
      <c r="I89" s="735"/>
      <c r="J89" s="727"/>
    </row>
    <row r="90" spans="1:15">
      <c r="B90" s="735" t="s">
        <v>743</v>
      </c>
      <c r="C90" s="735"/>
      <c r="D90" s="735"/>
      <c r="E90" s="828"/>
      <c r="F90" s="735"/>
      <c r="G90" s="735"/>
      <c r="H90" s="735"/>
      <c r="I90" s="735"/>
      <c r="J90" s="735"/>
    </row>
    <row r="91" spans="1:15">
      <c r="B91" s="735" t="s">
        <v>744</v>
      </c>
      <c r="C91" s="735"/>
      <c r="D91" s="828"/>
      <c r="E91" s="828"/>
      <c r="F91" s="735"/>
      <c r="G91" s="735"/>
      <c r="H91" s="735"/>
      <c r="I91" s="735"/>
      <c r="J91" s="735"/>
    </row>
    <row r="92" spans="1:15">
      <c r="B92" s="735" t="s">
        <v>745</v>
      </c>
      <c r="C92" s="735"/>
      <c r="D92" s="828"/>
      <c r="E92" s="828"/>
      <c r="F92" s="735"/>
      <c r="G92" s="735"/>
      <c r="H92" s="735"/>
      <c r="I92" s="735"/>
      <c r="J92" s="735"/>
    </row>
    <row r="93" spans="1:15">
      <c r="B93" s="735" t="s">
        <v>746</v>
      </c>
      <c r="C93" s="735"/>
      <c r="D93" s="828"/>
      <c r="E93" s="828"/>
      <c r="F93" s="735"/>
      <c r="G93" s="735"/>
      <c r="H93" s="735"/>
      <c r="I93" s="735"/>
      <c r="J93" s="735"/>
    </row>
    <row r="94" spans="1:15">
      <c r="B94" s="735" t="s">
        <v>747</v>
      </c>
      <c r="C94" s="735"/>
      <c r="D94" s="828"/>
      <c r="E94" s="828"/>
      <c r="F94" s="735"/>
      <c r="G94" s="735"/>
      <c r="H94" s="735"/>
      <c r="I94" s="735"/>
      <c r="J94" s="735"/>
    </row>
    <row r="95" spans="1:15">
      <c r="B95" s="735" t="s">
        <v>748</v>
      </c>
      <c r="C95" s="735"/>
      <c r="D95" s="828"/>
      <c r="E95" s="828"/>
      <c r="F95" s="735"/>
      <c r="G95" s="735"/>
      <c r="H95" s="735"/>
      <c r="I95" s="735"/>
      <c r="J95" s="735"/>
    </row>
    <row r="96" spans="1:15" s="713" customFormat="1">
      <c r="A96" s="712"/>
      <c r="B96" s="735"/>
      <c r="C96" s="735" t="s">
        <v>724</v>
      </c>
      <c r="D96" s="735"/>
      <c r="E96" s="828"/>
      <c r="F96" s="735"/>
      <c r="G96" s="735"/>
      <c r="H96" s="735"/>
      <c r="I96" s="735"/>
      <c r="J96" s="735"/>
    </row>
    <row r="97" spans="2:10">
      <c r="B97" s="829" t="s">
        <v>749</v>
      </c>
      <c r="C97" s="735" t="s">
        <v>750</v>
      </c>
      <c r="D97" s="735"/>
      <c r="E97" s="828"/>
      <c r="F97" s="735"/>
      <c r="G97" s="735"/>
      <c r="H97" s="735"/>
      <c r="I97" s="735"/>
      <c r="J97" s="735"/>
    </row>
    <row r="98" spans="2:10">
      <c r="B98" s="735" t="s">
        <v>751</v>
      </c>
      <c r="C98" s="830"/>
      <c r="D98" s="830"/>
      <c r="E98" s="735"/>
      <c r="F98" s="735"/>
      <c r="G98" s="735"/>
      <c r="H98" s="735"/>
      <c r="I98" s="735"/>
      <c r="J98" s="735"/>
    </row>
    <row r="99" spans="2:10">
      <c r="B99" s="735" t="s">
        <v>752</v>
      </c>
      <c r="C99" s="735"/>
      <c r="D99" s="735"/>
      <c r="E99" s="735"/>
      <c r="F99" s="735"/>
      <c r="G99" s="735"/>
      <c r="H99" s="735"/>
      <c r="I99" s="735"/>
      <c r="J99" s="735"/>
    </row>
    <row r="100" spans="2:10" ht="44.25" customHeight="1">
      <c r="B100" s="1358" t="s">
        <v>753</v>
      </c>
      <c r="C100" s="1358"/>
      <c r="D100" s="1358"/>
      <c r="E100" s="1358"/>
      <c r="F100" s="1358"/>
      <c r="G100" s="1358"/>
      <c r="H100" s="1358"/>
      <c r="I100" s="1358"/>
      <c r="J100" s="1358"/>
    </row>
  </sheetData>
  <mergeCells count="6">
    <mergeCell ref="L41:Q41"/>
    <mergeCell ref="B100:J100"/>
    <mergeCell ref="A2:J2"/>
    <mergeCell ref="A3:J3"/>
    <mergeCell ref="A4:J4"/>
    <mergeCell ref="E6:G6"/>
  </mergeCells>
  <pageMargins left="0.7" right="0.7" top="0.75" bottom="0.75" header="0.3" footer="0.3"/>
  <pageSetup scale="4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U230"/>
  <sheetViews>
    <sheetView view="pageBreakPreview" zoomScale="60" zoomScaleNormal="80" workbookViewId="0"/>
  </sheetViews>
  <sheetFormatPr defaultColWidth="8.81640625" defaultRowHeight="15"/>
  <cols>
    <col min="1" max="1" width="6.81640625" style="983" customWidth="1"/>
    <col min="2" max="2" width="51.453125" style="380" customWidth="1"/>
    <col min="3" max="3" width="48.81640625" style="377" customWidth="1"/>
    <col min="4" max="4" width="22.1796875" style="377" customWidth="1"/>
    <col min="5" max="5" width="20.1796875" style="377" customWidth="1"/>
    <col min="6" max="6" width="16.6328125" style="377" customWidth="1"/>
    <col min="7" max="7" width="20.81640625" style="377" customWidth="1"/>
    <col min="8" max="8" width="114.81640625" style="377" bestFit="1" customWidth="1"/>
    <col min="9" max="16384" width="8.81640625" style="377"/>
  </cols>
  <sheetData>
    <row r="1" spans="1:21" ht="18">
      <c r="B1" s="1363" t="str">
        <f>+'Appendix A'!E9</f>
        <v>New York Transco LLC</v>
      </c>
      <c r="C1" s="1364"/>
      <c r="D1" s="1364"/>
      <c r="E1" s="1364"/>
      <c r="F1" s="1364"/>
      <c r="G1" s="1364"/>
      <c r="H1" s="1364"/>
      <c r="I1" s="376"/>
      <c r="J1" s="376"/>
    </row>
    <row r="2" spans="1:21" ht="18">
      <c r="B2" s="1363" t="s">
        <v>754</v>
      </c>
      <c r="C2" s="1363"/>
      <c r="D2" s="1363"/>
      <c r="E2" s="1363"/>
      <c r="F2" s="1363"/>
      <c r="G2" s="1363"/>
      <c r="H2" s="1363"/>
      <c r="I2" s="376"/>
      <c r="J2" s="376"/>
    </row>
    <row r="3" spans="1:21" ht="18">
      <c r="B3" s="1363" t="s">
        <v>404</v>
      </c>
      <c r="C3" s="1363"/>
      <c r="D3" s="1363"/>
      <c r="E3" s="1363"/>
      <c r="F3" s="1363"/>
      <c r="G3" s="1363"/>
      <c r="H3" s="1363"/>
      <c r="I3" s="376"/>
      <c r="J3" s="376"/>
    </row>
    <row r="4" spans="1:21" ht="18">
      <c r="B4" s="409"/>
      <c r="C4" s="409"/>
      <c r="D4" s="409"/>
      <c r="E4" s="409"/>
      <c r="F4" s="409"/>
      <c r="G4" s="409"/>
      <c r="H4" s="409"/>
      <c r="I4" s="376"/>
      <c r="J4" s="376"/>
    </row>
    <row r="5" spans="1:21" ht="18">
      <c r="B5" s="424"/>
      <c r="C5" s="425"/>
      <c r="D5" s="409"/>
      <c r="E5" s="409"/>
      <c r="F5" s="425"/>
      <c r="G5" s="409"/>
      <c r="H5" s="425"/>
    </row>
    <row r="6" spans="1:21" ht="18">
      <c r="B6" s="424"/>
      <c r="C6" s="425"/>
      <c r="D6" s="403" t="s">
        <v>53</v>
      </c>
      <c r="E6" s="403" t="s">
        <v>755</v>
      </c>
      <c r="F6" s="403" t="s">
        <v>756</v>
      </c>
      <c r="G6" s="403" t="s">
        <v>43</v>
      </c>
      <c r="H6" s="425"/>
      <c r="U6" s="378"/>
    </row>
    <row r="7" spans="1:21" ht="18">
      <c r="B7" s="424" t="s">
        <v>757</v>
      </c>
      <c r="C7" s="425"/>
      <c r="D7" s="403" t="s">
        <v>758</v>
      </c>
      <c r="E7" s="403" t="s">
        <v>758</v>
      </c>
      <c r="F7" s="403" t="s">
        <v>758</v>
      </c>
      <c r="G7" s="403"/>
      <c r="H7" s="425"/>
      <c r="U7" s="378"/>
    </row>
    <row r="8" spans="1:21" ht="18">
      <c r="B8" s="466"/>
      <c r="C8" s="425"/>
      <c r="D8" s="425"/>
      <c r="E8" s="425"/>
      <c r="F8" s="425"/>
      <c r="G8" s="425"/>
      <c r="H8" s="425"/>
    </row>
    <row r="9" spans="1:21" ht="18">
      <c r="A9" s="983">
        <v>1</v>
      </c>
      <c r="B9" s="377"/>
      <c r="C9" s="425" t="s">
        <v>759</v>
      </c>
      <c r="D9" s="426">
        <f>+E67</f>
        <v>-29736200</v>
      </c>
      <c r="E9" s="426">
        <f>+F67</f>
        <v>0</v>
      </c>
      <c r="F9" s="426">
        <f>+G67</f>
        <v>0</v>
      </c>
      <c r="G9" s="426"/>
      <c r="H9" s="425" t="s">
        <v>760</v>
      </c>
    </row>
    <row r="10" spans="1:21" ht="18">
      <c r="A10" s="983">
        <v>2</v>
      </c>
      <c r="B10" s="377"/>
      <c r="C10" s="425" t="s">
        <v>761</v>
      </c>
      <c r="D10" s="426">
        <f>+E96</f>
        <v>-1066703</v>
      </c>
      <c r="E10" s="426">
        <f>+F96</f>
        <v>0</v>
      </c>
      <c r="F10" s="426">
        <f>+G96</f>
        <v>0</v>
      </c>
      <c r="G10" s="426"/>
      <c r="H10" s="425" t="s">
        <v>762</v>
      </c>
    </row>
    <row r="11" spans="1:21" ht="18">
      <c r="A11" s="983">
        <v>3</v>
      </c>
      <c r="B11" s="377"/>
      <c r="C11" s="425" t="s">
        <v>763</v>
      </c>
      <c r="D11" s="426">
        <f>E39</f>
        <v>1268095</v>
      </c>
      <c r="E11" s="426">
        <f>F39</f>
        <v>0</v>
      </c>
      <c r="F11" s="426">
        <f>G39</f>
        <v>0</v>
      </c>
      <c r="G11" s="426"/>
      <c r="H11" s="425" t="s">
        <v>764</v>
      </c>
    </row>
    <row r="12" spans="1:21" ht="18">
      <c r="A12" s="983">
        <v>4</v>
      </c>
      <c r="B12" s="377"/>
      <c r="C12" s="425" t="s">
        <v>765</v>
      </c>
      <c r="D12" s="426">
        <f>SUM(D9:D11)</f>
        <v>-29534808</v>
      </c>
      <c r="E12" s="426">
        <f>SUM(E9:E11)</f>
        <v>0</v>
      </c>
      <c r="F12" s="426">
        <f>SUM(F9:F11)</f>
        <v>0</v>
      </c>
      <c r="G12" s="426"/>
      <c r="H12" s="427"/>
    </row>
    <row r="13" spans="1:21" ht="18">
      <c r="A13" s="983">
        <v>5</v>
      </c>
      <c r="B13" s="377"/>
      <c r="C13" s="425" t="s">
        <v>766</v>
      </c>
      <c r="D13" s="425"/>
      <c r="E13" s="425"/>
      <c r="F13" s="619">
        <f>+'Appendix A'!J230</f>
        <v>1</v>
      </c>
      <c r="G13" s="425"/>
      <c r="H13" s="425"/>
    </row>
    <row r="14" spans="1:21" ht="18">
      <c r="A14" s="983">
        <v>6</v>
      </c>
      <c r="B14" s="377"/>
      <c r="C14" s="425" t="s">
        <v>97</v>
      </c>
      <c r="D14" s="425"/>
      <c r="E14" s="429">
        <f>+'6b- ADIT'!E14</f>
        <v>1</v>
      </c>
      <c r="F14" s="425"/>
      <c r="G14" s="425"/>
      <c r="H14" s="425"/>
    </row>
    <row r="15" spans="1:21" ht="18">
      <c r="A15" s="983">
        <v>7</v>
      </c>
      <c r="B15" s="377"/>
      <c r="C15" s="425" t="s">
        <v>404</v>
      </c>
      <c r="D15" s="426">
        <f>+D12</f>
        <v>-29534808</v>
      </c>
      <c r="E15" s="426">
        <f>+E12</f>
        <v>0</v>
      </c>
      <c r="F15" s="426">
        <f>+F13*F12</f>
        <v>0</v>
      </c>
      <c r="G15" s="426">
        <f>+D15+E15+F15</f>
        <v>-29534808</v>
      </c>
      <c r="H15" s="428"/>
    </row>
    <row r="16" spans="1:21" ht="18">
      <c r="A16" s="983">
        <v>8</v>
      </c>
      <c r="B16" s="377"/>
      <c r="C16" s="425" t="str">
        <f>"End of year from Attachment 6b, line "&amp;'6b- ADIT'!B15&amp;""</f>
        <v>End of year from Attachment 6b, line 7</v>
      </c>
      <c r="D16" s="426">
        <f>+'6b- ADIT'!D15</f>
        <v>-33127528</v>
      </c>
      <c r="E16" s="426">
        <f>+'6b- ADIT'!E15</f>
        <v>0</v>
      </c>
      <c r="F16" s="426">
        <f>+'6b- ADIT'!F15</f>
        <v>0</v>
      </c>
      <c r="G16" s="426">
        <f>+D16+E16+F16</f>
        <v>-33127528</v>
      </c>
      <c r="H16" s="428"/>
    </row>
    <row r="17" spans="1:8" ht="18">
      <c r="A17" s="983">
        <v>9</v>
      </c>
      <c r="B17" s="377"/>
      <c r="C17" s="425" t="s">
        <v>767</v>
      </c>
      <c r="D17" s="426">
        <f>+D15/2+D16/2</f>
        <v>-31331168</v>
      </c>
      <c r="E17" s="426">
        <f>+E15/2+E16/2</f>
        <v>0</v>
      </c>
      <c r="F17" s="426">
        <f>+F15/2+F16/2</f>
        <v>0</v>
      </c>
      <c r="G17" s="426">
        <f>+D17+E17+F17</f>
        <v>-31331168</v>
      </c>
      <c r="H17" s="428" t="str">
        <f>"Enter as negative Appendix A, line "&amp;'Appendix A'!A100&amp;"."</f>
        <v>Enter as negative Appendix A, line 24.</v>
      </c>
    </row>
    <row r="18" spans="1:8" ht="18">
      <c r="B18" s="425"/>
      <c r="C18" s="425"/>
      <c r="D18" s="427"/>
      <c r="E18" s="425"/>
      <c r="F18" s="425"/>
      <c r="G18" s="425"/>
      <c r="H18" s="426"/>
    </row>
    <row r="19" spans="1:8" ht="18">
      <c r="B19" s="425"/>
      <c r="C19" s="425"/>
      <c r="D19" s="425"/>
      <c r="E19" s="425"/>
      <c r="F19" s="425"/>
      <c r="G19" s="425"/>
      <c r="H19" s="429"/>
    </row>
    <row r="20" spans="1:8" ht="18">
      <c r="B20" s="424" t="s">
        <v>768</v>
      </c>
      <c r="C20" s="425"/>
      <c r="D20" s="425"/>
      <c r="E20" s="425"/>
      <c r="F20" s="425"/>
      <c r="G20" s="425"/>
      <c r="H20" s="425"/>
    </row>
    <row r="21" spans="1:8" ht="18">
      <c r="B21" s="424" t="s">
        <v>769</v>
      </c>
      <c r="C21" s="425"/>
      <c r="D21" s="425"/>
      <c r="E21" s="425"/>
      <c r="F21" s="425"/>
      <c r="G21" s="425"/>
      <c r="H21" s="425"/>
    </row>
    <row r="22" spans="1:8" ht="18">
      <c r="B22" s="409" t="s">
        <v>212</v>
      </c>
      <c r="C22" s="409" t="s">
        <v>215</v>
      </c>
      <c r="D22" s="409" t="s">
        <v>217</v>
      </c>
      <c r="E22" s="409" t="s">
        <v>220</v>
      </c>
      <c r="F22" s="378" t="s">
        <v>227</v>
      </c>
      <c r="G22" s="409" t="s">
        <v>231</v>
      </c>
      <c r="H22" s="409" t="s">
        <v>249</v>
      </c>
    </row>
    <row r="23" spans="1:8" ht="18">
      <c r="B23" s="424"/>
      <c r="C23" s="403" t="s">
        <v>43</v>
      </c>
      <c r="D23" s="403" t="s">
        <v>770</v>
      </c>
      <c r="E23" s="409"/>
      <c r="F23" s="409"/>
      <c r="G23" s="409"/>
      <c r="H23" s="425"/>
    </row>
    <row r="24" spans="1:8" ht="18">
      <c r="A24" s="983" t="s">
        <v>771</v>
      </c>
      <c r="B24" s="424" t="s">
        <v>763</v>
      </c>
      <c r="C24" s="403"/>
      <c r="D24" s="403" t="s">
        <v>772</v>
      </c>
      <c r="E24" s="403" t="s">
        <v>53</v>
      </c>
      <c r="F24" s="403" t="s">
        <v>755</v>
      </c>
      <c r="G24" s="403" t="s">
        <v>756</v>
      </c>
      <c r="H24" s="425"/>
    </row>
    <row r="25" spans="1:8" ht="18">
      <c r="B25" s="424"/>
      <c r="C25" s="403"/>
      <c r="D25" s="403" t="s">
        <v>758</v>
      </c>
      <c r="E25" s="403" t="s">
        <v>758</v>
      </c>
      <c r="F25" s="403" t="s">
        <v>758</v>
      </c>
      <c r="G25" s="403" t="s">
        <v>758</v>
      </c>
      <c r="H25" s="409" t="s">
        <v>773</v>
      </c>
    </row>
    <row r="26" spans="1:8" ht="35.1" customHeight="1">
      <c r="A26" s="983" t="s">
        <v>774</v>
      </c>
      <c r="B26" s="430" t="s">
        <v>777</v>
      </c>
      <c r="C26" s="387">
        <v>381095</v>
      </c>
      <c r="D26" s="388"/>
      <c r="E26" s="388">
        <v>381095</v>
      </c>
      <c r="F26" s="388"/>
      <c r="G26" s="388"/>
      <c r="H26" s="433" t="s">
        <v>778</v>
      </c>
    </row>
    <row r="27" spans="1:8" ht="35.1" customHeight="1">
      <c r="A27" s="983" t="s">
        <v>775</v>
      </c>
      <c r="B27" s="434" t="s">
        <v>780</v>
      </c>
      <c r="C27" s="387">
        <v>887000</v>
      </c>
      <c r="D27" s="388"/>
      <c r="E27" s="388">
        <v>887000</v>
      </c>
      <c r="F27" s="388"/>
      <c r="G27" s="388"/>
      <c r="H27" s="433" t="s">
        <v>781</v>
      </c>
    </row>
    <row r="28" spans="1:8" ht="35.1" customHeight="1">
      <c r="A28" s="983" t="s">
        <v>776</v>
      </c>
      <c r="B28" s="434" t="s">
        <v>784</v>
      </c>
      <c r="C28" s="387">
        <v>4373088</v>
      </c>
      <c r="D28" s="388"/>
      <c r="E28" s="388">
        <v>4373088</v>
      </c>
      <c r="F28" s="388"/>
      <c r="G28" s="388"/>
      <c r="H28" s="433" t="s">
        <v>785</v>
      </c>
    </row>
    <row r="29" spans="1:8" ht="35.1" customHeight="1">
      <c r="A29" s="983" t="s">
        <v>779</v>
      </c>
      <c r="B29" s="434"/>
      <c r="C29" s="387"/>
      <c r="D29" s="388"/>
      <c r="E29" s="388"/>
      <c r="F29" s="388"/>
      <c r="G29" s="388"/>
      <c r="H29" s="433"/>
    </row>
    <row r="30" spans="1:8" ht="35.1" customHeight="1">
      <c r="A30" s="983" t="s">
        <v>782</v>
      </c>
      <c r="B30" s="434"/>
      <c r="C30" s="387"/>
      <c r="D30" s="388"/>
      <c r="E30" s="388"/>
      <c r="F30" s="388"/>
      <c r="G30" s="388"/>
      <c r="H30" s="433"/>
    </row>
    <row r="31" spans="1:8" ht="35.1" customHeight="1">
      <c r="A31" s="983" t="s">
        <v>783</v>
      </c>
      <c r="B31" s="434"/>
      <c r="C31" s="431"/>
      <c r="D31" s="432"/>
      <c r="E31" s="432"/>
      <c r="F31" s="432"/>
      <c r="G31" s="432"/>
      <c r="H31" s="433"/>
    </row>
    <row r="32" spans="1:8" ht="35.1" customHeight="1">
      <c r="B32" s="434"/>
      <c r="C32" s="431"/>
      <c r="D32" s="432"/>
      <c r="E32" s="432"/>
      <c r="F32" s="432"/>
      <c r="G32" s="432"/>
      <c r="H32" s="433"/>
    </row>
    <row r="33" spans="1:8" ht="35.1" customHeight="1">
      <c r="B33" s="434"/>
      <c r="C33" s="431"/>
      <c r="D33" s="435"/>
      <c r="E33" s="432"/>
      <c r="F33" s="432"/>
      <c r="G33" s="432"/>
      <c r="H33" s="433"/>
    </row>
    <row r="34" spans="1:8" ht="35.1" customHeight="1">
      <c r="B34" s="434"/>
      <c r="C34" s="431"/>
      <c r="D34" s="432"/>
      <c r="E34" s="432"/>
      <c r="F34" s="432"/>
      <c r="G34" s="432"/>
      <c r="H34" s="433"/>
    </row>
    <row r="35" spans="1:8" ht="35.1" customHeight="1">
      <c r="B35" s="434"/>
      <c r="C35" s="431"/>
      <c r="D35" s="431"/>
      <c r="E35" s="431"/>
      <c r="F35" s="431"/>
      <c r="G35" s="431"/>
      <c r="H35" s="433"/>
    </row>
    <row r="36" spans="1:8" ht="35.1" customHeight="1">
      <c r="A36" s="983" t="s">
        <v>786</v>
      </c>
      <c r="B36" s="453" t="s">
        <v>787</v>
      </c>
      <c r="C36" s="454">
        <f>SUBTOTAL(9,C26:C35)</f>
        <v>5641183</v>
      </c>
      <c r="D36" s="446">
        <f>SUM(D26:D35)</f>
        <v>0</v>
      </c>
      <c r="E36" s="446">
        <f>SUM(E26:E35)</f>
        <v>5641183</v>
      </c>
      <c r="F36" s="446">
        <f>SUM(F26:F35)</f>
        <v>0</v>
      </c>
      <c r="G36" s="446">
        <f>SUM(G26:G35)</f>
        <v>0</v>
      </c>
      <c r="H36" s="436"/>
    </row>
    <row r="37" spans="1:8" ht="35.1" customHeight="1">
      <c r="A37" s="983" t="s">
        <v>788</v>
      </c>
      <c r="B37" s="455" t="s">
        <v>789</v>
      </c>
      <c r="C37" s="437">
        <f>SUM(D37:E37)</f>
        <v>4373088</v>
      </c>
      <c r="D37" s="437"/>
      <c r="E37" s="437">
        <v>4373088</v>
      </c>
      <c r="F37" s="438"/>
      <c r="G37" s="439"/>
      <c r="H37" s="433"/>
    </row>
    <row r="38" spans="1:8" ht="35.1" customHeight="1">
      <c r="A38" s="983" t="s">
        <v>790</v>
      </c>
      <c r="B38" s="456" t="s">
        <v>791</v>
      </c>
      <c r="C38" s="437">
        <f>SUM(D38:E38)</f>
        <v>0</v>
      </c>
      <c r="D38" s="440"/>
      <c r="E38" s="440">
        <v>0</v>
      </c>
      <c r="F38" s="440"/>
      <c r="G38" s="440"/>
      <c r="H38" s="441"/>
    </row>
    <row r="39" spans="1:8" ht="35.1" customHeight="1" thickBot="1">
      <c r="A39" s="983" t="s">
        <v>792</v>
      </c>
      <c r="B39" s="457" t="s">
        <v>43</v>
      </c>
      <c r="C39" s="458">
        <f>+C36-C37-C38</f>
        <v>1268095</v>
      </c>
      <c r="D39" s="458">
        <f>+D36-D37-D38</f>
        <v>0</v>
      </c>
      <c r="E39" s="458">
        <f>+E36-E37-E38</f>
        <v>1268095</v>
      </c>
      <c r="F39" s="458">
        <f>+F36-F37-F38</f>
        <v>0</v>
      </c>
      <c r="G39" s="458">
        <f>+G36-G37-G38</f>
        <v>0</v>
      </c>
      <c r="H39" s="459"/>
    </row>
    <row r="40" spans="1:8" ht="35.1" customHeight="1" thickTop="1">
      <c r="B40" s="425" t="s">
        <v>793</v>
      </c>
      <c r="C40" s="427"/>
      <c r="D40" s="447"/>
      <c r="E40" s="409"/>
      <c r="F40" s="425"/>
      <c r="G40" s="460"/>
      <c r="H40" s="425"/>
    </row>
    <row r="41" spans="1:8" ht="18">
      <c r="A41" s="983" t="s">
        <v>794</v>
      </c>
      <c r="B41" s="1365" t="s">
        <v>795</v>
      </c>
      <c r="C41" s="1365"/>
      <c r="D41" s="1365"/>
      <c r="E41" s="1365"/>
      <c r="F41" s="1365"/>
      <c r="G41" s="1365"/>
      <c r="H41" s="425"/>
    </row>
    <row r="42" spans="1:8" ht="18">
      <c r="A42" s="983" t="s">
        <v>796</v>
      </c>
      <c r="B42" s="424" t="s">
        <v>797</v>
      </c>
      <c r="C42" s="425"/>
      <c r="D42" s="425"/>
      <c r="E42" s="425"/>
      <c r="F42" s="409"/>
      <c r="G42" s="409"/>
      <c r="H42" s="425"/>
    </row>
    <row r="43" spans="1:8" ht="18">
      <c r="A43" s="983" t="s">
        <v>798</v>
      </c>
      <c r="B43" s="424" t="s">
        <v>799</v>
      </c>
      <c r="C43" s="425"/>
      <c r="D43" s="425"/>
      <c r="E43" s="425"/>
      <c r="F43" s="409"/>
      <c r="G43" s="409"/>
      <c r="H43" s="425"/>
    </row>
    <row r="44" spans="1:8" ht="18">
      <c r="A44" s="983" t="s">
        <v>800</v>
      </c>
      <c r="B44" s="424" t="s">
        <v>801</v>
      </c>
      <c r="C44" s="425"/>
      <c r="D44" s="425"/>
      <c r="E44" s="425"/>
      <c r="F44" s="409"/>
      <c r="G44" s="409"/>
      <c r="H44" s="425"/>
    </row>
    <row r="45" spans="1:8" ht="18">
      <c r="A45" s="983" t="s">
        <v>802</v>
      </c>
      <c r="B45" s="1365" t="s">
        <v>803</v>
      </c>
      <c r="C45" s="1365"/>
      <c r="D45" s="1365"/>
      <c r="E45" s="1365"/>
      <c r="F45" s="1365"/>
      <c r="G45" s="1365"/>
      <c r="H45" s="442"/>
    </row>
    <row r="46" spans="1:8" ht="35.1" customHeight="1">
      <c r="B46" s="442"/>
      <c r="C46" s="442"/>
      <c r="D46" s="442"/>
      <c r="E46" s="442"/>
      <c r="F46" s="442"/>
      <c r="G46" s="442"/>
      <c r="H46" s="442"/>
    </row>
    <row r="47" spans="1:8" s="376" customFormat="1" ht="25.2" customHeight="1">
      <c r="A47" s="984"/>
      <c r="B47" s="1363" t="str">
        <f>+B1</f>
        <v>New York Transco LLC</v>
      </c>
      <c r="C47" s="1364"/>
      <c r="D47" s="1364"/>
      <c r="E47" s="1364"/>
      <c r="F47" s="1364"/>
      <c r="G47" s="1364"/>
      <c r="H47" s="1364"/>
    </row>
    <row r="48" spans="1:8" s="376" customFormat="1" ht="25.2" customHeight="1">
      <c r="A48" s="984"/>
      <c r="B48" s="1363" t="s">
        <v>754</v>
      </c>
      <c r="C48" s="1363"/>
      <c r="D48" s="1363"/>
      <c r="E48" s="1363"/>
      <c r="F48" s="1363"/>
      <c r="G48" s="1363"/>
      <c r="H48" s="1363"/>
    </row>
    <row r="49" spans="1:8" s="376" customFormat="1" ht="25.2" customHeight="1">
      <c r="A49" s="984"/>
      <c r="B49" s="1363" t="s">
        <v>404</v>
      </c>
      <c r="C49" s="1363"/>
      <c r="D49" s="1363"/>
      <c r="E49" s="1363"/>
      <c r="F49" s="1363"/>
      <c r="G49" s="1363"/>
      <c r="H49" s="1363"/>
    </row>
    <row r="50" spans="1:8" ht="25.2" customHeight="1">
      <c r="B50" s="425"/>
      <c r="C50" s="425"/>
      <c r="D50" s="425"/>
      <c r="E50" s="425"/>
      <c r="F50" s="425"/>
      <c r="G50" s="425"/>
      <c r="H50" s="425"/>
    </row>
    <row r="51" spans="1:8" ht="25.2" customHeight="1">
      <c r="B51" s="409" t="s">
        <v>212</v>
      </c>
      <c r="C51" s="409" t="s">
        <v>215</v>
      </c>
      <c r="D51" s="409" t="s">
        <v>217</v>
      </c>
      <c r="E51" s="409" t="s">
        <v>220</v>
      </c>
      <c r="F51" s="378" t="s">
        <v>227</v>
      </c>
      <c r="G51" s="409" t="s">
        <v>231</v>
      </c>
      <c r="H51" s="409" t="s">
        <v>249</v>
      </c>
    </row>
    <row r="52" spans="1:8" ht="25.2" customHeight="1">
      <c r="B52" s="425"/>
      <c r="C52" s="403" t="s">
        <v>43</v>
      </c>
      <c r="D52" s="403" t="s">
        <v>770</v>
      </c>
      <c r="E52" s="409"/>
      <c r="F52" s="409"/>
      <c r="G52" s="409"/>
      <c r="H52" s="425"/>
    </row>
    <row r="53" spans="1:8" ht="25.2" customHeight="1">
      <c r="A53" s="983" t="s">
        <v>804</v>
      </c>
      <c r="B53" s="425" t="s">
        <v>805</v>
      </c>
      <c r="C53" s="403"/>
      <c r="D53" s="403" t="s">
        <v>772</v>
      </c>
      <c r="E53" s="403" t="s">
        <v>53</v>
      </c>
      <c r="F53" s="403" t="s">
        <v>755</v>
      </c>
      <c r="G53" s="403" t="s">
        <v>756</v>
      </c>
      <c r="H53" s="425"/>
    </row>
    <row r="54" spans="1:8" ht="25.2" customHeight="1">
      <c r="B54" s="424"/>
      <c r="C54" s="403"/>
      <c r="D54" s="403" t="s">
        <v>758</v>
      </c>
      <c r="E54" s="403" t="s">
        <v>758</v>
      </c>
      <c r="F54" s="403" t="s">
        <v>758</v>
      </c>
      <c r="G54" s="403" t="s">
        <v>758</v>
      </c>
      <c r="H54" s="409" t="s">
        <v>773</v>
      </c>
    </row>
    <row r="55" spans="1:8" ht="35.1" customHeight="1">
      <c r="A55" s="983" t="s">
        <v>806</v>
      </c>
      <c r="B55" s="434" t="s">
        <v>807</v>
      </c>
      <c r="C55" s="387">
        <f>SUM(D55:G55)</f>
        <v>-29786171</v>
      </c>
      <c r="D55" s="388"/>
      <c r="E55" s="388">
        <v>-29786171</v>
      </c>
      <c r="F55" s="388"/>
      <c r="G55" s="388"/>
      <c r="H55" s="433" t="s">
        <v>808</v>
      </c>
    </row>
    <row r="56" spans="1:8" ht="35.1" customHeight="1">
      <c r="A56" s="983" t="s">
        <v>809</v>
      </c>
      <c r="B56" s="434"/>
      <c r="C56" s="387"/>
      <c r="D56" s="388"/>
      <c r="E56" s="388"/>
      <c r="F56" s="388"/>
      <c r="G56" s="388"/>
      <c r="H56" s="433"/>
    </row>
    <row r="57" spans="1:8" ht="35.1" customHeight="1">
      <c r="A57" s="983" t="s">
        <v>810</v>
      </c>
      <c r="B57" s="434"/>
      <c r="C57" s="387"/>
      <c r="D57" s="388"/>
      <c r="E57" s="388"/>
      <c r="F57" s="388"/>
      <c r="G57" s="388"/>
      <c r="H57" s="433"/>
    </row>
    <row r="58" spans="1:8" ht="35.1" customHeight="1">
      <c r="A58" s="983" t="s">
        <v>298</v>
      </c>
      <c r="B58" s="434"/>
      <c r="C58" s="387"/>
      <c r="D58" s="388"/>
      <c r="E58" s="388"/>
      <c r="F58" s="388"/>
      <c r="G58" s="388"/>
      <c r="H58" s="433"/>
    </row>
    <row r="59" spans="1:8" ht="35.1" customHeight="1">
      <c r="A59" s="983" t="s">
        <v>298</v>
      </c>
      <c r="B59" s="434"/>
      <c r="C59" s="432"/>
      <c r="D59" s="432"/>
      <c r="E59" s="432"/>
      <c r="F59" s="432"/>
      <c r="G59" s="432"/>
      <c r="H59" s="433"/>
    </row>
    <row r="60" spans="1:8" ht="35.1" customHeight="1">
      <c r="A60" s="983" t="s">
        <v>298</v>
      </c>
      <c r="B60" s="434"/>
      <c r="C60" s="432"/>
      <c r="D60" s="432"/>
      <c r="E60" s="432"/>
      <c r="F60" s="432"/>
      <c r="G60" s="432"/>
      <c r="H60" s="433"/>
    </row>
    <row r="61" spans="1:8" ht="35.1" customHeight="1">
      <c r="A61" s="983" t="s">
        <v>298</v>
      </c>
      <c r="B61" s="443"/>
      <c r="C61" s="444"/>
      <c r="D61" s="444"/>
      <c r="E61" s="444"/>
      <c r="F61" s="444"/>
      <c r="G61" s="444"/>
      <c r="H61" s="433"/>
    </row>
    <row r="62" spans="1:8" ht="35.1" customHeight="1">
      <c r="A62" s="983" t="s">
        <v>298</v>
      </c>
      <c r="B62" s="445"/>
      <c r="C62" s="444"/>
      <c r="D62" s="444"/>
      <c r="E62" s="444"/>
      <c r="F62" s="444"/>
      <c r="G62" s="444"/>
      <c r="H62" s="433"/>
    </row>
    <row r="63" spans="1:8" ht="35.1" customHeight="1">
      <c r="A63" s="983" t="s">
        <v>298</v>
      </c>
      <c r="B63" s="445"/>
      <c r="C63" s="444"/>
      <c r="D63" s="444"/>
      <c r="E63" s="444"/>
      <c r="F63" s="444"/>
      <c r="G63" s="444"/>
      <c r="H63" s="433"/>
    </row>
    <row r="64" spans="1:8" ht="35.1" customHeight="1">
      <c r="A64" s="983" t="s">
        <v>811</v>
      </c>
      <c r="B64" s="461" t="s">
        <v>812</v>
      </c>
      <c r="C64" s="446">
        <f>SUBTOTAL(9,C55:C63)</f>
        <v>-29786171</v>
      </c>
      <c r="D64" s="446">
        <f>SUM(D55:D63)</f>
        <v>0</v>
      </c>
      <c r="E64" s="446">
        <f>SUM(E55:E63)</f>
        <v>-29786171</v>
      </c>
      <c r="F64" s="446">
        <f>SUM(F55:F63)</f>
        <v>0</v>
      </c>
      <c r="G64" s="446">
        <f>SUM(G55:G63)</f>
        <v>0</v>
      </c>
      <c r="H64" s="436"/>
    </row>
    <row r="65" spans="1:8" ht="35.1" customHeight="1">
      <c r="A65" s="983" t="s">
        <v>813</v>
      </c>
      <c r="B65" s="461" t="s">
        <v>789</v>
      </c>
      <c r="C65" s="437">
        <f>SUM(D65:E65)</f>
        <v>-49971</v>
      </c>
      <c r="D65" s="437"/>
      <c r="E65" s="437">
        <v>-49971</v>
      </c>
      <c r="F65" s="437"/>
      <c r="G65" s="437"/>
      <c r="H65" s="433"/>
    </row>
    <row r="66" spans="1:8" ht="35.1" customHeight="1">
      <c r="A66" s="983" t="s">
        <v>814</v>
      </c>
      <c r="B66" s="462" t="s">
        <v>791</v>
      </c>
      <c r="C66" s="440">
        <f>SUM(D66:E66)</f>
        <v>0</v>
      </c>
      <c r="D66" s="440"/>
      <c r="E66" s="440">
        <v>0</v>
      </c>
      <c r="F66" s="440"/>
      <c r="G66" s="440"/>
      <c r="H66" s="441"/>
    </row>
    <row r="67" spans="1:8" ht="35.1" customHeight="1" thickBot="1">
      <c r="A67" s="983" t="s">
        <v>815</v>
      </c>
      <c r="B67" s="457" t="s">
        <v>43</v>
      </c>
      <c r="C67" s="458">
        <f>+C64-C65-C66</f>
        <v>-29736200</v>
      </c>
      <c r="D67" s="458">
        <f>+D64-D65-D66</f>
        <v>0</v>
      </c>
      <c r="E67" s="458">
        <f>+E64-E65-E66</f>
        <v>-29736200</v>
      </c>
      <c r="F67" s="458">
        <f>+F64-F65-F66</f>
        <v>0</v>
      </c>
      <c r="G67" s="458">
        <f>+G64-G65-G66</f>
        <v>0</v>
      </c>
      <c r="H67" s="459"/>
    </row>
    <row r="68" spans="1:8" ht="35.1" customHeight="1" thickTop="1">
      <c r="B68" s="424"/>
      <c r="C68" s="425"/>
      <c r="D68" s="425"/>
      <c r="E68" s="427"/>
      <c r="F68" s="409"/>
      <c r="G68" s="447"/>
      <c r="H68" s="442"/>
    </row>
    <row r="69" spans="1:8" ht="35.1" customHeight="1">
      <c r="B69" s="425" t="s">
        <v>816</v>
      </c>
      <c r="C69" s="425"/>
      <c r="D69" s="409"/>
      <c r="E69" s="447"/>
      <c r="F69" s="425"/>
      <c r="G69" s="442"/>
      <c r="H69" s="425"/>
    </row>
    <row r="70" spans="1:8" ht="18">
      <c r="A70" s="983" t="s">
        <v>817</v>
      </c>
      <c r="B70" s="1365" t="s">
        <v>795</v>
      </c>
      <c r="C70" s="1365"/>
      <c r="D70" s="1365"/>
      <c r="E70" s="1365"/>
      <c r="F70" s="1365"/>
      <c r="G70" s="1365"/>
      <c r="H70" s="425"/>
    </row>
    <row r="71" spans="1:8" ht="18">
      <c r="A71" s="983" t="s">
        <v>818</v>
      </c>
      <c r="B71" s="424" t="s">
        <v>797</v>
      </c>
      <c r="C71" s="425"/>
      <c r="D71" s="425"/>
      <c r="E71" s="425"/>
      <c r="F71" s="409"/>
      <c r="G71" s="409"/>
      <c r="H71" s="425"/>
    </row>
    <row r="72" spans="1:8" ht="18">
      <c r="A72" s="983" t="s">
        <v>819</v>
      </c>
      <c r="B72" s="424" t="s">
        <v>799</v>
      </c>
      <c r="C72" s="425"/>
      <c r="D72" s="425"/>
      <c r="E72" s="425"/>
      <c r="F72" s="409"/>
      <c r="G72" s="409"/>
      <c r="H72" s="425"/>
    </row>
    <row r="73" spans="1:8" ht="18">
      <c r="A73" s="983" t="s">
        <v>820</v>
      </c>
      <c r="B73" s="424" t="s">
        <v>801</v>
      </c>
      <c r="C73" s="425"/>
      <c r="D73" s="425"/>
      <c r="E73" s="425"/>
      <c r="F73" s="409"/>
      <c r="G73" s="409"/>
      <c r="H73" s="425"/>
    </row>
    <row r="74" spans="1:8" ht="18">
      <c r="A74" s="983" t="s">
        <v>821</v>
      </c>
      <c r="B74" s="1365" t="s">
        <v>803</v>
      </c>
      <c r="C74" s="1365"/>
      <c r="D74" s="1365"/>
      <c r="E74" s="1365"/>
      <c r="F74" s="1365"/>
      <c r="G74" s="1365"/>
      <c r="H74" s="442"/>
    </row>
    <row r="75" spans="1:8" s="376" customFormat="1" ht="25.2" customHeight="1">
      <c r="A75" s="984"/>
      <c r="B75" s="1363" t="str">
        <f>+B47</f>
        <v>New York Transco LLC</v>
      </c>
      <c r="C75" s="1364"/>
      <c r="D75" s="1364"/>
      <c r="E75" s="1364"/>
      <c r="F75" s="1364"/>
      <c r="G75" s="1364"/>
      <c r="H75" s="1364"/>
    </row>
    <row r="76" spans="1:8" s="376" customFormat="1" ht="25.2" customHeight="1">
      <c r="A76" s="984"/>
      <c r="B76" s="1363" t="s">
        <v>754</v>
      </c>
      <c r="C76" s="1363"/>
      <c r="D76" s="1363"/>
      <c r="E76" s="1363"/>
      <c r="F76" s="1363"/>
      <c r="G76" s="1363"/>
      <c r="H76" s="1363"/>
    </row>
    <row r="77" spans="1:8" s="376" customFormat="1" ht="25.2" customHeight="1">
      <c r="A77" s="984"/>
      <c r="B77" s="1363" t="s">
        <v>404</v>
      </c>
      <c r="C77" s="1363"/>
      <c r="D77" s="1363"/>
      <c r="E77" s="1363"/>
      <c r="F77" s="1363"/>
      <c r="G77" s="1363"/>
      <c r="H77" s="1363"/>
    </row>
    <row r="78" spans="1:8" ht="25.2" customHeight="1">
      <c r="B78" s="424"/>
      <c r="C78" s="425"/>
      <c r="D78" s="425"/>
      <c r="E78" s="425"/>
      <c r="F78" s="425"/>
      <c r="G78" s="425"/>
      <c r="H78" s="442"/>
    </row>
    <row r="79" spans="1:8" ht="18">
      <c r="B79" s="409" t="s">
        <v>212</v>
      </c>
      <c r="C79" s="409" t="s">
        <v>215</v>
      </c>
      <c r="D79" s="409" t="s">
        <v>217</v>
      </c>
      <c r="E79" s="409" t="s">
        <v>220</v>
      </c>
      <c r="F79" s="378" t="s">
        <v>227</v>
      </c>
      <c r="G79" s="409" t="s">
        <v>231</v>
      </c>
      <c r="H79" s="409" t="s">
        <v>249</v>
      </c>
    </row>
    <row r="80" spans="1:8" ht="18">
      <c r="B80" s="409"/>
      <c r="C80" s="403" t="s">
        <v>43</v>
      </c>
      <c r="D80" s="403" t="s">
        <v>770</v>
      </c>
      <c r="E80" s="409"/>
      <c r="F80" s="409"/>
      <c r="G80" s="409"/>
      <c r="H80" s="409"/>
    </row>
    <row r="81" spans="1:8" ht="18">
      <c r="A81" s="983" t="s">
        <v>822</v>
      </c>
      <c r="B81" s="425" t="s">
        <v>823</v>
      </c>
      <c r="C81" s="403"/>
      <c r="D81" s="403" t="s">
        <v>772</v>
      </c>
      <c r="E81" s="403" t="s">
        <v>53</v>
      </c>
      <c r="F81" s="403" t="s">
        <v>755</v>
      </c>
      <c r="G81" s="403" t="s">
        <v>756</v>
      </c>
      <c r="H81" s="409"/>
    </row>
    <row r="82" spans="1:8" ht="18">
      <c r="B82" s="425"/>
      <c r="C82" s="403"/>
      <c r="D82" s="403" t="s">
        <v>758</v>
      </c>
      <c r="E82" s="403" t="s">
        <v>758</v>
      </c>
      <c r="F82" s="403" t="s">
        <v>758</v>
      </c>
      <c r="G82" s="403" t="s">
        <v>758</v>
      </c>
      <c r="H82" s="425"/>
    </row>
    <row r="83" spans="1:8" ht="35.1" customHeight="1">
      <c r="A83" s="983" t="s">
        <v>824</v>
      </c>
      <c r="B83" s="448" t="s">
        <v>826</v>
      </c>
      <c r="C83" s="387">
        <v>-19330</v>
      </c>
      <c r="D83" s="388"/>
      <c r="E83" s="388">
        <v>-19330</v>
      </c>
      <c r="F83" s="388"/>
      <c r="G83" s="388"/>
      <c r="H83" s="433" t="s">
        <v>827</v>
      </c>
    </row>
    <row r="84" spans="1:8" ht="35.1" customHeight="1">
      <c r="A84" s="983" t="s">
        <v>825</v>
      </c>
      <c r="B84" s="434" t="s">
        <v>829</v>
      </c>
      <c r="C84" s="387">
        <v>-46431</v>
      </c>
      <c r="D84" s="388"/>
      <c r="E84" s="388">
        <v>-46431</v>
      </c>
      <c r="F84" s="388"/>
      <c r="G84" s="388"/>
      <c r="H84" s="433" t="s">
        <v>830</v>
      </c>
    </row>
    <row r="85" spans="1:8" ht="35.1" customHeight="1">
      <c r="A85" s="983" t="s">
        <v>828</v>
      </c>
      <c r="B85" s="434" t="s">
        <v>832</v>
      </c>
      <c r="C85" s="387">
        <v>-32620</v>
      </c>
      <c r="D85" s="388"/>
      <c r="E85" s="388">
        <v>-32620</v>
      </c>
      <c r="F85" s="388"/>
      <c r="G85" s="388"/>
      <c r="H85" s="433" t="s">
        <v>833</v>
      </c>
    </row>
    <row r="86" spans="1:8" ht="35.1" customHeight="1">
      <c r="A86" s="983" t="s">
        <v>831</v>
      </c>
      <c r="B86" s="434" t="s">
        <v>857</v>
      </c>
      <c r="C86" s="387">
        <v>-987652</v>
      </c>
      <c r="D86" s="388"/>
      <c r="E86" s="388">
        <v>-987652</v>
      </c>
      <c r="F86" s="388"/>
      <c r="G86" s="388"/>
      <c r="H86" s="433" t="s">
        <v>858</v>
      </c>
    </row>
    <row r="87" spans="1:8" ht="35.1" customHeight="1">
      <c r="A87" s="983" t="s">
        <v>834</v>
      </c>
      <c r="B87" s="434"/>
      <c r="C87" s="432"/>
      <c r="D87" s="444"/>
      <c r="E87" s="432"/>
      <c r="F87" s="432"/>
      <c r="G87" s="432"/>
      <c r="H87" s="433"/>
    </row>
    <row r="88" spans="1:8" ht="35.1" customHeight="1">
      <c r="A88" s="983" t="s">
        <v>298</v>
      </c>
      <c r="B88" s="434"/>
      <c r="C88" s="432"/>
      <c r="D88" s="444"/>
      <c r="E88" s="432"/>
      <c r="F88" s="432"/>
      <c r="G88" s="432"/>
      <c r="H88" s="433"/>
    </row>
    <row r="89" spans="1:8" ht="35.1" customHeight="1">
      <c r="A89" s="983" t="s">
        <v>298</v>
      </c>
      <c r="B89" s="434"/>
      <c r="C89" s="432"/>
      <c r="D89" s="444"/>
      <c r="E89" s="432"/>
      <c r="F89" s="432"/>
      <c r="G89" s="432"/>
      <c r="H89" s="433"/>
    </row>
    <row r="90" spans="1:8" ht="35.1" customHeight="1">
      <c r="A90" s="983" t="s">
        <v>298</v>
      </c>
      <c r="B90" s="434"/>
      <c r="C90" s="432"/>
      <c r="D90" s="435"/>
      <c r="E90" s="432"/>
      <c r="F90" s="432"/>
      <c r="G90" s="432"/>
      <c r="H90" s="433"/>
    </row>
    <row r="91" spans="1:8" ht="35.1" customHeight="1">
      <c r="A91" s="983" t="s">
        <v>298</v>
      </c>
      <c r="B91" s="434"/>
      <c r="C91" s="432"/>
      <c r="D91" s="432"/>
      <c r="E91" s="432"/>
      <c r="F91" s="432"/>
      <c r="G91" s="432"/>
      <c r="H91" s="433"/>
    </row>
    <row r="92" spans="1:8" ht="35.1" customHeight="1">
      <c r="A92" s="983" t="s">
        <v>298</v>
      </c>
      <c r="B92" s="434"/>
      <c r="C92" s="432"/>
      <c r="D92" s="432"/>
      <c r="E92" s="432"/>
      <c r="F92" s="432"/>
      <c r="G92" s="432"/>
      <c r="H92" s="433"/>
    </row>
    <row r="93" spans="1:8" ht="20.100000000000001" customHeight="1">
      <c r="A93" s="983" t="s">
        <v>835</v>
      </c>
      <c r="B93" s="453" t="s">
        <v>836</v>
      </c>
      <c r="C93" s="454">
        <f>SUBTOTAL(9,C83:C92)</f>
        <v>-1086033</v>
      </c>
      <c r="D93" s="454">
        <f>SUM(D83:D92)</f>
        <v>0</v>
      </c>
      <c r="E93" s="454">
        <f>SUM(E83:E92)</f>
        <v>-1086033</v>
      </c>
      <c r="F93" s="454">
        <f>SUM(F83:F92)</f>
        <v>0</v>
      </c>
      <c r="G93" s="454">
        <f>SUM(G83:G92)</f>
        <v>0</v>
      </c>
      <c r="H93" s="433"/>
    </row>
    <row r="94" spans="1:8" ht="20.100000000000001" customHeight="1">
      <c r="A94" s="983" t="s">
        <v>837</v>
      </c>
      <c r="B94" s="453" t="s">
        <v>789</v>
      </c>
      <c r="C94" s="438">
        <f>SUM(D94:G94)</f>
        <v>-19330</v>
      </c>
      <c r="D94" s="438"/>
      <c r="E94" s="438">
        <v>-19330</v>
      </c>
      <c r="F94" s="438"/>
      <c r="G94" s="438"/>
      <c r="H94" s="433"/>
    </row>
    <row r="95" spans="1:8" ht="20.100000000000001" customHeight="1">
      <c r="A95" s="983" t="s">
        <v>838</v>
      </c>
      <c r="B95" s="463" t="s">
        <v>791</v>
      </c>
      <c r="C95" s="449"/>
      <c r="D95" s="449"/>
      <c r="E95" s="449"/>
      <c r="F95" s="449"/>
      <c r="G95" s="449"/>
      <c r="H95" s="441"/>
    </row>
    <row r="96" spans="1:8" ht="20.100000000000001" customHeight="1" thickBot="1">
      <c r="A96" s="983" t="s">
        <v>839</v>
      </c>
      <c r="B96" s="457" t="s">
        <v>43</v>
      </c>
      <c r="C96" s="464">
        <f>+C93-C94-C95</f>
        <v>-1066703</v>
      </c>
      <c r="D96" s="464">
        <f>+D93-D94-D95</f>
        <v>0</v>
      </c>
      <c r="E96" s="464">
        <f>+E93-E94-E95</f>
        <v>-1066703</v>
      </c>
      <c r="F96" s="464">
        <f>+F93-F94-F95</f>
        <v>0</v>
      </c>
      <c r="G96" s="464">
        <f>+G93-G94-G95</f>
        <v>0</v>
      </c>
      <c r="H96" s="459"/>
    </row>
    <row r="97" spans="1:9" ht="35.1" customHeight="1" thickTop="1">
      <c r="B97" s="425" t="s">
        <v>840</v>
      </c>
      <c r="C97" s="425"/>
      <c r="D97" s="425"/>
      <c r="E97" s="409"/>
      <c r="F97" s="409"/>
      <c r="G97" s="425"/>
      <c r="H97" s="450"/>
    </row>
    <row r="98" spans="1:9" ht="20.100000000000001" customHeight="1">
      <c r="A98" s="983" t="s">
        <v>841</v>
      </c>
      <c r="B98" s="1365" t="s">
        <v>795</v>
      </c>
      <c r="C98" s="1365"/>
      <c r="D98" s="1365"/>
      <c r="E98" s="1365"/>
      <c r="F98" s="1365"/>
      <c r="G98" s="1365"/>
      <c r="H98" s="425"/>
    </row>
    <row r="99" spans="1:9" ht="20.100000000000001" customHeight="1">
      <c r="A99" s="983" t="s">
        <v>842</v>
      </c>
      <c r="B99" s="424" t="s">
        <v>797</v>
      </c>
      <c r="C99" s="425"/>
      <c r="D99" s="425"/>
      <c r="E99" s="425"/>
      <c r="F99" s="409"/>
      <c r="G99" s="409"/>
      <c r="H99" s="425"/>
    </row>
    <row r="100" spans="1:9" ht="20.100000000000001" customHeight="1">
      <c r="A100" s="983" t="s">
        <v>843</v>
      </c>
      <c r="B100" s="424" t="s">
        <v>799</v>
      </c>
      <c r="C100" s="425"/>
      <c r="D100" s="425"/>
      <c r="E100" s="425"/>
      <c r="F100" s="409"/>
      <c r="G100" s="409"/>
      <c r="H100" s="425"/>
    </row>
    <row r="101" spans="1:9" ht="20.100000000000001" customHeight="1">
      <c r="A101" s="983" t="s">
        <v>844</v>
      </c>
      <c r="B101" s="424" t="s">
        <v>801</v>
      </c>
      <c r="C101" s="425"/>
      <c r="D101" s="425"/>
      <c r="E101" s="425"/>
      <c r="F101" s="409"/>
      <c r="G101" s="409"/>
      <c r="H101" s="425"/>
    </row>
    <row r="102" spans="1:9" ht="18">
      <c r="A102" s="983" t="s">
        <v>845</v>
      </c>
      <c r="B102" s="1365" t="s">
        <v>803</v>
      </c>
      <c r="C102" s="1365"/>
      <c r="D102" s="1365"/>
      <c r="E102" s="1365"/>
      <c r="F102" s="1365"/>
      <c r="G102" s="1365"/>
      <c r="H102" s="425"/>
    </row>
    <row r="103" spans="1:9" ht="18">
      <c r="B103" s="424"/>
      <c r="C103" s="425"/>
      <c r="D103" s="425"/>
      <c r="E103" s="425"/>
      <c r="F103" s="425"/>
      <c r="G103" s="425"/>
      <c r="H103" s="425"/>
    </row>
    <row r="104" spans="1:9" ht="15.75" customHeight="1">
      <c r="B104" s="451"/>
      <c r="C104" s="451"/>
      <c r="D104" s="451"/>
      <c r="E104" s="451"/>
      <c r="F104" s="451"/>
      <c r="G104" s="451"/>
      <c r="H104" s="451"/>
    </row>
    <row r="105" spans="1:9" ht="18">
      <c r="B105" s="1362"/>
      <c r="C105" s="1362"/>
      <c r="D105" s="1362"/>
      <c r="E105" s="1362"/>
      <c r="F105" s="1362"/>
      <c r="G105" s="1362"/>
      <c r="H105" s="1362"/>
    </row>
    <row r="106" spans="1:9" ht="18">
      <c r="B106" s="425"/>
      <c r="C106" s="425"/>
      <c r="D106" s="425"/>
      <c r="E106" s="425"/>
      <c r="F106" s="425"/>
      <c r="G106" s="425"/>
      <c r="H106" s="425"/>
    </row>
    <row r="107" spans="1:9" ht="18">
      <c r="B107" s="425"/>
      <c r="C107" s="425"/>
      <c r="D107" s="425"/>
      <c r="E107" s="425"/>
      <c r="F107" s="425"/>
      <c r="G107" s="425"/>
      <c r="H107" s="425"/>
    </row>
    <row r="108" spans="1:9" ht="15.75" customHeight="1">
      <c r="B108" s="425"/>
      <c r="C108" s="425"/>
      <c r="D108" s="425"/>
      <c r="E108" s="425"/>
      <c r="F108" s="425"/>
      <c r="G108" s="425"/>
      <c r="H108" s="425"/>
    </row>
    <row r="109" spans="1:9" ht="18">
      <c r="B109" s="425"/>
      <c r="C109" s="425"/>
      <c r="D109" s="465"/>
      <c r="E109" s="465"/>
      <c r="F109" s="465"/>
      <c r="G109" s="465"/>
      <c r="H109" s="465"/>
      <c r="I109" s="379"/>
    </row>
    <row r="110" spans="1:9" ht="18">
      <c r="B110" s="425"/>
      <c r="C110" s="425"/>
      <c r="D110" s="465"/>
      <c r="E110" s="465"/>
      <c r="F110" s="465"/>
      <c r="G110" s="465"/>
      <c r="H110" s="465"/>
      <c r="I110" s="379"/>
    </row>
    <row r="111" spans="1:9" ht="18">
      <c r="B111" s="424"/>
      <c r="C111" s="425"/>
      <c r="D111" s="409"/>
      <c r="E111" s="409"/>
      <c r="F111" s="425"/>
      <c r="G111" s="425"/>
      <c r="H111" s="425"/>
    </row>
    <row r="112" spans="1:9" ht="18">
      <c r="B112" s="424"/>
      <c r="C112" s="425"/>
      <c r="D112" s="452"/>
      <c r="E112" s="452"/>
      <c r="F112" s="425"/>
      <c r="G112" s="425"/>
      <c r="H112" s="425"/>
    </row>
    <row r="113" spans="2:8" ht="18">
      <c r="B113" s="424"/>
      <c r="C113" s="425"/>
      <c r="D113" s="452"/>
      <c r="E113" s="452"/>
      <c r="F113" s="425"/>
      <c r="G113" s="425"/>
      <c r="H113" s="425"/>
    </row>
    <row r="114" spans="2:8" ht="18">
      <c r="B114" s="424"/>
      <c r="C114" s="425"/>
      <c r="D114" s="452"/>
      <c r="E114" s="452"/>
      <c r="F114" s="425"/>
      <c r="G114" s="425"/>
      <c r="H114" s="425"/>
    </row>
    <row r="115" spans="2:8" ht="18">
      <c r="B115" s="424"/>
      <c r="C115" s="425"/>
      <c r="D115" s="452"/>
      <c r="E115" s="452"/>
      <c r="F115" s="425"/>
      <c r="G115" s="425"/>
      <c r="H115" s="425"/>
    </row>
    <row r="116" spans="2:8" ht="18">
      <c r="B116" s="424"/>
      <c r="C116" s="425"/>
      <c r="D116" s="452"/>
      <c r="E116" s="452"/>
      <c r="F116" s="425"/>
      <c r="G116" s="425"/>
      <c r="H116" s="425"/>
    </row>
    <row r="117" spans="2:8" ht="18">
      <c r="B117" s="424"/>
      <c r="C117" s="425"/>
      <c r="D117" s="452"/>
      <c r="E117" s="452"/>
      <c r="F117" s="425"/>
      <c r="G117" s="425"/>
      <c r="H117" s="425"/>
    </row>
    <row r="118" spans="2:8" ht="18">
      <c r="B118" s="424"/>
      <c r="C118" s="425"/>
      <c r="D118" s="452"/>
      <c r="E118" s="452"/>
      <c r="F118" s="425"/>
      <c r="G118" s="425"/>
      <c r="H118" s="425"/>
    </row>
    <row r="119" spans="2:8" ht="18">
      <c r="B119" s="424"/>
      <c r="C119" s="425"/>
      <c r="D119" s="452"/>
      <c r="E119" s="452"/>
      <c r="F119" s="425"/>
      <c r="G119" s="425"/>
      <c r="H119" s="425"/>
    </row>
    <row r="120" spans="2:8" ht="18">
      <c r="B120" s="424"/>
      <c r="C120" s="425"/>
      <c r="D120" s="452"/>
      <c r="E120" s="452"/>
      <c r="F120" s="425"/>
      <c r="G120" s="425"/>
      <c r="H120" s="425"/>
    </row>
    <row r="121" spans="2:8" ht="18">
      <c r="B121" s="424"/>
      <c r="C121" s="425"/>
      <c r="D121" s="452"/>
      <c r="E121" s="452"/>
      <c r="F121" s="425"/>
      <c r="G121" s="425"/>
      <c r="H121" s="425"/>
    </row>
    <row r="122" spans="2:8" ht="18">
      <c r="B122" s="425"/>
      <c r="C122" s="425"/>
      <c r="D122" s="452"/>
      <c r="E122" s="452"/>
      <c r="F122" s="425"/>
      <c r="G122" s="425"/>
      <c r="H122" s="425"/>
    </row>
    <row r="123" spans="2:8" ht="18">
      <c r="B123" s="424"/>
      <c r="C123" s="425"/>
      <c r="D123" s="452"/>
      <c r="E123" s="452"/>
      <c r="F123" s="425"/>
      <c r="G123" s="425"/>
      <c r="H123" s="425"/>
    </row>
    <row r="124" spans="2:8" ht="18">
      <c r="B124" s="425"/>
      <c r="C124" s="425"/>
      <c r="D124" s="452"/>
      <c r="E124" s="452"/>
      <c r="F124" s="425"/>
      <c r="G124" s="425"/>
      <c r="H124" s="425"/>
    </row>
    <row r="125" spans="2:8" ht="18">
      <c r="B125" s="424"/>
      <c r="C125" s="425"/>
      <c r="D125" s="425"/>
      <c r="E125" s="425"/>
      <c r="F125" s="425"/>
      <c r="G125" s="425"/>
      <c r="H125" s="425"/>
    </row>
    <row r="126" spans="2:8" ht="18">
      <c r="B126" s="424"/>
      <c r="C126" s="425"/>
      <c r="D126" s="425"/>
      <c r="E126" s="425"/>
      <c r="F126" s="425"/>
      <c r="G126" s="425"/>
      <c r="H126" s="425"/>
    </row>
    <row r="127" spans="2:8" ht="18">
      <c r="B127" s="424"/>
      <c r="C127" s="425"/>
      <c r="D127" s="425"/>
      <c r="E127" s="425"/>
      <c r="F127" s="425"/>
      <c r="G127" s="425"/>
      <c r="H127" s="425"/>
    </row>
    <row r="128" spans="2:8" ht="18">
      <c r="B128" s="424"/>
      <c r="C128" s="425"/>
      <c r="D128" s="425"/>
      <c r="E128" s="425"/>
      <c r="F128" s="425"/>
      <c r="G128" s="425"/>
      <c r="H128" s="425"/>
    </row>
    <row r="129" spans="2:8" ht="18">
      <c r="B129" s="424"/>
      <c r="C129" s="425"/>
      <c r="D129" s="425"/>
      <c r="E129" s="425"/>
      <c r="F129" s="425"/>
      <c r="G129" s="425"/>
      <c r="H129" s="425"/>
    </row>
    <row r="130" spans="2:8" ht="18">
      <c r="B130" s="424"/>
      <c r="C130" s="425"/>
      <c r="D130" s="425"/>
      <c r="E130" s="425"/>
      <c r="F130" s="425"/>
      <c r="G130" s="425"/>
      <c r="H130" s="425"/>
    </row>
    <row r="131" spans="2:8" ht="18">
      <c r="B131" s="424"/>
      <c r="C131" s="425"/>
      <c r="D131" s="425"/>
      <c r="E131" s="425"/>
      <c r="F131" s="425"/>
      <c r="G131" s="425"/>
      <c r="H131" s="425"/>
    </row>
    <row r="132" spans="2:8" ht="18">
      <c r="B132" s="424"/>
      <c r="C132" s="425"/>
      <c r="D132" s="425"/>
      <c r="E132" s="425"/>
      <c r="F132" s="425"/>
      <c r="G132" s="425"/>
      <c r="H132" s="425"/>
    </row>
    <row r="133" spans="2:8" ht="18">
      <c r="B133" s="424"/>
      <c r="C133" s="425"/>
      <c r="D133" s="425"/>
      <c r="E133" s="425"/>
      <c r="F133" s="425"/>
      <c r="G133" s="425"/>
      <c r="H133" s="425"/>
    </row>
    <row r="134" spans="2:8" ht="18">
      <c r="B134" s="424"/>
      <c r="C134" s="425"/>
      <c r="D134" s="425"/>
      <c r="E134" s="425"/>
      <c r="F134" s="425"/>
      <c r="G134" s="425"/>
      <c r="H134" s="425"/>
    </row>
    <row r="135" spans="2:8" ht="18">
      <c r="B135" s="424"/>
      <c r="C135" s="425"/>
      <c r="D135" s="425"/>
      <c r="E135" s="425"/>
      <c r="F135" s="425"/>
      <c r="G135" s="425"/>
      <c r="H135" s="425"/>
    </row>
    <row r="136" spans="2:8" ht="18">
      <c r="B136" s="424"/>
      <c r="C136" s="425"/>
      <c r="D136" s="425"/>
      <c r="E136" s="425"/>
      <c r="F136" s="425"/>
      <c r="G136" s="425"/>
      <c r="H136" s="425"/>
    </row>
    <row r="137" spans="2:8" ht="18">
      <c r="B137" s="424"/>
      <c r="C137" s="425"/>
      <c r="D137" s="425"/>
      <c r="E137" s="425"/>
      <c r="F137" s="425"/>
      <c r="G137" s="425"/>
      <c r="H137" s="425"/>
    </row>
    <row r="138" spans="2:8" ht="18">
      <c r="B138" s="424"/>
      <c r="C138" s="425"/>
      <c r="D138" s="425"/>
      <c r="E138" s="425"/>
      <c r="F138" s="425"/>
      <c r="G138" s="425"/>
      <c r="H138" s="425"/>
    </row>
    <row r="139" spans="2:8" ht="18">
      <c r="B139" s="424"/>
      <c r="C139" s="425"/>
      <c r="D139" s="425"/>
      <c r="E139" s="425"/>
      <c r="F139" s="425"/>
      <c r="G139" s="425"/>
      <c r="H139" s="425"/>
    </row>
    <row r="140" spans="2:8" ht="18">
      <c r="B140" s="424"/>
      <c r="C140" s="425"/>
      <c r="D140" s="425"/>
      <c r="E140" s="425"/>
      <c r="F140" s="425"/>
      <c r="G140" s="425"/>
      <c r="H140" s="425"/>
    </row>
    <row r="141" spans="2:8" ht="18">
      <c r="B141" s="424"/>
      <c r="C141" s="425"/>
      <c r="D141" s="425"/>
      <c r="E141" s="425"/>
      <c r="F141" s="425"/>
      <c r="G141" s="425"/>
      <c r="H141" s="425"/>
    </row>
    <row r="142" spans="2:8" ht="18">
      <c r="B142" s="424"/>
      <c r="C142" s="425"/>
      <c r="D142" s="425"/>
      <c r="E142" s="425"/>
      <c r="F142" s="425"/>
      <c r="G142" s="425"/>
      <c r="H142" s="425"/>
    </row>
    <row r="143" spans="2:8" ht="18">
      <c r="B143" s="424"/>
      <c r="C143" s="425"/>
      <c r="D143" s="425"/>
      <c r="E143" s="425"/>
      <c r="F143" s="425"/>
      <c r="G143" s="425"/>
      <c r="H143" s="425"/>
    </row>
    <row r="144" spans="2:8" ht="18">
      <c r="B144" s="424"/>
      <c r="C144" s="425"/>
      <c r="D144" s="425"/>
      <c r="E144" s="425"/>
      <c r="F144" s="425"/>
      <c r="G144" s="425"/>
      <c r="H144" s="425"/>
    </row>
    <row r="145" spans="2:8" ht="18">
      <c r="B145" s="424"/>
      <c r="C145" s="425"/>
      <c r="D145" s="425"/>
      <c r="E145" s="425"/>
      <c r="F145" s="425"/>
      <c r="G145" s="425"/>
      <c r="H145" s="425"/>
    </row>
    <row r="146" spans="2:8" ht="18">
      <c r="B146" s="424"/>
      <c r="C146" s="425"/>
      <c r="D146" s="425"/>
      <c r="E146" s="425"/>
      <c r="F146" s="425"/>
      <c r="G146" s="425"/>
      <c r="H146" s="425"/>
    </row>
    <row r="147" spans="2:8" ht="18">
      <c r="B147" s="424"/>
      <c r="C147" s="425"/>
      <c r="D147" s="425"/>
      <c r="E147" s="425"/>
      <c r="F147" s="425"/>
      <c r="G147" s="425"/>
      <c r="H147" s="425"/>
    </row>
    <row r="148" spans="2:8" ht="18">
      <c r="B148" s="424"/>
      <c r="C148" s="425"/>
      <c r="D148" s="425"/>
      <c r="E148" s="425"/>
      <c r="F148" s="425"/>
      <c r="G148" s="425"/>
      <c r="H148" s="425"/>
    </row>
    <row r="149" spans="2:8" ht="18">
      <c r="B149" s="424"/>
      <c r="C149" s="425"/>
      <c r="D149" s="425"/>
      <c r="E149" s="425"/>
      <c r="F149" s="425"/>
      <c r="G149" s="425"/>
      <c r="H149" s="425"/>
    </row>
    <row r="150" spans="2:8" ht="18">
      <c r="B150" s="424"/>
      <c r="C150" s="425"/>
      <c r="D150" s="425"/>
      <c r="E150" s="425"/>
      <c r="F150" s="425"/>
      <c r="G150" s="425"/>
      <c r="H150" s="425"/>
    </row>
    <row r="151" spans="2:8" ht="18">
      <c r="B151" s="424"/>
      <c r="C151" s="425"/>
      <c r="D151" s="425"/>
      <c r="E151" s="425"/>
      <c r="F151" s="425"/>
      <c r="G151" s="425"/>
      <c r="H151" s="425"/>
    </row>
    <row r="152" spans="2:8" ht="18">
      <c r="B152" s="424"/>
      <c r="C152" s="425"/>
      <c r="D152" s="425"/>
      <c r="E152" s="425"/>
      <c r="F152" s="425"/>
      <c r="G152" s="425"/>
      <c r="H152" s="425"/>
    </row>
    <row r="153" spans="2:8" ht="18">
      <c r="B153" s="424"/>
      <c r="C153" s="425"/>
      <c r="D153" s="425"/>
      <c r="E153" s="425"/>
      <c r="F153" s="425"/>
      <c r="G153" s="425"/>
      <c r="H153" s="425"/>
    </row>
    <row r="154" spans="2:8" ht="18">
      <c r="B154" s="424"/>
      <c r="C154" s="425"/>
      <c r="D154" s="425"/>
      <c r="E154" s="425"/>
      <c r="F154" s="425"/>
      <c r="G154" s="425"/>
      <c r="H154" s="425"/>
    </row>
    <row r="155" spans="2:8" ht="18">
      <c r="B155" s="424"/>
      <c r="C155" s="425"/>
      <c r="D155" s="425"/>
      <c r="E155" s="425"/>
      <c r="F155" s="425"/>
      <c r="G155" s="425"/>
      <c r="H155" s="425"/>
    </row>
    <row r="156" spans="2:8" ht="18">
      <c r="B156" s="424"/>
      <c r="C156" s="425"/>
      <c r="D156" s="425"/>
      <c r="E156" s="425"/>
      <c r="F156" s="425"/>
      <c r="G156" s="425"/>
      <c r="H156" s="425"/>
    </row>
    <row r="157" spans="2:8" ht="18">
      <c r="B157" s="424"/>
      <c r="C157" s="425"/>
      <c r="D157" s="425"/>
      <c r="E157" s="425"/>
      <c r="F157" s="425"/>
      <c r="G157" s="425"/>
      <c r="H157" s="425"/>
    </row>
    <row r="158" spans="2:8" ht="18">
      <c r="B158" s="424"/>
      <c r="C158" s="425"/>
      <c r="D158" s="425"/>
      <c r="E158" s="425"/>
      <c r="F158" s="425"/>
      <c r="G158" s="425"/>
      <c r="H158" s="425"/>
    </row>
    <row r="159" spans="2:8" ht="18">
      <c r="B159" s="424"/>
      <c r="C159" s="425"/>
      <c r="D159" s="425"/>
      <c r="E159" s="425"/>
      <c r="F159" s="425"/>
      <c r="G159" s="425"/>
      <c r="H159" s="425"/>
    </row>
    <row r="160" spans="2:8" ht="18">
      <c r="B160" s="424"/>
      <c r="C160" s="425"/>
      <c r="D160" s="425"/>
      <c r="E160" s="425"/>
      <c r="F160" s="425"/>
      <c r="G160" s="425"/>
      <c r="H160" s="425"/>
    </row>
    <row r="161" spans="2:8" ht="18">
      <c r="B161" s="424"/>
      <c r="C161" s="425"/>
      <c r="D161" s="425"/>
      <c r="E161" s="425"/>
      <c r="F161" s="425"/>
      <c r="G161" s="425"/>
      <c r="H161" s="425"/>
    </row>
    <row r="162" spans="2:8" ht="18">
      <c r="B162" s="424"/>
      <c r="C162" s="425"/>
      <c r="D162" s="425"/>
      <c r="E162" s="425"/>
      <c r="F162" s="425"/>
      <c r="G162" s="425"/>
      <c r="H162" s="425"/>
    </row>
    <row r="163" spans="2:8" ht="18">
      <c r="B163" s="424"/>
      <c r="C163" s="425"/>
      <c r="D163" s="425"/>
      <c r="E163" s="425"/>
      <c r="F163" s="425"/>
      <c r="G163" s="425"/>
      <c r="H163" s="425"/>
    </row>
    <row r="164" spans="2:8" ht="18">
      <c r="B164" s="424"/>
      <c r="C164" s="425"/>
      <c r="D164" s="425"/>
      <c r="E164" s="425"/>
      <c r="F164" s="425"/>
      <c r="G164" s="425"/>
      <c r="H164" s="425"/>
    </row>
    <row r="165" spans="2:8" ht="18">
      <c r="B165" s="424"/>
      <c r="C165" s="425"/>
      <c r="D165" s="425"/>
      <c r="E165" s="425"/>
      <c r="F165" s="425"/>
      <c r="G165" s="425"/>
      <c r="H165" s="425"/>
    </row>
    <row r="166" spans="2:8" ht="18">
      <c r="B166" s="424"/>
      <c r="C166" s="425"/>
      <c r="D166" s="425"/>
      <c r="E166" s="425"/>
      <c r="F166" s="425"/>
      <c r="G166" s="425"/>
      <c r="H166" s="425"/>
    </row>
    <row r="167" spans="2:8" ht="18">
      <c r="B167" s="424"/>
      <c r="C167" s="425"/>
      <c r="D167" s="425"/>
      <c r="E167" s="425"/>
      <c r="F167" s="425"/>
      <c r="G167" s="425"/>
      <c r="H167" s="425"/>
    </row>
    <row r="168" spans="2:8" ht="18">
      <c r="B168" s="424"/>
      <c r="C168" s="425"/>
      <c r="D168" s="425"/>
      <c r="E168" s="425"/>
      <c r="F168" s="425"/>
      <c r="G168" s="425"/>
      <c r="H168" s="425"/>
    </row>
    <row r="169" spans="2:8" ht="18">
      <c r="B169" s="424"/>
      <c r="C169" s="425"/>
      <c r="D169" s="425"/>
      <c r="E169" s="425"/>
      <c r="F169" s="425"/>
      <c r="G169" s="425"/>
      <c r="H169" s="425"/>
    </row>
    <row r="170" spans="2:8" ht="18">
      <c r="B170" s="424"/>
      <c r="C170" s="425"/>
      <c r="D170" s="425"/>
      <c r="E170" s="425"/>
      <c r="F170" s="425"/>
      <c r="G170" s="425"/>
      <c r="H170" s="425"/>
    </row>
    <row r="171" spans="2:8" ht="18">
      <c r="B171" s="424"/>
      <c r="C171" s="425"/>
      <c r="D171" s="425"/>
      <c r="E171" s="425"/>
      <c r="F171" s="425"/>
      <c r="G171" s="425"/>
      <c r="H171" s="425"/>
    </row>
    <row r="172" spans="2:8" ht="18">
      <c r="B172" s="424"/>
      <c r="C172" s="425"/>
      <c r="D172" s="425"/>
      <c r="E172" s="425"/>
      <c r="F172" s="425"/>
      <c r="G172" s="425"/>
      <c r="H172" s="425"/>
    </row>
    <row r="173" spans="2:8" ht="18">
      <c r="B173" s="424"/>
      <c r="C173" s="425"/>
      <c r="D173" s="425"/>
      <c r="E173" s="425"/>
      <c r="F173" s="425"/>
      <c r="G173" s="425"/>
      <c r="H173" s="425"/>
    </row>
    <row r="174" spans="2:8" ht="18">
      <c r="B174" s="424"/>
      <c r="C174" s="425"/>
      <c r="D174" s="425"/>
      <c r="E174" s="425"/>
      <c r="F174" s="425"/>
      <c r="G174" s="425"/>
      <c r="H174" s="425"/>
    </row>
    <row r="175" spans="2:8" ht="18">
      <c r="B175" s="424"/>
      <c r="C175" s="425"/>
      <c r="D175" s="425"/>
      <c r="E175" s="425"/>
      <c r="F175" s="425"/>
      <c r="G175" s="425"/>
      <c r="H175" s="425"/>
    </row>
    <row r="176" spans="2:8" ht="18">
      <c r="B176" s="424"/>
      <c r="C176" s="425"/>
      <c r="D176" s="425"/>
      <c r="E176" s="425"/>
      <c r="F176" s="425"/>
      <c r="G176" s="425"/>
      <c r="H176" s="425"/>
    </row>
    <row r="177" spans="2:8" ht="18">
      <c r="B177" s="424"/>
      <c r="C177" s="425"/>
      <c r="D177" s="425"/>
      <c r="E177" s="425"/>
      <c r="F177" s="425"/>
      <c r="G177" s="425"/>
      <c r="H177" s="425"/>
    </row>
    <row r="178" spans="2:8" ht="18">
      <c r="B178" s="424"/>
      <c r="C178" s="425"/>
      <c r="D178" s="425"/>
      <c r="E178" s="425"/>
      <c r="F178" s="425"/>
      <c r="G178" s="425"/>
      <c r="H178" s="425"/>
    </row>
    <row r="179" spans="2:8" ht="18">
      <c r="B179" s="424"/>
      <c r="C179" s="425"/>
      <c r="D179" s="425"/>
      <c r="E179" s="425"/>
      <c r="F179" s="425"/>
      <c r="G179" s="425"/>
      <c r="H179" s="425"/>
    </row>
    <row r="180" spans="2:8" ht="18">
      <c r="B180" s="424"/>
      <c r="C180" s="425"/>
      <c r="D180" s="425"/>
      <c r="E180" s="425"/>
      <c r="F180" s="425"/>
      <c r="G180" s="425"/>
      <c r="H180" s="425"/>
    </row>
    <row r="181" spans="2:8" ht="18">
      <c r="B181" s="424"/>
      <c r="C181" s="425"/>
      <c r="D181" s="425"/>
      <c r="E181" s="425"/>
      <c r="F181" s="425"/>
      <c r="G181" s="425"/>
      <c r="H181" s="425"/>
    </row>
    <row r="182" spans="2:8" ht="18">
      <c r="B182" s="424"/>
      <c r="C182" s="425"/>
      <c r="D182" s="425"/>
      <c r="E182" s="425"/>
      <c r="F182" s="425"/>
      <c r="G182" s="425"/>
      <c r="H182" s="425"/>
    </row>
    <row r="183" spans="2:8" ht="18">
      <c r="B183" s="424"/>
      <c r="C183" s="425"/>
      <c r="D183" s="425"/>
      <c r="E183" s="425"/>
      <c r="F183" s="425"/>
      <c r="G183" s="425"/>
      <c r="H183" s="425"/>
    </row>
    <row r="184" spans="2:8" ht="18">
      <c r="B184" s="424"/>
      <c r="C184" s="425"/>
      <c r="D184" s="425"/>
      <c r="E184" s="425"/>
      <c r="F184" s="425"/>
      <c r="G184" s="425"/>
      <c r="H184" s="425"/>
    </row>
    <row r="185" spans="2:8" ht="18">
      <c r="B185" s="424"/>
      <c r="C185" s="425"/>
      <c r="D185" s="425"/>
      <c r="E185" s="425"/>
      <c r="F185" s="425"/>
      <c r="G185" s="425"/>
      <c r="H185" s="425"/>
    </row>
    <row r="186" spans="2:8" ht="18">
      <c r="B186" s="424"/>
      <c r="C186" s="425"/>
      <c r="D186" s="425"/>
      <c r="E186" s="425"/>
      <c r="F186" s="425"/>
      <c r="G186" s="425"/>
      <c r="H186" s="425"/>
    </row>
    <row r="187" spans="2:8" ht="18">
      <c r="B187" s="424"/>
      <c r="C187" s="425"/>
      <c r="D187" s="425"/>
      <c r="E187" s="425"/>
      <c r="F187" s="425"/>
      <c r="G187" s="425"/>
      <c r="H187" s="425"/>
    </row>
    <row r="188" spans="2:8" ht="18">
      <c r="B188" s="424"/>
      <c r="C188" s="425"/>
      <c r="D188" s="425"/>
      <c r="E188" s="425"/>
      <c r="F188" s="425"/>
      <c r="G188" s="425"/>
      <c r="H188" s="425"/>
    </row>
    <row r="189" spans="2:8" ht="18">
      <c r="B189" s="424"/>
      <c r="C189" s="425"/>
      <c r="D189" s="425"/>
      <c r="E189" s="425"/>
      <c r="F189" s="425"/>
      <c r="G189" s="425"/>
      <c r="H189" s="425"/>
    </row>
    <row r="190" spans="2:8" ht="18">
      <c r="B190" s="424"/>
      <c r="C190" s="425"/>
      <c r="D190" s="425"/>
      <c r="E190" s="425"/>
      <c r="F190" s="425"/>
      <c r="G190" s="425"/>
      <c r="H190" s="425"/>
    </row>
    <row r="191" spans="2:8" ht="18">
      <c r="B191" s="424"/>
      <c r="C191" s="425"/>
      <c r="D191" s="425"/>
      <c r="E191" s="425"/>
      <c r="F191" s="425"/>
      <c r="G191" s="425"/>
      <c r="H191" s="425"/>
    </row>
    <row r="192" spans="2:8" ht="18">
      <c r="B192" s="424"/>
      <c r="C192" s="425"/>
      <c r="D192" s="425"/>
      <c r="E192" s="425"/>
      <c r="F192" s="425"/>
      <c r="G192" s="425"/>
      <c r="H192" s="425"/>
    </row>
    <row r="193" spans="2:8" ht="18">
      <c r="B193" s="424"/>
      <c r="C193" s="425"/>
      <c r="D193" s="425"/>
      <c r="E193" s="425"/>
      <c r="F193" s="425"/>
      <c r="G193" s="425"/>
      <c r="H193" s="425"/>
    </row>
    <row r="194" spans="2:8" ht="18">
      <c r="B194" s="424"/>
      <c r="C194" s="425"/>
      <c r="D194" s="425"/>
      <c r="E194" s="425"/>
      <c r="F194" s="425"/>
      <c r="G194" s="425"/>
      <c r="H194" s="425"/>
    </row>
    <row r="195" spans="2:8" ht="18">
      <c r="B195" s="424"/>
      <c r="C195" s="425"/>
      <c r="D195" s="425"/>
      <c r="E195" s="425"/>
      <c r="F195" s="425"/>
      <c r="G195" s="425"/>
      <c r="H195" s="425"/>
    </row>
    <row r="196" spans="2:8" ht="18">
      <c r="B196" s="424"/>
      <c r="C196" s="425"/>
      <c r="D196" s="425"/>
      <c r="E196" s="425"/>
      <c r="F196" s="425"/>
      <c r="G196" s="425"/>
      <c r="H196" s="425"/>
    </row>
    <row r="197" spans="2:8" ht="18">
      <c r="B197" s="424"/>
      <c r="C197" s="425"/>
      <c r="D197" s="425"/>
      <c r="E197" s="425"/>
      <c r="F197" s="425"/>
      <c r="G197" s="425"/>
      <c r="H197" s="425"/>
    </row>
    <row r="198" spans="2:8" ht="18">
      <c r="B198" s="424"/>
      <c r="C198" s="425"/>
      <c r="D198" s="425"/>
      <c r="E198" s="425"/>
      <c r="F198" s="425"/>
      <c r="G198" s="425"/>
      <c r="H198" s="425"/>
    </row>
    <row r="199" spans="2:8" ht="18">
      <c r="B199" s="424"/>
      <c r="C199" s="425"/>
      <c r="D199" s="425"/>
      <c r="E199" s="425"/>
      <c r="F199" s="425"/>
      <c r="G199" s="425"/>
      <c r="H199" s="425"/>
    </row>
    <row r="200" spans="2:8" ht="18">
      <c r="B200" s="424"/>
      <c r="C200" s="425"/>
      <c r="D200" s="425"/>
      <c r="E200" s="425"/>
      <c r="F200" s="425"/>
      <c r="G200" s="425"/>
      <c r="H200" s="425"/>
    </row>
    <row r="201" spans="2:8" ht="18">
      <c r="B201" s="424"/>
      <c r="C201" s="425"/>
      <c r="D201" s="425"/>
      <c r="E201" s="425"/>
      <c r="F201" s="425"/>
      <c r="G201" s="425"/>
      <c r="H201" s="425"/>
    </row>
    <row r="202" spans="2:8" ht="18">
      <c r="B202" s="424"/>
      <c r="C202" s="425"/>
      <c r="D202" s="425"/>
      <c r="E202" s="425"/>
      <c r="F202" s="425"/>
      <c r="G202" s="425"/>
      <c r="H202" s="425"/>
    </row>
    <row r="203" spans="2:8" ht="18">
      <c r="B203" s="424"/>
      <c r="C203" s="425"/>
      <c r="D203" s="425"/>
      <c r="E203" s="425"/>
      <c r="F203" s="425"/>
      <c r="G203" s="425"/>
      <c r="H203" s="425"/>
    </row>
    <row r="204" spans="2:8" ht="18">
      <c r="B204" s="424"/>
      <c r="C204" s="425"/>
      <c r="D204" s="425"/>
      <c r="E204" s="425"/>
      <c r="F204" s="425"/>
      <c r="G204" s="425"/>
      <c r="H204" s="425"/>
    </row>
    <row r="205" spans="2:8" ht="18">
      <c r="B205" s="424"/>
      <c r="C205" s="425"/>
      <c r="D205" s="425"/>
      <c r="E205" s="425"/>
      <c r="F205" s="425"/>
      <c r="G205" s="425"/>
      <c r="H205" s="425"/>
    </row>
    <row r="206" spans="2:8" ht="18">
      <c r="B206" s="424"/>
      <c r="C206" s="425"/>
      <c r="D206" s="425"/>
      <c r="E206" s="425"/>
      <c r="F206" s="425"/>
      <c r="G206" s="425"/>
      <c r="H206" s="425"/>
    </row>
    <row r="207" spans="2:8" ht="18">
      <c r="B207" s="424"/>
      <c r="C207" s="425"/>
      <c r="D207" s="425"/>
      <c r="E207" s="425"/>
      <c r="F207" s="425"/>
      <c r="G207" s="425"/>
      <c r="H207" s="425"/>
    </row>
    <row r="208" spans="2:8" ht="18">
      <c r="B208" s="424"/>
      <c r="C208" s="425"/>
      <c r="D208" s="425"/>
      <c r="E208" s="425"/>
      <c r="F208" s="425"/>
      <c r="G208" s="425"/>
      <c r="H208" s="425"/>
    </row>
    <row r="209" spans="2:8" ht="18">
      <c r="B209" s="424"/>
      <c r="C209" s="425"/>
      <c r="D209" s="425"/>
      <c r="E209" s="425"/>
      <c r="F209" s="425"/>
      <c r="G209" s="425"/>
      <c r="H209" s="425"/>
    </row>
    <row r="210" spans="2:8" ht="18">
      <c r="B210" s="424"/>
      <c r="C210" s="425"/>
      <c r="D210" s="425"/>
      <c r="E210" s="425"/>
      <c r="F210" s="425"/>
      <c r="G210" s="425"/>
      <c r="H210" s="425"/>
    </row>
    <row r="211" spans="2:8" ht="18">
      <c r="B211" s="424"/>
      <c r="C211" s="425"/>
      <c r="D211" s="425"/>
      <c r="E211" s="425"/>
      <c r="F211" s="425"/>
      <c r="G211" s="425"/>
      <c r="H211" s="425"/>
    </row>
    <row r="212" spans="2:8" ht="18">
      <c r="B212" s="424"/>
      <c r="C212" s="425"/>
      <c r="D212" s="425"/>
      <c r="E212" s="425"/>
      <c r="F212" s="425"/>
      <c r="G212" s="425"/>
      <c r="H212" s="425"/>
    </row>
    <row r="213" spans="2:8" ht="18">
      <c r="B213" s="424"/>
      <c r="C213" s="425"/>
      <c r="D213" s="425"/>
      <c r="E213" s="425"/>
      <c r="F213" s="425"/>
      <c r="G213" s="425"/>
      <c r="H213" s="425"/>
    </row>
    <row r="214" spans="2:8" ht="18">
      <c r="B214" s="424"/>
      <c r="C214" s="425"/>
      <c r="D214" s="425"/>
      <c r="E214" s="425"/>
      <c r="F214" s="425"/>
      <c r="G214" s="425"/>
      <c r="H214" s="425"/>
    </row>
    <row r="215" spans="2:8" ht="18">
      <c r="B215" s="424"/>
      <c r="C215" s="425"/>
      <c r="D215" s="425"/>
      <c r="E215" s="425"/>
      <c r="F215" s="425"/>
      <c r="G215" s="425"/>
      <c r="H215" s="425"/>
    </row>
    <row r="216" spans="2:8" ht="18">
      <c r="B216" s="424"/>
      <c r="C216" s="425"/>
      <c r="D216" s="425"/>
      <c r="E216" s="425"/>
      <c r="F216" s="425"/>
      <c r="G216" s="425"/>
      <c r="H216" s="425"/>
    </row>
    <row r="217" spans="2:8" ht="18">
      <c r="B217" s="424"/>
      <c r="C217" s="425"/>
      <c r="D217" s="425"/>
      <c r="E217" s="425"/>
      <c r="F217" s="425"/>
      <c r="G217" s="425"/>
      <c r="H217" s="425"/>
    </row>
    <row r="218" spans="2:8" ht="18">
      <c r="B218" s="424"/>
      <c r="C218" s="425"/>
      <c r="D218" s="425"/>
      <c r="E218" s="425"/>
      <c r="F218" s="425"/>
      <c r="G218" s="425"/>
      <c r="H218" s="425"/>
    </row>
    <row r="219" spans="2:8" ht="18">
      <c r="B219" s="424"/>
      <c r="C219" s="425"/>
      <c r="D219" s="425"/>
      <c r="E219" s="425"/>
      <c r="F219" s="425"/>
      <c r="G219" s="425"/>
      <c r="H219" s="425"/>
    </row>
    <row r="220" spans="2:8" ht="18">
      <c r="B220" s="424"/>
      <c r="C220" s="425"/>
      <c r="D220" s="425"/>
      <c r="E220" s="425"/>
      <c r="F220" s="425"/>
      <c r="G220" s="425"/>
      <c r="H220" s="425"/>
    </row>
    <row r="221" spans="2:8" ht="18">
      <c r="B221" s="424"/>
      <c r="C221" s="425"/>
      <c r="D221" s="425"/>
      <c r="E221" s="425"/>
      <c r="F221" s="425"/>
      <c r="G221" s="425"/>
      <c r="H221" s="425"/>
    </row>
    <row r="222" spans="2:8" ht="18">
      <c r="B222" s="424"/>
      <c r="C222" s="425"/>
      <c r="D222" s="425"/>
      <c r="E222" s="425"/>
      <c r="F222" s="425"/>
      <c r="G222" s="425"/>
      <c r="H222" s="425"/>
    </row>
    <row r="223" spans="2:8" ht="18">
      <c r="B223" s="424"/>
      <c r="C223" s="425"/>
      <c r="D223" s="425"/>
      <c r="E223" s="425"/>
      <c r="F223" s="425"/>
      <c r="G223" s="425"/>
      <c r="H223" s="425"/>
    </row>
    <row r="224" spans="2:8" ht="18">
      <c r="B224" s="424"/>
      <c r="C224" s="425"/>
      <c r="D224" s="425"/>
      <c r="E224" s="425"/>
      <c r="F224" s="425"/>
      <c r="G224" s="425"/>
      <c r="H224" s="425"/>
    </row>
    <row r="225" spans="2:8" ht="18">
      <c r="B225" s="424"/>
      <c r="C225" s="425"/>
      <c r="D225" s="425"/>
      <c r="E225" s="425"/>
      <c r="F225" s="425"/>
      <c r="G225" s="425"/>
      <c r="H225" s="425"/>
    </row>
    <row r="226" spans="2:8" ht="18">
      <c r="B226" s="424"/>
      <c r="C226" s="425"/>
      <c r="D226" s="425"/>
      <c r="E226" s="425"/>
      <c r="F226" s="425"/>
      <c r="G226" s="425"/>
      <c r="H226" s="425"/>
    </row>
    <row r="227" spans="2:8" ht="18">
      <c r="B227" s="424"/>
      <c r="C227" s="425"/>
      <c r="D227" s="425"/>
      <c r="E227" s="425"/>
      <c r="F227" s="425"/>
      <c r="G227" s="425"/>
      <c r="H227" s="425"/>
    </row>
    <row r="228" spans="2:8" ht="18">
      <c r="B228" s="424"/>
      <c r="C228" s="425"/>
      <c r="D228" s="425"/>
      <c r="E228" s="425"/>
      <c r="F228" s="425"/>
      <c r="G228" s="425"/>
      <c r="H228" s="425"/>
    </row>
    <row r="229" spans="2:8" ht="18">
      <c r="B229" s="424"/>
      <c r="C229" s="425"/>
      <c r="D229" s="425"/>
      <c r="E229" s="425"/>
      <c r="F229" s="425"/>
      <c r="G229" s="425"/>
      <c r="H229" s="425"/>
    </row>
    <row r="230" spans="2:8" ht="18">
      <c r="B230" s="424"/>
      <c r="C230" s="425"/>
      <c r="D230" s="425"/>
      <c r="E230" s="425"/>
      <c r="F230" s="425"/>
      <c r="G230" s="425"/>
      <c r="H230" s="425"/>
    </row>
  </sheetData>
  <mergeCells count="16">
    <mergeCell ref="B1:H1"/>
    <mergeCell ref="B2:H2"/>
    <mergeCell ref="B3:H3"/>
    <mergeCell ref="B41:G41"/>
    <mergeCell ref="B70:G70"/>
    <mergeCell ref="B74:G74"/>
    <mergeCell ref="B45:G45"/>
    <mergeCell ref="B47:H47"/>
    <mergeCell ref="B48:H48"/>
    <mergeCell ref="B49:H49"/>
    <mergeCell ref="B105:H105"/>
    <mergeCell ref="B75:H75"/>
    <mergeCell ref="B76:H76"/>
    <mergeCell ref="B77:H77"/>
    <mergeCell ref="B98:G98"/>
    <mergeCell ref="B102:G102"/>
  </mergeCells>
  <phoneticPr fontId="61" type="noConversion"/>
  <printOptions horizontalCentered="1"/>
  <pageMargins left="0.25" right="0.25" top="0.75" bottom="0.75" header="0.3" footer="0.3"/>
  <pageSetup scale="38" fitToHeight="0" orientation="landscape" r:id="rId1"/>
  <headerFooter alignWithMargins="0"/>
  <rowBreaks count="2" manualBreakCount="2">
    <brk id="46" max="7" man="1"/>
    <brk id="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A39F32D5B731C4083811088D162C0BA" ma:contentTypeVersion="16" ma:contentTypeDescription="Create a new document." ma:contentTypeScope="" ma:versionID="029299026b55498e4564a2f5b8f6e0a3">
  <xsd:schema xmlns:xsd="http://www.w3.org/2001/XMLSchema" xmlns:xs="http://www.w3.org/2001/XMLSchema" xmlns:p="http://schemas.microsoft.com/office/2006/metadata/properties" xmlns:ns2="330a3065-8da8-4384-a6e7-13b87c5c1723" xmlns:ns3="60a413c2-046d-49b7-8f45-245eadb7c976" targetNamespace="http://schemas.microsoft.com/office/2006/metadata/properties" ma:root="true" ma:fieldsID="27d1f68dcb1b7d3e792709b6c06b803d" ns2:_="" ns3:_="">
    <xsd:import namespace="330a3065-8da8-4384-a6e7-13b87c5c1723"/>
    <xsd:import namespace="60a413c2-046d-49b7-8f45-245eadb7c97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0a3065-8da8-4384-a6e7-13b87c5c1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235343d-e062-4e1d-9872-95c4b49ae44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0a413c2-046d-49b7-8f45-245eadb7c97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91894c8-5ad7-4453-bda5-ab481eecc52e}" ma:internalName="TaxCatchAll" ma:showField="CatchAllData" ma:web="60a413c2-046d-49b7-8f45-245eadb7c9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30a3065-8da8-4384-a6e7-13b87c5c1723">
      <Terms xmlns="http://schemas.microsoft.com/office/infopath/2007/PartnerControls"/>
    </lcf76f155ced4ddcb4097134ff3c332f>
    <TaxCatchAll xmlns="60a413c2-046d-49b7-8f45-245eadb7c976" xsi:nil="true"/>
  </documentManagement>
</p:properties>
</file>

<file path=customXml/itemProps1.xml><?xml version="1.0" encoding="utf-8"?>
<ds:datastoreItem xmlns:ds="http://schemas.openxmlformats.org/officeDocument/2006/customXml" ds:itemID="{41CA170C-19A3-42F6-A389-E4D98720EB5F}">
  <ds:schemaRefs>
    <ds:schemaRef ds:uri="http://schemas.microsoft.com/office/2006/metadata/longProperties"/>
  </ds:schemaRefs>
</ds:datastoreItem>
</file>

<file path=customXml/itemProps2.xml><?xml version="1.0" encoding="utf-8"?>
<ds:datastoreItem xmlns:ds="http://schemas.openxmlformats.org/officeDocument/2006/customXml" ds:itemID="{FDE70C96-E013-483C-BC2D-22B94584FB59}">
  <ds:schemaRefs>
    <ds:schemaRef ds:uri="http://schemas.microsoft.com/sharepoint/v3/contenttype/forms"/>
  </ds:schemaRefs>
</ds:datastoreItem>
</file>

<file path=customXml/itemProps3.xml><?xml version="1.0" encoding="utf-8"?>
<ds:datastoreItem xmlns:ds="http://schemas.openxmlformats.org/officeDocument/2006/customXml" ds:itemID="{208B6C62-8274-4936-AA38-AD329B60E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0a3065-8da8-4384-a6e7-13b87c5c1723"/>
    <ds:schemaRef ds:uri="60a413c2-046d-49b7-8f45-245eadb7c9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BA8E39A-E975-4684-8019-01BA94B97505}">
  <ds:schemaRefs>
    <ds:schemaRef ds:uri="http://purl.org/dc/dcmitype/"/>
    <ds:schemaRef ds:uri="330a3065-8da8-4384-a6e7-13b87c5c1723"/>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60a413c2-046d-49b7-8f45-245eadb7c9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16</vt:i4>
      </vt:variant>
    </vt:vector>
  </HeadingPairs>
  <TitlesOfParts>
    <vt:vector size="33" baseType="lpstr">
      <vt:lpstr>Index</vt:lpstr>
      <vt:lpstr>Appendix A</vt:lpstr>
      <vt:lpstr>1 - Revenue Credits</vt:lpstr>
      <vt:lpstr>2 - Cost Support </vt:lpstr>
      <vt:lpstr>3 - Cost Support</vt:lpstr>
      <vt:lpstr>3 - Cost Support (cont.)</vt:lpstr>
      <vt:lpstr>4 - Incentives</vt:lpstr>
      <vt:lpstr>5  LTD</vt:lpstr>
      <vt:lpstr>6a- ADIT</vt:lpstr>
      <vt:lpstr>6b- ADIT</vt:lpstr>
      <vt:lpstr>7 - True-Up</vt:lpstr>
      <vt:lpstr>7a-Interest Rate</vt:lpstr>
      <vt:lpstr>8 - Const Loan True-up</vt:lpstr>
      <vt:lpstr>9- Depreciation Rates</vt:lpstr>
      <vt:lpstr>10 - Workpaper</vt:lpstr>
      <vt:lpstr>Attachment 11</vt:lpstr>
      <vt:lpstr>Sheet1</vt:lpstr>
      <vt:lpstr>'Appendix A'!_ftn1</vt:lpstr>
      <vt:lpstr>'Appendix A'!_ftnref1</vt:lpstr>
      <vt:lpstr>'1 - Revenue Credits'!Print_Area</vt:lpstr>
      <vt:lpstr>'2 - Cost Support '!Print_Area</vt:lpstr>
      <vt:lpstr>'3 - Cost Support'!Print_Area</vt:lpstr>
      <vt:lpstr>'3 - Cost Support (cont.)'!Print_Area</vt:lpstr>
      <vt:lpstr>'4 - Incentives'!Print_Area</vt:lpstr>
      <vt:lpstr>'5  LTD'!Print_Area</vt:lpstr>
      <vt:lpstr>'6a- ADIT'!Print_Area</vt:lpstr>
      <vt:lpstr>'6b- ADIT'!Print_Area</vt:lpstr>
      <vt:lpstr>'7 - True-Up'!Print_Area</vt:lpstr>
      <vt:lpstr>'8 - Const Loan True-up'!Print_Area</vt:lpstr>
      <vt:lpstr>'9- Depreciation Rates'!Print_Area</vt:lpstr>
      <vt:lpstr>'Appendix A'!Print_Area</vt:lpstr>
      <vt:lpstr>'Attachment 11'!Print_Area</vt:lpstr>
      <vt:lpstr>Index!Print_Area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2015-12-02T19:39:07Z</dcterms:created>
  <dcterms:modified xsi:type="dcterms:W3CDTF">2022-09-30T18:47:44Z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play_urn:schemas-microsoft-com:office:office#Editor">
    <vt:lpwstr>System Account</vt:lpwstr>
  </property>
  <property fmtid="{D5CDD505-2E9C-101B-9397-08002B2CF9AE}" pid="4" name="Order">
    <vt:lpwstr>8802700.00000000</vt:lpwstr>
  </property>
  <property fmtid="{D5CDD505-2E9C-101B-9397-08002B2CF9AE}" pid="5" name="ChildDoc4Name">
    <vt:lpwstr/>
  </property>
  <property fmtid="{D5CDD505-2E9C-101B-9397-08002B2CF9AE}" pid="6" name="xd_ProgID">
    <vt:lpwstr/>
  </property>
  <property fmtid="{D5CDD505-2E9C-101B-9397-08002B2CF9AE}" pid="7" name="ChildDoc1URL">
    <vt:lpwstr/>
  </property>
  <property fmtid="{D5CDD505-2E9C-101B-9397-08002B2CF9AE}" pid="8" name="ChildDoc2URL">
    <vt:lpwstr/>
  </property>
  <property fmtid="{D5CDD505-2E9C-101B-9397-08002B2CF9AE}" pid="9" name="SortOrder1">
    <vt:lpwstr/>
  </property>
  <property fmtid="{D5CDD505-2E9C-101B-9397-08002B2CF9AE}" pid="10" name="display_urn:schemas-microsoft-com:office:office#Author">
    <vt:lpwstr>System Account</vt:lpwstr>
  </property>
  <property fmtid="{D5CDD505-2E9C-101B-9397-08002B2CF9AE}" pid="11" name="TemplateUrl">
    <vt:lpwstr/>
  </property>
  <property fmtid="{D5CDD505-2E9C-101B-9397-08002B2CF9AE}" pid="12" name="ChildDoc5Name">
    <vt:lpwstr/>
  </property>
  <property fmtid="{D5CDD505-2E9C-101B-9397-08002B2CF9AE}" pid="13" name="ChildDoc1Name">
    <vt:lpwstr/>
  </property>
  <property fmtid="{D5CDD505-2E9C-101B-9397-08002B2CF9AE}" pid="14" name="ChildDoc2Name">
    <vt:lpwstr/>
  </property>
  <property fmtid="{D5CDD505-2E9C-101B-9397-08002B2CF9AE}" pid="15" name="ChildDoc3Name">
    <vt:lpwstr/>
  </property>
  <property fmtid="{D5CDD505-2E9C-101B-9397-08002B2CF9AE}" pid="16" name="URL">
    <vt:lpwstr/>
  </property>
  <property fmtid="{D5CDD505-2E9C-101B-9397-08002B2CF9AE}" pid="17" name="ChildDoc5URL">
    <vt:lpwstr/>
  </property>
  <property fmtid="{D5CDD505-2E9C-101B-9397-08002B2CF9AE}" pid="18" name="xd_Signature">
    <vt:lpwstr/>
  </property>
  <property fmtid="{D5CDD505-2E9C-101B-9397-08002B2CF9AE}" pid="19" name="ChildDoc3URL">
    <vt:lpwstr/>
  </property>
  <property fmtid="{D5CDD505-2E9C-101B-9397-08002B2CF9AE}" pid="20" name="ChildDoc4URL">
    <vt:lpwstr/>
  </property>
  <property fmtid="{D5CDD505-2E9C-101B-9397-08002B2CF9AE}" pid="21" name="ContentTypeId">
    <vt:lpwstr>0x010100EA39F32D5B731C4083811088D162C0BA</vt:lpwstr>
  </property>
  <property fmtid="{D5CDD505-2E9C-101B-9397-08002B2CF9AE}" pid="22" name="MediaServiceImageTags">
    <vt:lpwstr/>
  </property>
  <property fmtid="{D5CDD505-2E9C-101B-9397-08002B2CF9AE}" pid="23" name="_AdHocReviewCycleID">
    <vt:i4>1362815789</vt:i4>
  </property>
</Properties>
</file>