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codeName="ThisWorkbook" defaultThemeVersion="124226"/>
  <xr:revisionPtr revIDLastSave="0" documentId="8_{3F440CA1-A1E1-43B2-8EF4-978338276F65}" xr6:coauthVersionLast="47" xr6:coauthVersionMax="47" xr10:uidLastSave="{00000000-0000-0000-0000-000000000000}"/>
  <bookViews>
    <workbookView xWindow="-108" yWindow="-108" windowWidth="23256" windowHeight="12576" tabRatio="918" activeTab="13" xr2:uid="{00000000-000D-0000-FFFF-FFFF00000000}"/>
  </bookViews>
  <sheets>
    <sheet name="Index" sheetId="39" r:id="rId1"/>
    <sheet name="Appendix A" sheetId="3" r:id="rId2"/>
    <sheet name="1 - Revenue Credits" sheetId="5" r:id="rId3"/>
    <sheet name="2 - Cost Support " sheetId="9" r:id="rId4"/>
    <sheet name="3 - Cost Support" sheetId="29" r:id="rId5"/>
    <sheet name="3 - Cost Support (cont.)" sheetId="38" r:id="rId6"/>
    <sheet name="4 - Incentives" sheetId="25" r:id="rId7"/>
    <sheet name="5  LTD" sheetId="28" r:id="rId8"/>
    <sheet name="6a- ADIT" sheetId="23" r:id="rId9"/>
    <sheet name="6b- ADIT" sheetId="22" r:id="rId10"/>
    <sheet name="7 - True-Up" sheetId="17" r:id="rId11"/>
    <sheet name="7a-Interest Rate" sheetId="30" r:id="rId12"/>
    <sheet name="8- Depreciation Rates" sheetId="20" r:id="rId13"/>
    <sheet name="9 - Workpaper" sheetId="36" r:id="rId14"/>
  </sheets>
  <externalReferences>
    <externalReference r:id="rId15"/>
  </externalReferences>
  <definedNames>
    <definedName name="_____dat1111">[1]Sheet1!$G$2:$G$29</definedName>
    <definedName name="____dat1111">[1]Sheet1!$G$2:$G$29</definedName>
    <definedName name="___dat1111">[1]Sheet1!$G$2:$G$29</definedName>
    <definedName name="__dat1111">[1]Sheet1!$G$2:$G$29</definedName>
    <definedName name="_dat1111">[1]Sheet1!$G$2:$G$29</definedName>
    <definedName name="_Fill" hidden="1">#REF!</definedName>
    <definedName name="_ftn1" localSheetId="1">'Appendix A'!$D$9</definedName>
    <definedName name="_ftnref1" localSheetId="1">'Appendix A'!$D$6</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'[1]AC 255'!$A$1:$M$32</definedName>
    <definedName name="Actual">[1]Assumptions!$E$52</definedName>
    <definedName name="AllASS">[1]ALL!$B$25</definedName>
    <definedName name="ALLCGI">[1]ALL!$D$25</definedName>
    <definedName name="ALLRD">[1]ALL!$C$25</definedName>
    <definedName name="ALLSKP">[1]ALL!$E$25</definedName>
    <definedName name="anscount" hidden="1">1</definedName>
    <definedName name="AS2DocOpenMode" hidden="1">"AS2DocumentEdit"</definedName>
    <definedName name="BALANCE">'[1]MTHLY BAL.'!$A$6:$O$89</definedName>
    <definedName name="Basis_Points">[1]Assumptions!$H$15</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S_Cost_Scenario">[1]Assumptions!$E$33</definedName>
    <definedName name="BGS_RFP">[1]Assumptions!$E$36</definedName>
    <definedName name="BLE_Close_Date">[1]Assumptions!$E$28</definedName>
    <definedName name="can" hidden="1">{#N/A,#N/A,FALSE,"O&amp;M by processes";#N/A,#N/A,FALSE,"Elec Act vs Bud";#N/A,#N/A,FALSE,"G&amp;A";#N/A,#N/A,FALSE,"BGS";#N/A,#N/A,FALSE,"Res Cost"}</definedName>
    <definedName name="cap_interest">'[1]Input Page'!$E$12</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'[1]JFJ-4 CEP Rate'!$A$28:$F$78</definedName>
    <definedName name="COGEN">'[1]October Tariff kwh'!$A$1:$H$83</definedName>
    <definedName name="compInc">[1]Inputs!$B$4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'[1]Input Page'!$E$7</definedName>
    <definedName name="cost2001">[1]Input!$M$23</definedName>
    <definedName name="CUT">[1]AFUDC_CCRF!$A$1:$N$303</definedName>
    <definedName name="CUTINS">[1]AFUDC_CCRF!$A$73:$N$160</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ta_3">[1]Permanent!$A$9:$O$20</definedName>
    <definedName name="Deferral_Interest_Rate">[1]Assumptions!$H$14</definedName>
    <definedName name="Deferral_Recovery">'[1]JFJ-1 Deferral Recovery Rate'!$A$14:$F$64</definedName>
    <definedName name="DefTax">[1]Lists!$A$2:$A$4</definedName>
    <definedName name="delete" hidden="1">{#N/A,#N/A,FALSE,"CURRENT"}</definedName>
    <definedName name="eeee" hidden="1">{#N/A,#N/A,FALSE,"O&amp;M by processes";#N/A,#N/A,FALSE,"Elec Act vs Bud";#N/A,#N/A,FALSE,"G&amp;A";#N/A,#N/A,FALSE,"BGS";#N/A,#N/A,FALSE,"Res Cost"}</definedName>
    <definedName name="EROA">[1]Inputs!$B$3</definedName>
    <definedName name="EV__LASTREFTIME__" hidden="1">39826.8319444444</definedName>
    <definedName name="fed_inc_tax">'[1]Input Page'!$E$9</definedName>
    <definedName name="Fossil_BGS">[1]Assumptions!$E$58</definedName>
    <definedName name="Fossil_Secur_Date">[1]Assumptions!$E$22</definedName>
    <definedName name="GenLedger">[1]PEPCO!$A$9:$H$774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[1]criteria!$A$5:$B$6</definedName>
    <definedName name="INTQ">'[1]IR COMP'!$B$39</definedName>
    <definedName name="INTY">'[1]IR COMP'!$C$39</definedName>
    <definedName name="KeyCon_Close_Date">[1]Assumptions!$E$29</definedName>
    <definedName name="l">[1]Lists!$A$2:$A$4</definedName>
    <definedName name="Labor">'[1]Labor ratio'!$A$2:$K$14</definedName>
    <definedName name="limcount" hidden="1">1</definedName>
    <definedName name="million">1000000</definedName>
    <definedName name="month">[1]RPT80MAR!$A$1:$D$77</definedName>
    <definedName name="months">[1]Permanent!$A$24:$A$35</definedName>
    <definedName name="MTC_Amortization">'[1]JFJ-3 MTC Rate'!$A$32:$F$82</definedName>
    <definedName name="non_cap_int">'[1]Input Page'!$E$11</definedName>
    <definedName name="Nuclear_Secur_Date">[1]Assumptions!$E$21</definedName>
    <definedName name="one">1</definedName>
    <definedName name="pctHW">[1]Input!$M$24</definedName>
    <definedName name="pctSWExp">[1]Input!$M$26</definedName>
    <definedName name="pctTraining">[1]Input!$M$25</definedName>
    <definedName name="post_fossil">[1]Assumptions!$E$59</definedName>
    <definedName name="PPA">[1]Assumptions!$E$38</definedName>
    <definedName name="PreTaxDebt">'[1]MTC Return'!$F$18</definedName>
    <definedName name="_xlnm.Print_Area" localSheetId="2">'1 - Revenue Credits'!$A$1:$F$47</definedName>
    <definedName name="_xlnm.Print_Area" localSheetId="3">'2 - Cost Support '!$A$1:$F$174</definedName>
    <definedName name="_xlnm.Print_Area" localSheetId="4">'3 - Cost Support'!$A$1:$M$183</definedName>
    <definedName name="_xlnm.Print_Area" localSheetId="5">'3 - Cost Support (cont.)'!$A$1:$Q$44</definedName>
    <definedName name="_xlnm.Print_Area" localSheetId="6">'4 - Incentives'!$A$1:$Q$136</definedName>
    <definedName name="_xlnm.Print_Area" localSheetId="7">'5  LTD'!$A$1:$J$100</definedName>
    <definedName name="_xlnm.Print_Area" localSheetId="8">'6a- ADIT'!$A$1:$H$102</definedName>
    <definedName name="_xlnm.Print_Area" localSheetId="9">'6b- ADIT'!$A$1:$H$102</definedName>
    <definedName name="_xlnm.Print_Area" localSheetId="10">'7 - True-Up'!$A$1:$K$59</definedName>
    <definedName name="_xlnm.Print_Area" localSheetId="11">'7a-Interest Rate'!$A$1:$Q$37</definedName>
    <definedName name="_xlnm.Print_Area" localSheetId="12">'8- Depreciation Rates'!$A$1:$E$71</definedName>
    <definedName name="_xlnm.Print_Area" localSheetId="1">'Appendix A'!$A$1:$M$321</definedName>
    <definedName name="_xlnm.Print_Area" localSheetId="0">Index!$A$1:$K$24</definedName>
    <definedName name="Print_Titles_MI">'[1]DACTIVE$'!$A$1:$IV$4,'[1]DACTIVE$'!$A$1:$A$65536</definedName>
    <definedName name="PrintareaDec">'[1]kWh-Mcf'!$E$97,'[1]kWh-Mcf'!$A$81:$E$118,'[1]kWh-Mcf'!$AM$86:$AO$118</definedName>
    <definedName name="query">'[1]Boston Edison'!$A$1:$M$3434</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tate">'[1]State List'!$A$2:$A$53</definedName>
    <definedName name="statsrevised" hidden="1">{#N/A,#N/A,FALSE,"O&amp;M by processes";#N/A,#N/A,FALSE,"Elec Act vs Bud";#N/A,#N/A,FALSE,"G&amp;A";#N/A,#N/A,FALSE,"BGS";#N/A,#N/A,FALSE,"Res Cost"}</definedName>
    <definedName name="STILL1040">'[1]Addt''l 1040 Exclusions'!$A$5:$U$44</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Tacx_Factor">[1]Assumptions!$E$52</definedName>
    <definedName name="tax_base_on_inc">'[1]Input Page'!$E$10</definedName>
    <definedName name="tax_basis">'[1]Input Page'!$E$13</definedName>
    <definedName name="thousand">1000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valDate">[1]Inputs!$B$1</definedName>
    <definedName name="WCCGCR2">[1]Rates!$B$96:$C$190</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'[1]WO Info'!$A$1:$F$17972</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EAR1">[1]Inputs!$C$17</definedName>
    <definedName name="yeartodate">[1]RPT80MAR!$A$84:$D$158</definedName>
    <definedName name="Z_28948E05_8F34_4F1E_96FB_A80A6A844600_.wvu.Cols" localSheetId="8" hidden="1">'6a- ADIT'!#REF!</definedName>
    <definedName name="Z_28948E05_8F34_4F1E_96FB_A80A6A844600_.wvu.Cols" localSheetId="9" hidden="1">'6b- ADIT'!#REF!</definedName>
    <definedName name="Z_28948E05_8F34_4F1E_96FB_A80A6A844600_.wvu.PrintArea" localSheetId="8" hidden="1">'6a- ADIT'!$B$1:$H$124</definedName>
    <definedName name="Z_28948E05_8F34_4F1E_96FB_A80A6A844600_.wvu.PrintArea" localSheetId="9" hidden="1">'6b- ADIT'!$B$1:$H$124</definedName>
    <definedName name="Z_3768C7C8_9953_11DA_B318_000FB55D51DC_.wvu.PrintArea" localSheetId="2" hidden="1">'1 - Revenue Credits'!$A$5:$D$19</definedName>
    <definedName name="Z_3768C7C8_9953_11DA_B318_000FB55D51DC_.wvu.PrintArea" localSheetId="3" hidden="1">'2 - Cost Support '!#REF!</definedName>
    <definedName name="Z_3768C7C8_9953_11DA_B318_000FB55D51DC_.wvu.PrintArea" localSheetId="4" hidden="1">'3 - Cost Support'!$A$30:$M$115</definedName>
    <definedName name="Z_3768C7C8_9953_11DA_B318_000FB55D51DC_.wvu.PrintTitles" localSheetId="3" hidden="1">'2 - Cost Support '!#REF!</definedName>
    <definedName name="Z_3768C7C8_9953_11DA_B318_000FB55D51DC_.wvu.PrintTitles" localSheetId="4" hidden="1">'3 - Cost Support'!#REF!</definedName>
    <definedName name="Z_3768C7C8_9953_11DA_B318_000FB55D51DC_.wvu.Rows" localSheetId="3" hidden="1">'2 - Cost Support '!#REF!</definedName>
    <definedName name="Z_3768C7C8_9953_11DA_B318_000FB55D51DC_.wvu.Rows" localSheetId="4" hidden="1">'3 - Cost Support'!#REF!</definedName>
    <definedName name="Z_3BDD6235_B127_4929_8311_BDAF7BB89818_.wvu.PrintArea" localSheetId="2" hidden="1">'1 - Revenue Credits'!$A$5:$D$19</definedName>
    <definedName name="Z_3BDD6235_B127_4929_8311_BDAF7BB89818_.wvu.PrintArea" localSheetId="3" hidden="1">'2 - Cost Support '!#REF!</definedName>
    <definedName name="Z_3BDD6235_B127_4929_8311_BDAF7BB89818_.wvu.PrintArea" localSheetId="4" hidden="1">'3 - Cost Support'!$A$30:$M$115</definedName>
    <definedName name="Z_3BDD6235_B127_4929_8311_BDAF7BB89818_.wvu.PrintTitles" localSheetId="3" hidden="1">'2 - Cost Support '!#REF!</definedName>
    <definedName name="Z_3BDD6235_B127_4929_8311_BDAF7BB89818_.wvu.PrintTitles" localSheetId="4" hidden="1">'3 - Cost Support'!#REF!</definedName>
    <definedName name="Z_3BDD6235_B127_4929_8311_BDAF7BB89818_.wvu.Rows" localSheetId="3" hidden="1">'2 - Cost Support '!#REF!</definedName>
    <definedName name="Z_3BDD6235_B127_4929_8311_BDAF7BB89818_.wvu.Rows" localSheetId="4" hidden="1">'3 - Cost Support'!#REF!</definedName>
    <definedName name="Z_63011E91_4609_4523_98FE_FD252E915668_.wvu.Cols" localSheetId="8" hidden="1">'6a- ADIT'!#REF!</definedName>
    <definedName name="Z_63011E91_4609_4523_98FE_FD252E915668_.wvu.Cols" localSheetId="9" hidden="1">'6b- ADIT'!#REF!</definedName>
    <definedName name="Z_63011E91_4609_4523_98FE_FD252E915668_.wvu.PrintArea" localSheetId="8" hidden="1">'6a- ADIT'!$B$1:$H$124</definedName>
    <definedName name="Z_63011E91_4609_4523_98FE_FD252E915668_.wvu.PrintArea" localSheetId="9" hidden="1">'6b- ADIT'!$B$1:$H$124</definedName>
    <definedName name="Z_6928E596_79BD_4CEC_9F0D_07E62D69B2A5_.wvu.Cols" localSheetId="8" hidden="1">'6a- ADIT'!#REF!</definedName>
    <definedName name="Z_6928E596_79BD_4CEC_9F0D_07E62D69B2A5_.wvu.Cols" localSheetId="9" hidden="1">'6b- ADIT'!#REF!</definedName>
    <definedName name="Z_6928E596_79BD_4CEC_9F0D_07E62D69B2A5_.wvu.PrintArea" localSheetId="8" hidden="1">'6a- ADIT'!$B$1:$H$124</definedName>
    <definedName name="Z_6928E596_79BD_4CEC_9F0D_07E62D69B2A5_.wvu.PrintArea" localSheetId="9" hidden="1">'6b- ADIT'!$B$1:$H$124</definedName>
    <definedName name="Z_71B42B22_A376_44B5_B0C1_23FC1AA3DBA2_.wvu.Cols" localSheetId="8" hidden="1">'6a- ADIT'!#REF!</definedName>
    <definedName name="Z_71B42B22_A376_44B5_B0C1_23FC1AA3DBA2_.wvu.Cols" localSheetId="9" hidden="1">'6b- ADIT'!#REF!</definedName>
    <definedName name="Z_71B42B22_A376_44B5_B0C1_23FC1AA3DBA2_.wvu.PrintArea" localSheetId="8" hidden="1">'6a- ADIT'!$B$1:$H$124</definedName>
    <definedName name="Z_71B42B22_A376_44B5_B0C1_23FC1AA3DBA2_.wvu.PrintArea" localSheetId="9" hidden="1">'6b- ADIT'!$B$1:$H$124</definedName>
    <definedName name="Z_8FBB4DC9_2D51_4AB9_80D8_F8474B404C29_.wvu.Cols" localSheetId="8" hidden="1">'6a- ADIT'!#REF!</definedName>
    <definedName name="Z_8FBB4DC9_2D51_4AB9_80D8_F8474B404C29_.wvu.Cols" localSheetId="9" hidden="1">'6b- ADIT'!#REF!</definedName>
    <definedName name="Z_8FBB4DC9_2D51_4AB9_80D8_F8474B404C29_.wvu.PrintArea" localSheetId="8" hidden="1">'6a- ADIT'!$B$1:$H$124</definedName>
    <definedName name="Z_8FBB4DC9_2D51_4AB9_80D8_F8474B404C29_.wvu.PrintArea" localSheetId="9" hidden="1">'6b- ADIT'!$B$1:$H$124</definedName>
    <definedName name="Z_B0241363_5C8A_48FC_89A6_56D55586BABE_.wvu.PrintArea" localSheetId="2" hidden="1">'1 - Revenue Credits'!$A$5:$D$19</definedName>
    <definedName name="Z_B0241363_5C8A_48FC_89A6_56D55586BABE_.wvu.PrintArea" localSheetId="3" hidden="1">'2 - Cost Support '!#REF!</definedName>
    <definedName name="Z_B0241363_5C8A_48FC_89A6_56D55586BABE_.wvu.PrintArea" localSheetId="4" hidden="1">'3 - Cost Support'!$A$30:$M$115</definedName>
    <definedName name="Z_B0241363_5C8A_48FC_89A6_56D55586BABE_.wvu.PrintTitles" localSheetId="3" hidden="1">'2 - Cost Support '!#REF!</definedName>
    <definedName name="Z_B0241363_5C8A_48FC_89A6_56D55586BABE_.wvu.PrintTitles" localSheetId="4" hidden="1">'3 - Cost Support'!#REF!</definedName>
    <definedName name="Z_B0241363_5C8A_48FC_89A6_56D55586BABE_.wvu.Rows" localSheetId="3" hidden="1">'2 - Cost Support '!#REF!</definedName>
    <definedName name="Z_B0241363_5C8A_48FC_89A6_56D55586BABE_.wvu.Rows" localSheetId="4" hidden="1">'3 - Cost Support'!#REF!</definedName>
    <definedName name="Z_B647CB7F_C846_4278_B6B1_1EF7F3C004F5_.wvu.Cols" localSheetId="8" hidden="1">'6a- ADIT'!#REF!</definedName>
    <definedName name="Z_B647CB7F_C846_4278_B6B1_1EF7F3C004F5_.wvu.Cols" localSheetId="9" hidden="1">'6b- ADIT'!#REF!</definedName>
    <definedName name="Z_B647CB7F_C846_4278_B6B1_1EF7F3C004F5_.wvu.PrintArea" localSheetId="8" hidden="1">'6a- ADIT'!$B$1:$H$124</definedName>
    <definedName name="Z_B647CB7F_C846_4278_B6B1_1EF7F3C004F5_.wvu.PrintArea" localSheetId="9" hidden="1">'6b- ADIT'!$B$1:$H$124</definedName>
    <definedName name="Z_C0EA0F9F_7310_4201_82C9_7B8FC8DB9137_.wvu.PrintArea" localSheetId="2" hidden="1">'1 - Revenue Credits'!$A$5:$D$19</definedName>
    <definedName name="Z_C0EA0F9F_7310_4201_82C9_7B8FC8DB9137_.wvu.PrintArea" localSheetId="3" hidden="1">'2 - Cost Support '!#REF!</definedName>
    <definedName name="Z_C0EA0F9F_7310_4201_82C9_7B8FC8DB9137_.wvu.PrintArea" localSheetId="4" hidden="1">'3 - Cost Support'!$A$30:$M$115</definedName>
    <definedName name="Z_C0EA0F9F_7310_4201_82C9_7B8FC8DB9137_.wvu.PrintTitles" localSheetId="3" hidden="1">'2 - Cost Support '!#REF!</definedName>
    <definedName name="Z_C0EA0F9F_7310_4201_82C9_7B8FC8DB9137_.wvu.PrintTitles" localSheetId="4" hidden="1">'3 - Cost Support'!#REF!</definedName>
    <definedName name="Z_C0EA0F9F_7310_4201_82C9_7B8FC8DB9137_.wvu.Rows" localSheetId="3" hidden="1">'2 - Cost Support '!#REF!</definedName>
    <definedName name="Z_C0EA0F9F_7310_4201_82C9_7B8FC8DB9137_.wvu.Rows" localSheetId="4" hidden="1">'3 - Cost Support'!#REF!</definedName>
    <definedName name="Z_DC91DEF3_837B_4BB9_A81E_3B78C5914E6C_.wvu.Cols" localSheetId="8" hidden="1">'6a- ADIT'!#REF!</definedName>
    <definedName name="Z_DC91DEF3_837B_4BB9_A81E_3B78C5914E6C_.wvu.Cols" localSheetId="9" hidden="1">'6b- ADIT'!#REF!</definedName>
    <definedName name="Z_DC91DEF3_837B_4BB9_A81E_3B78C5914E6C_.wvu.PrintArea" localSheetId="8" hidden="1">'6a- ADIT'!$B$1:$H$124</definedName>
    <definedName name="Z_DC91DEF3_837B_4BB9_A81E_3B78C5914E6C_.wvu.PrintArea" localSheetId="9" hidden="1">'6b- ADIT'!$B$1:$H$124</definedName>
    <definedName name="Z_FAAD9AAC_1337_43AB_BF1F_CCF9DFCF5B78_.wvu.Cols" localSheetId="8" hidden="1">'6a- ADIT'!#REF!</definedName>
    <definedName name="Z_FAAD9AAC_1337_43AB_BF1F_CCF9DFCF5B78_.wvu.Cols" localSheetId="9" hidden="1">'6b- ADIT'!#REF!</definedName>
    <definedName name="Z_FAAD9AAC_1337_43AB_BF1F_CCF9DFCF5B78_.wvu.PrintArea" localSheetId="8" hidden="1">'6a- ADIT'!$B$1:$H$124</definedName>
    <definedName name="Z_FAAD9AAC_1337_43AB_BF1F_CCF9DFCF5B78_.wvu.PrintArea" localSheetId="9" hidden="1">'6b- ADIT'!$B$1:$H$124</definedName>
    <definedName name="zero">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1" i="36" l="1"/>
  <c r="N103" i="36" l="1"/>
  <c r="N102" i="36"/>
  <c r="N101" i="36"/>
  <c r="N100" i="36"/>
  <c r="N99" i="36"/>
  <c r="N98" i="36"/>
  <c r="N97" i="36"/>
  <c r="N96" i="36"/>
  <c r="N95" i="36"/>
  <c r="N94" i="36"/>
  <c r="N93" i="36"/>
  <c r="N92" i="36"/>
  <c r="N91" i="36"/>
  <c r="G55" i="29" l="1"/>
  <c r="H26" i="22" l="1"/>
  <c r="H26" i="23"/>
  <c r="C26" i="23"/>
  <c r="E146" i="3"/>
  <c r="A235" i="3"/>
  <c r="A242" i="3" s="1"/>
  <c r="E158" i="9" l="1"/>
  <c r="E159" i="9"/>
  <c r="E160" i="9"/>
  <c r="E161" i="9"/>
  <c r="E162" i="9"/>
  <c r="E163" i="9"/>
  <c r="E164" i="9"/>
  <c r="E165" i="9"/>
  <c r="E166" i="9"/>
  <c r="E167" i="9"/>
  <c r="E168" i="9"/>
  <c r="E169" i="9"/>
  <c r="E157" i="9"/>
  <c r="E142" i="9"/>
  <c r="E143" i="9"/>
  <c r="E144" i="9"/>
  <c r="E145" i="9"/>
  <c r="E146" i="9"/>
  <c r="E147" i="9"/>
  <c r="E148" i="9"/>
  <c r="E149" i="9"/>
  <c r="E150" i="9"/>
  <c r="E151" i="9"/>
  <c r="E152" i="9"/>
  <c r="E153" i="9"/>
  <c r="E141" i="9"/>
  <c r="E126" i="9"/>
  <c r="E127" i="9"/>
  <c r="E128" i="9"/>
  <c r="E129" i="9"/>
  <c r="E130" i="9"/>
  <c r="E131" i="9"/>
  <c r="E132" i="9"/>
  <c r="E133" i="9"/>
  <c r="E134" i="9"/>
  <c r="E135" i="9"/>
  <c r="E136" i="9"/>
  <c r="E137" i="9"/>
  <c r="E125" i="9"/>
  <c r="E110" i="9"/>
  <c r="E111" i="9"/>
  <c r="E112" i="9"/>
  <c r="E113" i="9"/>
  <c r="E114" i="9"/>
  <c r="E115" i="9"/>
  <c r="E116" i="9"/>
  <c r="E117" i="9"/>
  <c r="E118" i="9"/>
  <c r="E119" i="9"/>
  <c r="E120" i="9"/>
  <c r="E121" i="9"/>
  <c r="E109" i="9"/>
  <c r="E94" i="9"/>
  <c r="E95" i="9"/>
  <c r="E96" i="9"/>
  <c r="E97" i="9"/>
  <c r="E98" i="9"/>
  <c r="E99" i="9"/>
  <c r="E100" i="9"/>
  <c r="E101" i="9"/>
  <c r="E102" i="9"/>
  <c r="E103" i="9"/>
  <c r="E104" i="9"/>
  <c r="E105" i="9"/>
  <c r="E93" i="9"/>
  <c r="E72" i="9"/>
  <c r="E73" i="9"/>
  <c r="E74" i="9"/>
  <c r="E75" i="9"/>
  <c r="E76" i="9"/>
  <c r="E77" i="9"/>
  <c r="E78" i="9"/>
  <c r="E79" i="9"/>
  <c r="E80" i="9"/>
  <c r="E81" i="9"/>
  <c r="E82" i="9"/>
  <c r="E83" i="9"/>
  <c r="E71" i="9"/>
  <c r="E56" i="9"/>
  <c r="E57" i="9"/>
  <c r="E58" i="9"/>
  <c r="E59" i="9"/>
  <c r="E60" i="9"/>
  <c r="E61" i="9"/>
  <c r="E62" i="9"/>
  <c r="E63" i="9"/>
  <c r="E64" i="9"/>
  <c r="E65" i="9"/>
  <c r="E66" i="9"/>
  <c r="E67" i="9"/>
  <c r="E55" i="9"/>
  <c r="E40" i="9"/>
  <c r="E41" i="9"/>
  <c r="E42" i="9"/>
  <c r="E43" i="9"/>
  <c r="E44" i="9"/>
  <c r="E45" i="9"/>
  <c r="E46" i="9"/>
  <c r="E47" i="9"/>
  <c r="E48" i="9"/>
  <c r="E49" i="9"/>
  <c r="E50" i="9"/>
  <c r="E51" i="9"/>
  <c r="E39" i="9"/>
  <c r="E24" i="9"/>
  <c r="E25" i="9"/>
  <c r="E26" i="9"/>
  <c r="E27" i="9"/>
  <c r="E28" i="9"/>
  <c r="E29" i="9"/>
  <c r="E30" i="9"/>
  <c r="E31" i="9"/>
  <c r="E32" i="9"/>
  <c r="E33" i="9"/>
  <c r="E34" i="9"/>
  <c r="E35" i="9"/>
  <c r="E23" i="9"/>
  <c r="E17" i="9"/>
  <c r="E18" i="9"/>
  <c r="E19" i="9"/>
  <c r="E16" i="9"/>
  <c r="E9" i="9"/>
  <c r="E10" i="9"/>
  <c r="E11" i="9"/>
  <c r="E12" i="9"/>
  <c r="E13" i="9"/>
  <c r="E14" i="9"/>
  <c r="E8" i="9"/>
  <c r="A110" i="36"/>
  <c r="A111" i="36" s="1"/>
  <c r="A112" i="36" s="1"/>
  <c r="A113" i="36" s="1"/>
  <c r="A114" i="36" s="1"/>
  <c r="A115" i="36" s="1"/>
  <c r="A116" i="36" s="1"/>
  <c r="A117" i="36" s="1"/>
  <c r="A118" i="36" s="1"/>
  <c r="A119" i="36" s="1"/>
  <c r="A120" i="36" s="1"/>
  <c r="A121" i="36" s="1"/>
  <c r="A109" i="36"/>
  <c r="A108" i="36"/>
  <c r="A94" i="36"/>
  <c r="A95" i="36"/>
  <c r="A96" i="36" s="1"/>
  <c r="A97" i="36" s="1"/>
  <c r="A98" i="36" s="1"/>
  <c r="A99" i="36" s="1"/>
  <c r="A100" i="36" s="1"/>
  <c r="A101" i="36" s="1"/>
  <c r="A102" i="36" s="1"/>
  <c r="A103" i="36" s="1"/>
  <c r="A104" i="36" s="1"/>
  <c r="A93" i="36"/>
  <c r="A92" i="36"/>
  <c r="A91" i="36"/>
  <c r="Q12" i="38"/>
  <c r="Q20" i="38"/>
  <c r="Q19" i="38"/>
  <c r="Q18" i="38"/>
  <c r="E144" i="3"/>
  <c r="E143" i="3"/>
  <c r="O20" i="38"/>
  <c r="N20" i="38"/>
  <c r="M20" i="38"/>
  <c r="L20" i="38"/>
  <c r="K20" i="38"/>
  <c r="J20" i="38"/>
  <c r="I20" i="38"/>
  <c r="H20" i="38"/>
  <c r="H22" i="38" s="1"/>
  <c r="G20" i="38"/>
  <c r="F20" i="38"/>
  <c r="E20" i="38"/>
  <c r="E9" i="22"/>
  <c r="F9" i="22"/>
  <c r="B77" i="23"/>
  <c r="B49" i="23"/>
  <c r="P93" i="36"/>
  <c r="P94" i="36"/>
  <c r="P95" i="36"/>
  <c r="P96" i="36"/>
  <c r="P97" i="36"/>
  <c r="P98" i="36"/>
  <c r="P99" i="36"/>
  <c r="P100" i="36"/>
  <c r="P101" i="36"/>
  <c r="P102" i="36"/>
  <c r="P103" i="36"/>
  <c r="P91" i="36"/>
  <c r="O104" i="36"/>
  <c r="J225" i="3" s="1"/>
  <c r="J233" i="3" s="1"/>
  <c r="N104" i="36"/>
  <c r="P92" i="36"/>
  <c r="J114" i="29"/>
  <c r="C160" i="3"/>
  <c r="E162" i="3"/>
  <c r="E165" i="3"/>
  <c r="D6" i="5"/>
  <c r="D9" i="5"/>
  <c r="F170" i="9"/>
  <c r="F106" i="9"/>
  <c r="F122" i="9"/>
  <c r="F138" i="9"/>
  <c r="F52" i="9"/>
  <c r="J86" i="3" l="1"/>
  <c r="P104" i="36"/>
  <c r="G90" i="29"/>
  <c r="F84" i="9"/>
  <c r="F68" i="9"/>
  <c r="F36" i="9"/>
  <c r="F20" i="9"/>
  <c r="K27" i="36"/>
  <c r="F48" i="36" s="1"/>
  <c r="H67" i="36" s="1"/>
  <c r="L27" i="36"/>
  <c r="G48" i="36" s="1"/>
  <c r="I67" i="36" s="1"/>
  <c r="M27" i="36"/>
  <c r="H48" i="36" s="1"/>
  <c r="J67" i="36" s="1"/>
  <c r="N27" i="36"/>
  <c r="I48" i="36" s="1"/>
  <c r="K67" i="36" s="1"/>
  <c r="O27" i="36"/>
  <c r="J48" i="36" s="1"/>
  <c r="L67" i="36" s="1"/>
  <c r="P27" i="36"/>
  <c r="K48" i="36" s="1"/>
  <c r="M67" i="36" s="1"/>
  <c r="Q27" i="36"/>
  <c r="L48" i="36" s="1"/>
  <c r="N67" i="36" s="1"/>
  <c r="R27" i="36"/>
  <c r="M48" i="36" s="1"/>
  <c r="O67" i="36" s="1"/>
  <c r="S27" i="36"/>
  <c r="N48" i="36" s="1"/>
  <c r="P67" i="36" s="1"/>
  <c r="T27" i="36"/>
  <c r="O48" i="36" s="1"/>
  <c r="Q67" i="36" s="1"/>
  <c r="U27" i="36"/>
  <c r="P48" i="36" s="1"/>
  <c r="R67" i="36" s="1"/>
  <c r="V27" i="36"/>
  <c r="Q48" i="36" s="1"/>
  <c r="S67" i="36" s="1"/>
  <c r="J27" i="36"/>
  <c r="E48" i="36" s="1"/>
  <c r="G67" i="36" s="1"/>
  <c r="K28" i="36"/>
  <c r="F49" i="36" s="1"/>
  <c r="H68" i="36" s="1"/>
  <c r="L28" i="36"/>
  <c r="G49" i="36" s="1"/>
  <c r="I68" i="36" s="1"/>
  <c r="M28" i="36"/>
  <c r="H49" i="36" s="1"/>
  <c r="J68" i="36" s="1"/>
  <c r="N28" i="36"/>
  <c r="I49" i="36" s="1"/>
  <c r="K68" i="36" s="1"/>
  <c r="O28" i="36"/>
  <c r="J49" i="36" s="1"/>
  <c r="L68" i="36" s="1"/>
  <c r="P28" i="36"/>
  <c r="K49" i="36" s="1"/>
  <c r="M68" i="36" s="1"/>
  <c r="Q28" i="36"/>
  <c r="L49" i="36" s="1"/>
  <c r="N68" i="36" s="1"/>
  <c r="R28" i="36"/>
  <c r="M49" i="36" s="1"/>
  <c r="O68" i="36" s="1"/>
  <c r="S28" i="36"/>
  <c r="N49" i="36" s="1"/>
  <c r="P68" i="36" s="1"/>
  <c r="T28" i="36"/>
  <c r="O49" i="36" s="1"/>
  <c r="Q68" i="36" s="1"/>
  <c r="U28" i="36"/>
  <c r="P49" i="36" s="1"/>
  <c r="R68" i="36" s="1"/>
  <c r="V28" i="36"/>
  <c r="Q49" i="36" s="1"/>
  <c r="S68" i="36" s="1"/>
  <c r="J28" i="36"/>
  <c r="E49" i="36" s="1"/>
  <c r="G68" i="36" s="1"/>
  <c r="C25" i="5"/>
  <c r="H242" i="3"/>
  <c r="A2" i="36"/>
  <c r="D6" i="17"/>
  <c r="G88" i="3"/>
  <c r="D25" i="3"/>
  <c r="K6" i="39" l="1"/>
  <c r="E168" i="3"/>
  <c r="Q28" i="38"/>
  <c r="Q29" i="38"/>
  <c r="Q27" i="38"/>
  <c r="O40" i="38"/>
  <c r="N40" i="38"/>
  <c r="M40" i="38"/>
  <c r="L40" i="38"/>
  <c r="K40" i="38"/>
  <c r="J40" i="38"/>
  <c r="I40" i="38"/>
  <c r="H40" i="38"/>
  <c r="G40" i="38"/>
  <c r="F40" i="38"/>
  <c r="E40" i="38"/>
  <c r="D40" i="38"/>
  <c r="P40" i="38"/>
  <c r="H251" i="3"/>
  <c r="G17" i="25" s="1"/>
  <c r="Q38" i="38"/>
  <c r="O33" i="38"/>
  <c r="N33" i="38"/>
  <c r="M33" i="38"/>
  <c r="L33" i="38"/>
  <c r="K33" i="38"/>
  <c r="I33" i="38"/>
  <c r="H33" i="38"/>
  <c r="G33" i="38"/>
  <c r="F33" i="38"/>
  <c r="E33" i="38"/>
  <c r="D33" i="38"/>
  <c r="Q30" i="38"/>
  <c r="Q31" i="38"/>
  <c r="Q32" i="38"/>
  <c r="P19" i="38"/>
  <c r="P22" i="38" s="1"/>
  <c r="O19" i="38"/>
  <c r="O22" i="38" s="1"/>
  <c r="O24" i="38" s="1"/>
  <c r="N19" i="38"/>
  <c r="N22" i="38" s="1"/>
  <c r="M19" i="38"/>
  <c r="M22" i="38"/>
  <c r="M24" i="38" s="1"/>
  <c r="L19" i="38"/>
  <c r="L22" i="38"/>
  <c r="K19" i="38"/>
  <c r="K22" i="38"/>
  <c r="I19" i="38"/>
  <c r="I22" i="38" s="1"/>
  <c r="H19" i="38"/>
  <c r="G19" i="38"/>
  <c r="F19" i="38"/>
  <c r="F22" i="38" s="1"/>
  <c r="E19" i="38"/>
  <c r="E22" i="38" s="1"/>
  <c r="D19" i="38"/>
  <c r="D22" i="38" s="1"/>
  <c r="J33" i="38"/>
  <c r="J19" i="38"/>
  <c r="J22" i="38" s="1"/>
  <c r="F29" i="28"/>
  <c r="F28" i="28"/>
  <c r="F32" i="28" s="1"/>
  <c r="F35" i="28"/>
  <c r="C64" i="22"/>
  <c r="C67" i="22" s="1"/>
  <c r="A3" i="28"/>
  <c r="A6" i="20"/>
  <c r="B1" i="22"/>
  <c r="B47" i="22" s="1"/>
  <c r="B75" i="22" s="1"/>
  <c r="A3" i="17"/>
  <c r="C95" i="22"/>
  <c r="C66" i="22"/>
  <c r="C65" i="22"/>
  <c r="C38" i="22"/>
  <c r="C87" i="23"/>
  <c r="C66" i="23"/>
  <c r="C65" i="23"/>
  <c r="C38" i="23"/>
  <c r="C37" i="23"/>
  <c r="C30" i="23"/>
  <c r="H146" i="36"/>
  <c r="J165" i="36"/>
  <c r="J166" i="36"/>
  <c r="E177" i="36"/>
  <c r="J164" i="36"/>
  <c r="F177" i="36"/>
  <c r="J163" i="36"/>
  <c r="J162" i="36"/>
  <c r="J161" i="36"/>
  <c r="C177" i="36"/>
  <c r="J154" i="36"/>
  <c r="C37" i="22"/>
  <c r="E94" i="22"/>
  <c r="C94" i="22"/>
  <c r="C30" i="22"/>
  <c r="C93" i="22"/>
  <c r="C96" i="22" s="1"/>
  <c r="C29" i="22"/>
  <c r="C28" i="22"/>
  <c r="C27" i="22"/>
  <c r="C36" i="22"/>
  <c r="C39" i="22" s="1"/>
  <c r="E94" i="23"/>
  <c r="C94" i="23" s="1"/>
  <c r="C86" i="23"/>
  <c r="C85" i="23"/>
  <c r="C84" i="23"/>
  <c r="C55" i="23"/>
  <c r="C64" i="23" s="1"/>
  <c r="C67" i="23" s="1"/>
  <c r="C29" i="23"/>
  <c r="C28" i="23"/>
  <c r="C27" i="23"/>
  <c r="C36" i="23"/>
  <c r="C39" i="23" s="1"/>
  <c r="M73" i="29"/>
  <c r="E307" i="3" s="1"/>
  <c r="H10" i="30"/>
  <c r="H12" i="30" s="1"/>
  <c r="H13" i="30" s="1"/>
  <c r="F14" i="17" s="1"/>
  <c r="F21" i="17" s="1"/>
  <c r="D93" i="25"/>
  <c r="D60" i="25"/>
  <c r="B91" i="25"/>
  <c r="B58" i="25"/>
  <c r="B26" i="25"/>
  <c r="T79" i="36"/>
  <c r="V79" i="36" s="1"/>
  <c r="T78" i="36"/>
  <c r="V78" i="36" s="1"/>
  <c r="T77" i="36"/>
  <c r="V77" i="36" s="1"/>
  <c r="T76" i="36"/>
  <c r="V76" i="36" s="1"/>
  <c r="T75" i="36"/>
  <c r="V75" i="36" s="1"/>
  <c r="T74" i="36"/>
  <c r="V74" i="36" s="1"/>
  <c r="T73" i="36"/>
  <c r="V73" i="36" s="1"/>
  <c r="T72" i="36"/>
  <c r="V72" i="36" s="1"/>
  <c r="T71" i="36"/>
  <c r="V71" i="36" s="1"/>
  <c r="T70" i="36"/>
  <c r="V70" i="36" s="1"/>
  <c r="T69" i="36"/>
  <c r="V69" i="36" s="1"/>
  <c r="C7" i="39"/>
  <c r="C4" i="39"/>
  <c r="C5" i="39"/>
  <c r="K5" i="39"/>
  <c r="F66" i="28"/>
  <c r="F65" i="28"/>
  <c r="I66" i="28"/>
  <c r="F26" i="29"/>
  <c r="E113" i="3" s="1"/>
  <c r="R57" i="36"/>
  <c r="I41" i="29"/>
  <c r="I40" i="29"/>
  <c r="I39" i="29"/>
  <c r="I38" i="29"/>
  <c r="I37" i="29"/>
  <c r="E29" i="5"/>
  <c r="E32" i="5" s="1"/>
  <c r="E34" i="5" s="1"/>
  <c r="F29" i="5"/>
  <c r="C28" i="5"/>
  <c r="C27" i="5"/>
  <c r="C26" i="5"/>
  <c r="Y39" i="36"/>
  <c r="Y38" i="36"/>
  <c r="Y37" i="36"/>
  <c r="Y36" i="36"/>
  <c r="Y35" i="36"/>
  <c r="Y34" i="36"/>
  <c r="Y33" i="36"/>
  <c r="Y32" i="36"/>
  <c r="Y31" i="36"/>
  <c r="Y30" i="36"/>
  <c r="Y29" i="36"/>
  <c r="W39" i="36"/>
  <c r="W38" i="36"/>
  <c r="W37" i="36"/>
  <c r="W36" i="36"/>
  <c r="W35" i="36"/>
  <c r="W34" i="36"/>
  <c r="W33" i="36"/>
  <c r="W32" i="36"/>
  <c r="W31" i="36"/>
  <c r="W30" i="36"/>
  <c r="W29" i="36"/>
  <c r="Y10" i="36"/>
  <c r="Y11" i="36"/>
  <c r="Y12" i="36"/>
  <c r="Y13" i="36"/>
  <c r="Y14" i="36"/>
  <c r="Y15" i="36"/>
  <c r="Y16" i="36"/>
  <c r="Y17" i="36"/>
  <c r="Y18" i="36"/>
  <c r="Y19" i="36"/>
  <c r="Y9" i="36"/>
  <c r="W10" i="36"/>
  <c r="W11" i="36"/>
  <c r="W12" i="36"/>
  <c r="W13" i="36"/>
  <c r="W14" i="36"/>
  <c r="W15" i="36"/>
  <c r="W16" i="36"/>
  <c r="W17" i="36"/>
  <c r="W18" i="36"/>
  <c r="W19" i="36"/>
  <c r="E39" i="36"/>
  <c r="G39" i="36" s="1"/>
  <c r="I39" i="36" s="1"/>
  <c r="E38" i="36"/>
  <c r="G38" i="36" s="1"/>
  <c r="I38" i="36" s="1"/>
  <c r="E37" i="36"/>
  <c r="G37" i="36" s="1"/>
  <c r="I37" i="36" s="1"/>
  <c r="E36" i="36"/>
  <c r="G36" i="36" s="1"/>
  <c r="I36" i="36" s="1"/>
  <c r="E35" i="36"/>
  <c r="G35" i="36" s="1"/>
  <c r="I35" i="36" s="1"/>
  <c r="E34" i="36"/>
  <c r="G34" i="36" s="1"/>
  <c r="I34" i="36" s="1"/>
  <c r="E33" i="36"/>
  <c r="G33" i="36" s="1"/>
  <c r="I33" i="36" s="1"/>
  <c r="E32" i="36"/>
  <c r="G32" i="36" s="1"/>
  <c r="I32" i="36" s="1"/>
  <c r="E31" i="36"/>
  <c r="G31" i="36" s="1"/>
  <c r="I31" i="36" s="1"/>
  <c r="E30" i="36"/>
  <c r="G30" i="36" s="1"/>
  <c r="I30" i="36" s="1"/>
  <c r="E29" i="36"/>
  <c r="G29" i="36" s="1"/>
  <c r="I29" i="36" s="1"/>
  <c r="E19" i="36"/>
  <c r="G19" i="36" s="1"/>
  <c r="I19" i="36" s="1"/>
  <c r="E18" i="36"/>
  <c r="G18" i="36" s="1"/>
  <c r="I18" i="36" s="1"/>
  <c r="E17" i="36"/>
  <c r="G17" i="36" s="1"/>
  <c r="I17" i="36" s="1"/>
  <c r="E16" i="36"/>
  <c r="G16" i="36" s="1"/>
  <c r="I16" i="36" s="1"/>
  <c r="E15" i="36"/>
  <c r="G15" i="36" s="1"/>
  <c r="I15" i="36" s="1"/>
  <c r="E14" i="36"/>
  <c r="G14" i="36" s="1"/>
  <c r="I14" i="36" s="1"/>
  <c r="E13" i="36"/>
  <c r="G13" i="36" s="1"/>
  <c r="I13" i="36" s="1"/>
  <c r="E12" i="36"/>
  <c r="G12" i="36" s="1"/>
  <c r="I12" i="36" s="1"/>
  <c r="E11" i="36"/>
  <c r="G11" i="36" s="1"/>
  <c r="I11" i="36" s="1"/>
  <c r="E10" i="36"/>
  <c r="G10" i="36" s="1"/>
  <c r="I10" i="36" s="1"/>
  <c r="J217" i="3"/>
  <c r="H9" i="29"/>
  <c r="E157" i="3" s="1"/>
  <c r="J157" i="3" s="1"/>
  <c r="H245" i="3"/>
  <c r="H244" i="3"/>
  <c r="D146" i="3"/>
  <c r="D147" i="3"/>
  <c r="E147" i="3"/>
  <c r="D84" i="25"/>
  <c r="J155" i="36"/>
  <c r="J156" i="36"/>
  <c r="J157" i="36"/>
  <c r="J158" i="36"/>
  <c r="J159" i="36"/>
  <c r="J160" i="36"/>
  <c r="J167" i="36"/>
  <c r="J168" i="36"/>
  <c r="J169" i="36"/>
  <c r="J170" i="36"/>
  <c r="J171" i="36"/>
  <c r="J172" i="36"/>
  <c r="J173" i="36"/>
  <c r="J174" i="36"/>
  <c r="J175" i="36"/>
  <c r="J176" i="36"/>
  <c r="I177" i="36"/>
  <c r="H177" i="36"/>
  <c r="G177" i="36"/>
  <c r="D177" i="36"/>
  <c r="E2" i="38"/>
  <c r="D2" i="29"/>
  <c r="P33" i="38"/>
  <c r="B22" i="38"/>
  <c r="Q21" i="38"/>
  <c r="Q16" i="38"/>
  <c r="F251" i="3" s="1"/>
  <c r="D17" i="25" s="1"/>
  <c r="D49" i="25" s="1"/>
  <c r="P14" i="38"/>
  <c r="O14" i="38"/>
  <c r="N14" i="38"/>
  <c r="M14" i="38"/>
  <c r="L14" i="38"/>
  <c r="K14" i="38"/>
  <c r="J14" i="38"/>
  <c r="I14" i="38"/>
  <c r="H14" i="38"/>
  <c r="G14" i="38"/>
  <c r="F14" i="38"/>
  <c r="E14" i="38"/>
  <c r="D14" i="38"/>
  <c r="Q13" i="38"/>
  <c r="Q11" i="38"/>
  <c r="Q10" i="38"/>
  <c r="A10" i="38"/>
  <c r="A11" i="38"/>
  <c r="A12" i="38" s="1"/>
  <c r="A13" i="38" s="1"/>
  <c r="A14" i="38" s="1"/>
  <c r="A15" i="38" s="1"/>
  <c r="A16" i="38" s="1"/>
  <c r="A17" i="38" s="1"/>
  <c r="A18" i="38" s="1"/>
  <c r="D40" i="28"/>
  <c r="E40" i="28" s="1"/>
  <c r="R59" i="36"/>
  <c r="R58" i="36"/>
  <c r="R56" i="36"/>
  <c r="R55" i="36"/>
  <c r="R54" i="36"/>
  <c r="R53" i="36"/>
  <c r="R52" i="36"/>
  <c r="R51" i="36"/>
  <c r="R50" i="36"/>
  <c r="C290" i="3"/>
  <c r="F67" i="28"/>
  <c r="A51" i="28"/>
  <c r="A52" i="28"/>
  <c r="A53" i="28" s="1"/>
  <c r="A54" i="28" s="1"/>
  <c r="A55" i="28" s="1"/>
  <c r="A56" i="28" s="1"/>
  <c r="A57" i="28" s="1"/>
  <c r="A58" i="28"/>
  <c r="A59" i="28" s="1"/>
  <c r="A60" i="28" s="1"/>
  <c r="A61" i="28" s="1"/>
  <c r="A62" i="28" s="1"/>
  <c r="A63" i="28" s="1"/>
  <c r="A64" i="28" s="1"/>
  <c r="A65" i="28" s="1"/>
  <c r="A66" i="28" s="1"/>
  <c r="A67" i="28" s="1"/>
  <c r="A68" i="28" s="1"/>
  <c r="A69" i="28" s="1"/>
  <c r="A70" i="28" s="1"/>
  <c r="A71" i="28" s="1"/>
  <c r="A72" i="28" s="1"/>
  <c r="A73" i="28" s="1"/>
  <c r="A74" i="28" s="1"/>
  <c r="B109" i="25"/>
  <c r="C172" i="29"/>
  <c r="J40" i="25"/>
  <c r="J104" i="25" s="1"/>
  <c r="G18" i="25"/>
  <c r="G83" i="25" s="1"/>
  <c r="C174" i="3"/>
  <c r="G101" i="29"/>
  <c r="G102" i="29"/>
  <c r="G103" i="29"/>
  <c r="G104" i="29"/>
  <c r="G105" i="29"/>
  <c r="G106" i="29"/>
  <c r="G107" i="29"/>
  <c r="G108" i="29"/>
  <c r="G109" i="29"/>
  <c r="G110" i="29"/>
  <c r="G111" i="29"/>
  <c r="G112" i="29"/>
  <c r="G100" i="29"/>
  <c r="A7" i="30"/>
  <c r="A8" i="30" s="1"/>
  <c r="A9" i="30" s="1"/>
  <c r="A10" i="30" s="1"/>
  <c r="A12" i="30" s="1"/>
  <c r="A13" i="30" s="1"/>
  <c r="C183" i="29"/>
  <c r="G88" i="29"/>
  <c r="I79" i="29"/>
  <c r="I64" i="29"/>
  <c r="G5" i="29"/>
  <c r="E101" i="3" s="1"/>
  <c r="C262" i="3"/>
  <c r="F52" i="28"/>
  <c r="C43" i="28"/>
  <c r="D43" i="28"/>
  <c r="J51" i="28"/>
  <c r="A15" i="20"/>
  <c r="A17" i="20" s="1"/>
  <c r="A19" i="20" s="1"/>
  <c r="A21" i="20" s="1"/>
  <c r="A23" i="20" s="1"/>
  <c r="A25" i="20" s="1"/>
  <c r="A27" i="20" s="1"/>
  <c r="A29" i="20" s="1"/>
  <c r="A31" i="20" s="1"/>
  <c r="A33" i="20" s="1"/>
  <c r="C19" i="3"/>
  <c r="C264" i="3" s="1"/>
  <c r="A13" i="25"/>
  <c r="A16" i="25" s="1"/>
  <c r="C16" i="23"/>
  <c r="G93" i="23"/>
  <c r="G96" i="23" s="1"/>
  <c r="F10" i="23" s="1"/>
  <c r="F93" i="23"/>
  <c r="F96" i="23" s="1"/>
  <c r="E10" i="23" s="1"/>
  <c r="E93" i="23"/>
  <c r="E96" i="23" s="1"/>
  <c r="D10" i="23" s="1"/>
  <c r="D93" i="23"/>
  <c r="D96" i="23" s="1"/>
  <c r="G64" i="23"/>
  <c r="G67" i="23"/>
  <c r="F9" i="23" s="1"/>
  <c r="F64" i="23"/>
  <c r="F67" i="23" s="1"/>
  <c r="E9" i="23" s="1"/>
  <c r="E64" i="23"/>
  <c r="E67" i="23" s="1"/>
  <c r="D9" i="23" s="1"/>
  <c r="D64" i="23"/>
  <c r="D67" i="23"/>
  <c r="G36" i="23"/>
  <c r="G39" i="23" s="1"/>
  <c r="F11" i="23" s="1"/>
  <c r="F36" i="23"/>
  <c r="F39" i="23" s="1"/>
  <c r="E11" i="23" s="1"/>
  <c r="E36" i="23"/>
  <c r="E39" i="23" s="1"/>
  <c r="D11" i="23" s="1"/>
  <c r="D36" i="23"/>
  <c r="D39" i="23" s="1"/>
  <c r="B1" i="23"/>
  <c r="B47" i="23" s="1"/>
  <c r="B75" i="23" s="1"/>
  <c r="G93" i="22"/>
  <c r="G96" i="22" s="1"/>
  <c r="F10" i="22" s="1"/>
  <c r="F93" i="22"/>
  <c r="F96" i="22" s="1"/>
  <c r="E10" i="22" s="1"/>
  <c r="E93" i="22"/>
  <c r="E96" i="22" s="1"/>
  <c r="D10" i="22" s="1"/>
  <c r="D93" i="22"/>
  <c r="D96" i="22" s="1"/>
  <c r="G64" i="22"/>
  <c r="G67" i="22"/>
  <c r="F64" i="22"/>
  <c r="F67" i="22"/>
  <c r="D64" i="22"/>
  <c r="D67" i="22" s="1"/>
  <c r="G36" i="22"/>
  <c r="G39" i="22" s="1"/>
  <c r="F11" i="22" s="1"/>
  <c r="F36" i="22"/>
  <c r="F39" i="22" s="1"/>
  <c r="E11" i="22" s="1"/>
  <c r="E12" i="22" s="1"/>
  <c r="E36" i="22"/>
  <c r="E39" i="22" s="1"/>
  <c r="D11" i="22" s="1"/>
  <c r="D36" i="22"/>
  <c r="D39" i="22" s="1"/>
  <c r="B34" i="5"/>
  <c r="C46" i="5"/>
  <c r="F32" i="5"/>
  <c r="F34" i="5" s="1"/>
  <c r="C252" i="3"/>
  <c r="C248" i="3"/>
  <c r="A7" i="9"/>
  <c r="A19" i="3"/>
  <c r="D21" i="3" s="1"/>
  <c r="A2" i="9"/>
  <c r="A2" i="5"/>
  <c r="F8" i="25" s="1"/>
  <c r="C216" i="3"/>
  <c r="E85" i="3"/>
  <c r="J85" i="3" s="1"/>
  <c r="E80" i="3"/>
  <c r="J80" i="3" s="1"/>
  <c r="E78" i="3"/>
  <c r="J78" i="3" s="1"/>
  <c r="M70" i="3"/>
  <c r="M135" i="3" s="1"/>
  <c r="M209" i="3" s="1"/>
  <c r="M271" i="3" s="1"/>
  <c r="E71" i="3"/>
  <c r="E136" i="3" s="1"/>
  <c r="G22" i="17"/>
  <c r="G23" i="17"/>
  <c r="G24" i="17" s="1"/>
  <c r="G25" i="17" s="1"/>
  <c r="G26" i="17" s="1"/>
  <c r="G27" i="17" s="1"/>
  <c r="G28" i="17" s="1"/>
  <c r="G29" i="17" s="1"/>
  <c r="G30" i="17" s="1"/>
  <c r="G31" i="17" s="1"/>
  <c r="G32" i="17" s="1"/>
  <c r="B40" i="17"/>
  <c r="B41" i="17" s="1"/>
  <c r="B42" i="17" s="1"/>
  <c r="B43" i="17" s="1"/>
  <c r="B44" i="17" s="1"/>
  <c r="B45" i="17" s="1"/>
  <c r="B47" i="17" s="1"/>
  <c r="B48" i="17" s="1"/>
  <c r="B49" i="17" s="1"/>
  <c r="B50" i="17" s="1"/>
  <c r="A9" i="5"/>
  <c r="A10" i="5"/>
  <c r="A11" i="5"/>
  <c r="A12" i="5"/>
  <c r="C14" i="5" s="1"/>
  <c r="D14" i="5"/>
  <c r="E19" i="3" s="1"/>
  <c r="G19" i="3"/>
  <c r="C85" i="3"/>
  <c r="C92" i="3" s="1"/>
  <c r="G85" i="3"/>
  <c r="G108" i="3"/>
  <c r="C87" i="3"/>
  <c r="C94" i="3" s="1"/>
  <c r="G87" i="3"/>
  <c r="C98" i="3"/>
  <c r="G104" i="3"/>
  <c r="G103" i="3" s="1"/>
  <c r="G99" i="3" s="1"/>
  <c r="H104" i="3"/>
  <c r="H103" i="3" s="1"/>
  <c r="C110" i="3"/>
  <c r="C112" i="3"/>
  <c r="C113" i="3"/>
  <c r="C155" i="3"/>
  <c r="G163" i="3"/>
  <c r="J166" i="3"/>
  <c r="G167" i="3"/>
  <c r="D170" i="3"/>
  <c r="E210" i="3"/>
  <c r="C217" i="3"/>
  <c r="E246" i="3"/>
  <c r="E279" i="3"/>
  <c r="E43" i="28"/>
  <c r="F43" i="28"/>
  <c r="G43" i="28"/>
  <c r="H43" i="28"/>
  <c r="I43" i="28"/>
  <c r="F54" i="28"/>
  <c r="I55" i="28" s="1"/>
  <c r="E64" i="22"/>
  <c r="E67" i="22" s="1"/>
  <c r="D9" i="22" s="1"/>
  <c r="A39" i="20"/>
  <c r="A41" i="20" s="1"/>
  <c r="A43" i="20" s="1"/>
  <c r="A45" i="20" s="1"/>
  <c r="A47" i="20" s="1"/>
  <c r="A49" i="20" s="1"/>
  <c r="A51" i="20" s="1"/>
  <c r="A53" i="20" s="1"/>
  <c r="A57" i="20" s="1"/>
  <c r="F51" i="28"/>
  <c r="F58" i="28"/>
  <c r="I59" i="28" s="1"/>
  <c r="F57" i="28"/>
  <c r="A78" i="3"/>
  <c r="A79" i="3" s="1"/>
  <c r="F55" i="28"/>
  <c r="I56" i="28" s="1"/>
  <c r="F56" i="28"/>
  <c r="F59" i="28"/>
  <c r="I60" i="28" s="1"/>
  <c r="F62" i="28"/>
  <c r="I63" i="28"/>
  <c r="F53" i="28"/>
  <c r="I54" i="28" s="1"/>
  <c r="F60" i="28"/>
  <c r="I61" i="28" s="1"/>
  <c r="F64" i="28"/>
  <c r="F63" i="28"/>
  <c r="I64" i="28" s="1"/>
  <c r="F61" i="28"/>
  <c r="C31" i="5"/>
  <c r="A64" i="29"/>
  <c r="A73" i="29" s="1"/>
  <c r="A79" i="29"/>
  <c r="A90" i="29" s="1"/>
  <c r="A100" i="29"/>
  <c r="A101" i="29" s="1"/>
  <c r="A102" i="29" s="1"/>
  <c r="A103" i="29" s="1"/>
  <c r="A104" i="29" s="1"/>
  <c r="A105" i="29" s="1"/>
  <c r="A106" i="29" s="1"/>
  <c r="A107" i="29" s="1"/>
  <c r="A108" i="29" s="1"/>
  <c r="A109" i="29" s="1"/>
  <c r="A110" i="29" s="1"/>
  <c r="A111" i="29" s="1"/>
  <c r="A112" i="29" s="1"/>
  <c r="A114" i="29" s="1"/>
  <c r="A119" i="29" s="1"/>
  <c r="A122" i="29" s="1"/>
  <c r="A123" i="29" s="1"/>
  <c r="H258" i="3"/>
  <c r="F154" i="9"/>
  <c r="E88" i="3" s="1"/>
  <c r="G9" i="17"/>
  <c r="I54" i="17" s="1"/>
  <c r="G22" i="38"/>
  <c r="G24" i="38" s="1"/>
  <c r="L24" i="38"/>
  <c r="I53" i="28"/>
  <c r="E148" i="3"/>
  <c r="G144" i="3"/>
  <c r="G147" i="3"/>
  <c r="E9" i="36"/>
  <c r="G9" i="36" s="1"/>
  <c r="I9" i="36" s="1"/>
  <c r="J100" i="3"/>
  <c r="E81" i="3"/>
  <c r="A243" i="3"/>
  <c r="A244" i="3" s="1"/>
  <c r="A245" i="3" s="1"/>
  <c r="A246" i="3" s="1"/>
  <c r="A250" i="3" s="1"/>
  <c r="E79" i="3"/>
  <c r="J227" i="3" s="1"/>
  <c r="A14" i="5"/>
  <c r="D19" i="3" s="1"/>
  <c r="E86" i="3"/>
  <c r="F86" i="9"/>
  <c r="D29" i="5"/>
  <c r="D32" i="5" s="1"/>
  <c r="D34" i="5" s="1"/>
  <c r="I62" i="28"/>
  <c r="I57" i="28"/>
  <c r="I52" i="28"/>
  <c r="I58" i="28"/>
  <c r="C93" i="23"/>
  <c r="C96" i="23" s="1"/>
  <c r="E87" i="3"/>
  <c r="J87" i="3" s="1"/>
  <c r="J155" i="3"/>
  <c r="F12" i="22" l="1"/>
  <c r="E12" i="23"/>
  <c r="F12" i="23"/>
  <c r="D12" i="22"/>
  <c r="D15" i="22" s="1"/>
  <c r="D16" i="23" s="1"/>
  <c r="A17" i="25"/>
  <c r="A18" i="25" s="1"/>
  <c r="A19" i="25" s="1"/>
  <c r="A20" i="25" s="1"/>
  <c r="A22" i="25" s="1"/>
  <c r="A23" i="25" s="1"/>
  <c r="B27" i="25" s="1"/>
  <c r="B25" i="25"/>
  <c r="Q33" i="38"/>
  <c r="P24" i="38"/>
  <c r="K24" i="38"/>
  <c r="N24" i="38"/>
  <c r="J24" i="38"/>
  <c r="I24" i="38"/>
  <c r="H24" i="38"/>
  <c r="F24" i="38"/>
  <c r="E24" i="38"/>
  <c r="Z13" i="36"/>
  <c r="Z12" i="36"/>
  <c r="Z10" i="36"/>
  <c r="Z33" i="36"/>
  <c r="Z16" i="36"/>
  <c r="Z38" i="36"/>
  <c r="Z18" i="36"/>
  <c r="Z17" i="36"/>
  <c r="Z32" i="36"/>
  <c r="Z31" i="36"/>
  <c r="Z15" i="36"/>
  <c r="Z14" i="36"/>
  <c r="Z29" i="36"/>
  <c r="Z30" i="36"/>
  <c r="Z36" i="36"/>
  <c r="Z19" i="36"/>
  <c r="Z35" i="36"/>
  <c r="Q40" i="38"/>
  <c r="D24" i="38"/>
  <c r="J94" i="3"/>
  <c r="E92" i="3"/>
  <c r="E94" i="3"/>
  <c r="E82" i="3"/>
  <c r="J235" i="3" s="1"/>
  <c r="C29" i="5"/>
  <c r="C32" i="5" s="1"/>
  <c r="C34" i="5" s="1"/>
  <c r="Z34" i="36"/>
  <c r="J216" i="3"/>
  <c r="Z39" i="36"/>
  <c r="S60" i="36"/>
  <c r="E108" i="3" s="1"/>
  <c r="Z11" i="36"/>
  <c r="J177" i="36"/>
  <c r="V80" i="36"/>
  <c r="E102" i="3" s="1"/>
  <c r="J102" i="3" s="1"/>
  <c r="D21" i="17"/>
  <c r="D22" i="17" s="1"/>
  <c r="D23" i="17" s="1"/>
  <c r="D24" i="17" s="1"/>
  <c r="D25" i="17" s="1"/>
  <c r="D26" i="17" s="1"/>
  <c r="D27" i="17" s="1"/>
  <c r="D28" i="17" s="1"/>
  <c r="D29" i="17" s="1"/>
  <c r="D30" i="17" s="1"/>
  <c r="D31" i="17" s="1"/>
  <c r="D32" i="17" s="1"/>
  <c r="H99" i="3"/>
  <c r="A80" i="3"/>
  <c r="A81" i="3" s="1"/>
  <c r="C82" i="3" s="1"/>
  <c r="C215" i="3"/>
  <c r="J215" i="3"/>
  <c r="E116" i="25"/>
  <c r="E117" i="25" s="1"/>
  <c r="E118" i="25" s="1"/>
  <c r="E119" i="25" s="1"/>
  <c r="E120" i="25" s="1"/>
  <c r="E121" i="25" s="1"/>
  <c r="E122" i="25" s="1"/>
  <c r="E123" i="25" s="1"/>
  <c r="E124" i="25" s="1"/>
  <c r="E125" i="25" s="1"/>
  <c r="E126" i="25" s="1"/>
  <c r="E127" i="25" s="1"/>
  <c r="E128" i="25" s="1"/>
  <c r="E129" i="25" s="1"/>
  <c r="E130" i="25" s="1"/>
  <c r="E131" i="25" s="1"/>
  <c r="E132" i="25" s="1"/>
  <c r="E133" i="25" s="1"/>
  <c r="G50" i="25"/>
  <c r="A19" i="38"/>
  <c r="A20" i="38" s="1"/>
  <c r="A21" i="38" s="1"/>
  <c r="A22" i="38" s="1"/>
  <c r="A23" i="38" s="1"/>
  <c r="A24" i="38" s="1"/>
  <c r="A25" i="38" s="1"/>
  <c r="A26" i="38" s="1"/>
  <c r="A27" i="38" s="1"/>
  <c r="C22" i="38"/>
  <c r="A124" i="29"/>
  <c r="A125" i="29" s="1"/>
  <c r="A126" i="29" s="1"/>
  <c r="A127" i="29" s="1"/>
  <c r="A128" i="29" s="1"/>
  <c r="A129" i="29" s="1"/>
  <c r="B77" i="28"/>
  <c r="A251" i="3"/>
  <c r="A252" i="3" s="1"/>
  <c r="A253" i="3" s="1"/>
  <c r="A258" i="3" s="1"/>
  <c r="A259" i="3" s="1"/>
  <c r="A260" i="3" s="1"/>
  <c r="A261" i="3" s="1"/>
  <c r="A262" i="3" s="1"/>
  <c r="A263" i="3" s="1"/>
  <c r="A264" i="3" s="1"/>
  <c r="A265" i="3" s="1"/>
  <c r="D12" i="23"/>
  <c r="D15" i="23" s="1"/>
  <c r="E171" i="3"/>
  <c r="J9" i="36"/>
  <c r="I20" i="36"/>
  <c r="E150" i="3" s="1"/>
  <c r="E93" i="3"/>
  <c r="Q14" i="38"/>
  <c r="Z37" i="36"/>
  <c r="G114" i="29"/>
  <c r="E112" i="3" s="1"/>
  <c r="E89" i="3"/>
  <c r="J92" i="3"/>
  <c r="C246" i="3"/>
  <c r="D20" i="9"/>
  <c r="A8" i="9"/>
  <c r="A9" i="9" s="1"/>
  <c r="A10" i="9" s="1"/>
  <c r="A11" i="9" s="1"/>
  <c r="A12" i="9" s="1"/>
  <c r="A13" i="9" s="1"/>
  <c r="A14" i="9" s="1"/>
  <c r="A15" i="9" s="1"/>
  <c r="A16" i="9" s="1"/>
  <c r="A17" i="9" s="1"/>
  <c r="A18" i="9" s="1"/>
  <c r="A19" i="9" s="1"/>
  <c r="A20" i="9" s="1"/>
  <c r="G49" i="25"/>
  <c r="G82" i="25"/>
  <c r="Q22" i="38"/>
  <c r="F252" i="3" s="1"/>
  <c r="B24" i="38"/>
  <c r="E95" i="3"/>
  <c r="C14" i="38"/>
  <c r="F40" i="28"/>
  <c r="F22" i="17"/>
  <c r="F173" i="9"/>
  <c r="I65" i="28"/>
  <c r="E158" i="3"/>
  <c r="A24" i="25" l="1"/>
  <c r="B30" i="25" s="1"/>
  <c r="A82" i="3"/>
  <c r="A84" i="3" s="1"/>
  <c r="A85" i="3" s="1"/>
  <c r="A86" i="3" s="1"/>
  <c r="Z40" i="36"/>
  <c r="E105" i="3" s="1"/>
  <c r="J105" i="3" s="1"/>
  <c r="H21" i="17"/>
  <c r="K21" i="17" s="1"/>
  <c r="J218" i="3"/>
  <c r="J220" i="3" s="1"/>
  <c r="D17" i="23"/>
  <c r="D18" i="25"/>
  <c r="D50" i="25" s="1"/>
  <c r="F23" i="17"/>
  <c r="H22" i="17"/>
  <c r="K22" i="17" s="1"/>
  <c r="G40" i="28"/>
  <c r="C253" i="3"/>
  <c r="A22" i="9"/>
  <c r="A23" i="9" s="1"/>
  <c r="Q24" i="38"/>
  <c r="F250" i="3"/>
  <c r="Q35" i="38"/>
  <c r="H250" i="3" s="1"/>
  <c r="C173" i="3"/>
  <c r="E151" i="3"/>
  <c r="E152" i="3" s="1"/>
  <c r="K9" i="36"/>
  <c r="L9" i="36" s="1"/>
  <c r="M9" i="36" s="1"/>
  <c r="N9" i="36" s="1"/>
  <c r="O9" i="36" s="1"/>
  <c r="P9" i="36" s="1"/>
  <c r="Q9" i="36" s="1"/>
  <c r="R9" i="36" s="1"/>
  <c r="S9" i="36" s="1"/>
  <c r="T9" i="36" s="1"/>
  <c r="U9" i="36" s="1"/>
  <c r="V9" i="36" s="1"/>
  <c r="A132" i="29"/>
  <c r="A133" i="29" s="1"/>
  <c r="A130" i="29"/>
  <c r="E96" i="3"/>
  <c r="C130" i="29"/>
  <c r="E175" i="3"/>
  <c r="D55" i="25"/>
  <c r="D23" i="25"/>
  <c r="J171" i="3"/>
  <c r="D88" i="25"/>
  <c r="A28" i="38"/>
  <c r="A29" i="38" s="1"/>
  <c r="A30" i="38" s="1"/>
  <c r="A31" i="38" s="1"/>
  <c r="A32" i="38" s="1"/>
  <c r="A33" i="38" s="1"/>
  <c r="A25" i="25" l="1"/>
  <c r="A26" i="25" s="1"/>
  <c r="A27" i="25" s="1"/>
  <c r="A28" i="25" s="1"/>
  <c r="A30" i="25" s="1"/>
  <c r="D92" i="3"/>
  <c r="G7" i="29"/>
  <c r="H79" i="3"/>
  <c r="H19" i="3"/>
  <c r="J19" i="3" s="1"/>
  <c r="H108" i="3"/>
  <c r="E111" i="3"/>
  <c r="E114" i="3" s="1"/>
  <c r="A34" i="38"/>
  <c r="A35" i="38" s="1"/>
  <c r="A36" i="38" s="1"/>
  <c r="A37" i="38" s="1"/>
  <c r="A38" i="38" s="1"/>
  <c r="B35" i="38"/>
  <c r="D93" i="3"/>
  <c r="A87" i="3"/>
  <c r="A134" i="29"/>
  <c r="A135" i="29" s="1"/>
  <c r="A136" i="29" s="1"/>
  <c r="A137" i="29" s="1"/>
  <c r="A138" i="29" s="1"/>
  <c r="A139" i="29" s="1"/>
  <c r="A140" i="29" s="1"/>
  <c r="A142" i="29" s="1"/>
  <c r="A143" i="29" s="1"/>
  <c r="W9" i="36"/>
  <c r="Z9" i="36" s="1"/>
  <c r="G16" i="25"/>
  <c r="A24" i="9"/>
  <c r="A25" i="9" s="1"/>
  <c r="A26" i="9" s="1"/>
  <c r="A27" i="9" s="1"/>
  <c r="A28" i="9" s="1"/>
  <c r="A29" i="9" s="1"/>
  <c r="A30" i="9" s="1"/>
  <c r="A31" i="9" s="1"/>
  <c r="A32" i="9" s="1"/>
  <c r="A33" i="9" s="1"/>
  <c r="A34" i="9" s="1"/>
  <c r="A35" i="9" s="1"/>
  <c r="A36" i="9" s="1"/>
  <c r="H23" i="17"/>
  <c r="K23" i="17" s="1"/>
  <c r="F24" i="17"/>
  <c r="D92" i="25"/>
  <c r="D96" i="25" s="1"/>
  <c r="D27" i="25"/>
  <c r="D31" i="25" s="1"/>
  <c r="C33" i="38"/>
  <c r="D16" i="25"/>
  <c r="F253" i="3"/>
  <c r="H40" i="28"/>
  <c r="D59" i="25"/>
  <c r="D63" i="25" s="1"/>
  <c r="J175" i="3"/>
  <c r="E179" i="3"/>
  <c r="J108" i="3" l="1"/>
  <c r="J79" i="3"/>
  <c r="J224" i="3" s="1"/>
  <c r="J232" i="3" s="1"/>
  <c r="A144" i="29"/>
  <c r="A145" i="29" s="1"/>
  <c r="A146" i="29" s="1"/>
  <c r="A147" i="29" s="1"/>
  <c r="A148" i="29" s="1"/>
  <c r="A149" i="29" s="1"/>
  <c r="A39" i="38"/>
  <c r="A40" i="38" s="1"/>
  <c r="B40" i="38"/>
  <c r="G251" i="3"/>
  <c r="G252" i="3"/>
  <c r="A31" i="25"/>
  <c r="A32" i="25" s="1"/>
  <c r="A35" i="25" s="1"/>
  <c r="A36" i="25" s="1"/>
  <c r="A37" i="25" s="1"/>
  <c r="A43" i="25" s="1"/>
  <c r="A45" i="25" s="1"/>
  <c r="A48" i="25" s="1"/>
  <c r="C118" i="25"/>
  <c r="Z20" i="36"/>
  <c r="E104" i="3" s="1"/>
  <c r="J104" i="3" s="1"/>
  <c r="C140" i="29"/>
  <c r="A38" i="9"/>
  <c r="A39" i="9" s="1"/>
  <c r="D19" i="25"/>
  <c r="D48" i="25"/>
  <c r="D51" i="25" s="1"/>
  <c r="D36" i="9"/>
  <c r="A88" i="3"/>
  <c r="D94" i="3"/>
  <c r="G250" i="3"/>
  <c r="J250" i="3" s="1"/>
  <c r="B31" i="25"/>
  <c r="F25" i="17"/>
  <c r="H24" i="17"/>
  <c r="I40" i="28"/>
  <c r="G66" i="28"/>
  <c r="J66" i="28" s="1"/>
  <c r="G58" i="28"/>
  <c r="J58" i="28" s="1"/>
  <c r="G61" i="28"/>
  <c r="J61" i="28" s="1"/>
  <c r="G59" i="28"/>
  <c r="J59" i="28" s="1"/>
  <c r="G81" i="25"/>
  <c r="G48" i="25"/>
  <c r="J93" i="3" l="1"/>
  <c r="A49" i="25"/>
  <c r="A50" i="25" s="1"/>
  <c r="A51" i="25" s="1"/>
  <c r="A52" i="25" s="1"/>
  <c r="A54" i="25" s="1"/>
  <c r="A55" i="25" s="1"/>
  <c r="C32" i="25"/>
  <c r="J251" i="3"/>
  <c r="E17" i="25"/>
  <c r="H261" i="3"/>
  <c r="E16" i="25"/>
  <c r="F26" i="17"/>
  <c r="H25" i="17"/>
  <c r="K25" i="17" s="1"/>
  <c r="C150" i="29"/>
  <c r="K24" i="17"/>
  <c r="A40" i="9"/>
  <c r="A41" i="9" s="1"/>
  <c r="A42" i="9" s="1"/>
  <c r="A43" i="9" s="1"/>
  <c r="A44" i="9" s="1"/>
  <c r="A45" i="9" s="1"/>
  <c r="A46" i="9" s="1"/>
  <c r="A47" i="9" s="1"/>
  <c r="A48" i="9" s="1"/>
  <c r="A49" i="9" s="1"/>
  <c r="A50" i="9" s="1"/>
  <c r="A51" i="9" s="1"/>
  <c r="A52" i="9" s="1"/>
  <c r="E18" i="25"/>
  <c r="J252" i="3"/>
  <c r="G62" i="28"/>
  <c r="J62" i="28" s="1"/>
  <c r="G65" i="28"/>
  <c r="J65" i="28" s="1"/>
  <c r="G53" i="28"/>
  <c r="J53" i="28" s="1"/>
  <c r="G60" i="28"/>
  <c r="J60" i="28" s="1"/>
  <c r="G55" i="28"/>
  <c r="J55" i="28" s="1"/>
  <c r="G63" i="28"/>
  <c r="J63" i="28" s="1"/>
  <c r="G56" i="28"/>
  <c r="J56" i="28" s="1"/>
  <c r="G64" i="28"/>
  <c r="J64" i="28" s="1"/>
  <c r="G57" i="28"/>
  <c r="J57" i="28" s="1"/>
  <c r="G54" i="28"/>
  <c r="J54" i="28" s="1"/>
  <c r="G67" i="28"/>
  <c r="J67" i="28" s="1"/>
  <c r="A89" i="3"/>
  <c r="A91" i="3" s="1"/>
  <c r="A92" i="3" s="1"/>
  <c r="D95" i="3"/>
  <c r="C224" i="3"/>
  <c r="C89" i="3"/>
  <c r="A150" i="29"/>
  <c r="A152" i="29" s="1"/>
  <c r="A153" i="29" s="1"/>
  <c r="G52" i="28"/>
  <c r="J52" i="28" s="1"/>
  <c r="J253" i="3" l="1"/>
  <c r="E172" i="3" s="1"/>
  <c r="F27" i="17"/>
  <c r="H26" i="17"/>
  <c r="K26" i="17" s="1"/>
  <c r="A54" i="9"/>
  <c r="A55" i="9" s="1"/>
  <c r="E48" i="25"/>
  <c r="I16" i="25"/>
  <c r="I17" i="25"/>
  <c r="E82" i="25"/>
  <c r="I82" i="25" s="1"/>
  <c r="E49" i="25"/>
  <c r="I49" i="25" s="1"/>
  <c r="E50" i="25"/>
  <c r="I18" i="25"/>
  <c r="A56" i="25"/>
  <c r="B59" i="25"/>
  <c r="F16" i="28"/>
  <c r="A154" i="29"/>
  <c r="A155" i="29" s="1"/>
  <c r="A156" i="29" s="1"/>
  <c r="A157" i="29" s="1"/>
  <c r="A158" i="29" s="1"/>
  <c r="A159" i="29" s="1"/>
  <c r="D52" i="9"/>
  <c r="A93" i="3"/>
  <c r="B57" i="25"/>
  <c r="E81" i="25" l="1"/>
  <c r="I81" i="25" s="1"/>
  <c r="I48" i="25"/>
  <c r="A160" i="29"/>
  <c r="A162" i="29" s="1"/>
  <c r="A163" i="29" s="1"/>
  <c r="C160" i="29"/>
  <c r="I19" i="25"/>
  <c r="D24" i="25" s="1"/>
  <c r="D258" i="3"/>
  <c r="A94" i="3"/>
  <c r="A95" i="3" s="1"/>
  <c r="A56" i="9"/>
  <c r="A57" i="9" s="1"/>
  <c r="A58" i="9" s="1"/>
  <c r="A59" i="9" s="1"/>
  <c r="A60" i="9" s="1"/>
  <c r="A61" i="9" s="1"/>
  <c r="A62" i="9" s="1"/>
  <c r="A63" i="9" s="1"/>
  <c r="A64" i="9" s="1"/>
  <c r="A65" i="9" s="1"/>
  <c r="A66" i="9" s="1"/>
  <c r="A67" i="9" s="1"/>
  <c r="A68" i="9" s="1"/>
  <c r="B62" i="25"/>
  <c r="A57" i="25"/>
  <c r="A58" i="25" s="1"/>
  <c r="A59" i="25" s="1"/>
  <c r="H27" i="17"/>
  <c r="F28" i="17"/>
  <c r="J172" i="3"/>
  <c r="E83" i="25"/>
  <c r="I83" i="25" s="1"/>
  <c r="I50" i="25"/>
  <c r="A60" i="25" l="1"/>
  <c r="A62" i="25" s="1"/>
  <c r="B63" i="25"/>
  <c r="D68" i="9"/>
  <c r="A70" i="9"/>
  <c r="A71" i="9" s="1"/>
  <c r="A96" i="3"/>
  <c r="C96" i="3"/>
  <c r="A164" i="29"/>
  <c r="A165" i="29" s="1"/>
  <c r="A166" i="29" s="1"/>
  <c r="A167" i="29" s="1"/>
  <c r="A168" i="29" s="1"/>
  <c r="A169" i="29" s="1"/>
  <c r="C170" i="29"/>
  <c r="I51" i="25"/>
  <c r="D56" i="25" s="1"/>
  <c r="I84" i="25"/>
  <c r="D89" i="25" s="1"/>
  <c r="H28" i="17"/>
  <c r="K28" i="17" s="1"/>
  <c r="F29" i="17"/>
  <c r="K27" i="17"/>
  <c r="C232" i="3" l="1"/>
  <c r="A98" i="3"/>
  <c r="A99" i="3" s="1"/>
  <c r="A100" i="3" s="1"/>
  <c r="A101" i="3" s="1"/>
  <c r="H29" i="17"/>
  <c r="K29" i="17" s="1"/>
  <c r="F30" i="17"/>
  <c r="A72" i="9"/>
  <c r="A73" i="9" s="1"/>
  <c r="A74" i="9" s="1"/>
  <c r="A75" i="9" s="1"/>
  <c r="A76" i="9" s="1"/>
  <c r="A77" i="9" s="1"/>
  <c r="A78" i="9" s="1"/>
  <c r="A79" i="9" s="1"/>
  <c r="A80" i="9" s="1"/>
  <c r="A81" i="9" s="1"/>
  <c r="A82" i="9" s="1"/>
  <c r="A83" i="9" s="1"/>
  <c r="A84" i="9" s="1"/>
  <c r="A170" i="29"/>
  <c r="A172" i="29" s="1"/>
  <c r="A173" i="29" s="1"/>
  <c r="A63" i="25"/>
  <c r="A64" i="25" s="1"/>
  <c r="A67" i="25" s="1"/>
  <c r="A68" i="25" s="1"/>
  <c r="A69" i="25" s="1"/>
  <c r="A70" i="25" s="1"/>
  <c r="A76" i="25" s="1"/>
  <c r="A78" i="25" s="1"/>
  <c r="A81" i="25" s="1"/>
  <c r="C64" i="25"/>
  <c r="H30" i="17" l="1"/>
  <c r="K30" i="17" s="1"/>
  <c r="F31" i="17"/>
  <c r="H17" i="23"/>
  <c r="A102" i="3"/>
  <c r="A174" i="29"/>
  <c r="A175" i="29" s="1"/>
  <c r="A176" i="29" s="1"/>
  <c r="A177" i="29" s="1"/>
  <c r="A178" i="29" s="1"/>
  <c r="A179" i="29" s="1"/>
  <c r="A86" i="9"/>
  <c r="A92" i="9" s="1"/>
  <c r="A93" i="9" s="1"/>
  <c r="D86" i="9"/>
  <c r="D84" i="9"/>
  <c r="A82" i="25"/>
  <c r="A83" i="25" s="1"/>
  <c r="A84" i="25" s="1"/>
  <c r="A85" i="25" s="1"/>
  <c r="A87" i="25" s="1"/>
  <c r="A88" i="25" s="1"/>
  <c r="B90" i="25"/>
  <c r="C180" i="29" l="1"/>
  <c r="A94" i="9"/>
  <c r="A95" i="9" s="1"/>
  <c r="A96" i="9" s="1"/>
  <c r="A97" i="9" s="1"/>
  <c r="A98" i="9" s="1"/>
  <c r="A99" i="9" s="1"/>
  <c r="A100" i="9" s="1"/>
  <c r="A101" i="9" s="1"/>
  <c r="A102" i="9" s="1"/>
  <c r="A103" i="9" s="1"/>
  <c r="A104" i="9" s="1"/>
  <c r="A105" i="9" s="1"/>
  <c r="A106" i="9" s="1"/>
  <c r="D106" i="9"/>
  <c r="D259" i="3"/>
  <c r="A103" i="3"/>
  <c r="A104" i="3" s="1"/>
  <c r="F32" i="17"/>
  <c r="H31" i="17"/>
  <c r="K31" i="17" s="1"/>
  <c r="A180" i="29"/>
  <c r="A183" i="29" s="1"/>
  <c r="D183" i="29"/>
  <c r="B92" i="25"/>
  <c r="A89" i="25"/>
  <c r="F39" i="17" l="1"/>
  <c r="H32" i="17"/>
  <c r="F36" i="17"/>
  <c r="A105" i="3"/>
  <c r="D261" i="3"/>
  <c r="B95" i="25"/>
  <c r="A90" i="25"/>
  <c r="A91" i="25" s="1"/>
  <c r="A92" i="25" s="1"/>
  <c r="A108" i="9"/>
  <c r="A109" i="9" s="1"/>
  <c r="F40" i="17" l="1"/>
  <c r="K32" i="17"/>
  <c r="K33" i="17" s="1"/>
  <c r="D36" i="17" s="1"/>
  <c r="H33" i="17"/>
  <c r="A106" i="3"/>
  <c r="D260" i="3"/>
  <c r="C106" i="3"/>
  <c r="A110" i="9"/>
  <c r="A111" i="9" s="1"/>
  <c r="A112" i="9" s="1"/>
  <c r="A113" i="9" s="1"/>
  <c r="A114" i="9" s="1"/>
  <c r="A115" i="9" s="1"/>
  <c r="A116" i="9" s="1"/>
  <c r="A117" i="9" s="1"/>
  <c r="A118" i="9" s="1"/>
  <c r="A119" i="9" s="1"/>
  <c r="A120" i="9" s="1"/>
  <c r="A121" i="9" s="1"/>
  <c r="A122" i="9" s="1"/>
  <c r="A93" i="25"/>
  <c r="A95" i="25" s="1"/>
  <c r="A96" i="25" l="1"/>
  <c r="A97" i="25" s="1"/>
  <c r="A100" i="25" s="1"/>
  <c r="A101" i="25" s="1"/>
  <c r="A102" i="25" s="1"/>
  <c r="A103" i="25" s="1"/>
  <c r="D122" i="9"/>
  <c r="A124" i="9"/>
  <c r="A125" i="9" s="1"/>
  <c r="A108" i="3"/>
  <c r="A110" i="3" s="1"/>
  <c r="A111" i="3" s="1"/>
  <c r="F41" i="17"/>
  <c r="H36" i="17"/>
  <c r="K36" i="17" s="1"/>
  <c r="B96" i="25"/>
  <c r="D39" i="17" l="1"/>
  <c r="I39" i="17"/>
  <c r="A112" i="3"/>
  <c r="A113" i="3" s="1"/>
  <c r="A114" i="3" s="1"/>
  <c r="A116" i="3" s="1"/>
  <c r="A143" i="3" s="1"/>
  <c r="F42" i="17"/>
  <c r="C116" i="3"/>
  <c r="A126" i="9"/>
  <c r="A127" i="9" s="1"/>
  <c r="A128" i="9" s="1"/>
  <c r="A129" i="9" s="1"/>
  <c r="A130" i="9" s="1"/>
  <c r="A131" i="9" s="1"/>
  <c r="A132" i="9" s="1"/>
  <c r="A133" i="9" s="1"/>
  <c r="A134" i="9" s="1"/>
  <c r="A135" i="9" s="1"/>
  <c r="A136" i="9" s="1"/>
  <c r="A137" i="9" s="1"/>
  <c r="A138" i="9" s="1"/>
  <c r="C97" i="25"/>
  <c r="A140" i="9" l="1"/>
  <c r="A141" i="9" s="1"/>
  <c r="D138" i="9"/>
  <c r="F43" i="17"/>
  <c r="C183" i="3"/>
  <c r="C114" i="3"/>
  <c r="I40" i="17"/>
  <c r="I41" i="17" s="1"/>
  <c r="I42" i="17" s="1"/>
  <c r="I43" i="17" s="1"/>
  <c r="I44" i="17" s="1"/>
  <c r="I45" i="17" s="1"/>
  <c r="I46" i="17" s="1"/>
  <c r="I47" i="17" s="1"/>
  <c r="I48" i="17" s="1"/>
  <c r="I49" i="17" s="1"/>
  <c r="I50" i="17" s="1"/>
  <c r="K39" i="17"/>
  <c r="D40" i="17" s="1"/>
  <c r="H39" i="17"/>
  <c r="A144" i="3" l="1"/>
  <c r="A145" i="3" s="1"/>
  <c r="A146" i="3" s="1"/>
  <c r="A147" i="3" s="1"/>
  <c r="A148" i="3" s="1"/>
  <c r="A152" i="3" s="1"/>
  <c r="A155" i="3" s="1"/>
  <c r="F44" i="17"/>
  <c r="K40" i="17"/>
  <c r="D41" i="17" s="1"/>
  <c r="H40" i="17"/>
  <c r="I53" i="17"/>
  <c r="A142" i="9"/>
  <c r="A143" i="9" s="1"/>
  <c r="A144" i="9" s="1"/>
  <c r="A145" i="9" s="1"/>
  <c r="A146" i="9" s="1"/>
  <c r="A147" i="9" s="1"/>
  <c r="A148" i="9" s="1"/>
  <c r="A149" i="9" s="1"/>
  <c r="A150" i="9" s="1"/>
  <c r="A151" i="9" s="1"/>
  <c r="A152" i="9" s="1"/>
  <c r="A153" i="9" s="1"/>
  <c r="A154" i="9" s="1"/>
  <c r="C152" i="3" l="1"/>
  <c r="A156" i="9"/>
  <c r="A157" i="9" s="1"/>
  <c r="K41" i="17"/>
  <c r="D42" i="17" s="1"/>
  <c r="H41" i="17"/>
  <c r="D154" i="9"/>
  <c r="I55" i="17"/>
  <c r="E23" i="3"/>
  <c r="J23" i="3" s="1"/>
  <c r="F45" i="17"/>
  <c r="A158" i="9" l="1"/>
  <c r="A159" i="9" s="1"/>
  <c r="A160" i="9" s="1"/>
  <c r="A161" i="9" s="1"/>
  <c r="A162" i="9" s="1"/>
  <c r="A163" i="9" s="1"/>
  <c r="A164" i="9" s="1"/>
  <c r="A165" i="9" s="1"/>
  <c r="A166" i="9" s="1"/>
  <c r="A167" i="9" s="1"/>
  <c r="A168" i="9" s="1"/>
  <c r="A169" i="9" s="1"/>
  <c r="A170" i="9" s="1"/>
  <c r="A156" i="3"/>
  <c r="A157" i="3" s="1"/>
  <c r="A158" i="3" s="1"/>
  <c r="A161" i="3" s="1"/>
  <c r="F46" i="17"/>
  <c r="K42" i="17"/>
  <c r="D43" i="17" s="1"/>
  <c r="H42" i="17"/>
  <c r="A162" i="3" l="1"/>
  <c r="C158" i="3"/>
  <c r="D170" i="9"/>
  <c r="K43" i="17"/>
  <c r="D44" i="17" s="1"/>
  <c r="H43" i="17"/>
  <c r="F47" i="17"/>
  <c r="A173" i="9"/>
  <c r="A5" i="29" s="1"/>
  <c r="A7" i="29" s="1"/>
  <c r="A9" i="29" s="1"/>
  <c r="A11" i="29" s="1"/>
  <c r="A13" i="29" s="1"/>
  <c r="D173" i="9"/>
  <c r="K44" i="17" l="1"/>
  <c r="D45" i="17" s="1"/>
  <c r="H44" i="17"/>
  <c r="A14" i="29"/>
  <c r="A15" i="29" s="1"/>
  <c r="A16" i="29" s="1"/>
  <c r="A17" i="29" s="1"/>
  <c r="A18" i="29" s="1"/>
  <c r="A19" i="29" s="1"/>
  <c r="A20" i="29" s="1"/>
  <c r="A21" i="29" s="1"/>
  <c r="A22" i="29" s="1"/>
  <c r="A23" i="29" s="1"/>
  <c r="A24" i="29" s="1"/>
  <c r="A25" i="29" s="1"/>
  <c r="A26" i="29" s="1"/>
  <c r="F48" i="17"/>
  <c r="A163" i="3"/>
  <c r="A165" i="3" l="1"/>
  <c r="A166" i="3" s="1"/>
  <c r="A167" i="3" s="1"/>
  <c r="F49" i="17"/>
  <c r="D26" i="29"/>
  <c r="K45" i="17"/>
  <c r="D46" i="17" s="1"/>
  <c r="H45" i="17"/>
  <c r="A168" i="3" l="1"/>
  <c r="A171" i="3" s="1"/>
  <c r="C168" i="3"/>
  <c r="K46" i="17"/>
  <c r="D47" i="17" s="1"/>
  <c r="H46" i="17"/>
  <c r="A172" i="3"/>
  <c r="C175" i="3"/>
  <c r="F50" i="17"/>
  <c r="A173" i="3" l="1"/>
  <c r="A174" i="3" s="1"/>
  <c r="A175" i="3" s="1"/>
  <c r="K47" i="17"/>
  <c r="D48" i="17" s="1"/>
  <c r="H47" i="17"/>
  <c r="K48" i="17" l="1"/>
  <c r="D49" i="17" s="1"/>
  <c r="H48" i="17"/>
  <c r="A176" i="3"/>
  <c r="A178" i="3" s="1"/>
  <c r="A179" i="3" l="1"/>
  <c r="A180" i="3" s="1"/>
  <c r="A183" i="3" s="1"/>
  <c r="D180" i="3"/>
  <c r="C179" i="3"/>
  <c r="K49" i="17"/>
  <c r="D50" i="17" s="1"/>
  <c r="H49" i="17"/>
  <c r="K50" i="17" l="1"/>
  <c r="H50" i="17"/>
  <c r="H51" i="17" s="1"/>
  <c r="C185" i="3"/>
  <c r="A185" i="3" l="1"/>
  <c r="C178" i="3"/>
  <c r="A187" i="3" l="1"/>
  <c r="A189" i="3" s="1"/>
  <c r="C189" i="3"/>
  <c r="D15" i="3" l="1"/>
  <c r="A215" i="3"/>
  <c r="A216" i="3"/>
  <c r="A217" i="3" s="1"/>
  <c r="A218" i="3" s="1"/>
  <c r="C218" i="3" l="1"/>
  <c r="A220" i="3"/>
  <c r="A224" i="3" s="1"/>
  <c r="C220" i="3"/>
  <c r="A225" i="3" l="1"/>
  <c r="A226" i="3" s="1"/>
  <c r="A227" i="3" s="1"/>
  <c r="A232" i="3" s="1"/>
  <c r="A233" i="3" s="1"/>
  <c r="C227" i="3"/>
  <c r="M134" i="25"/>
  <c r="J108" i="25" s="1"/>
  <c r="N116" i="25" s="1"/>
  <c r="N117" i="25" s="1"/>
  <c r="N118" i="25" s="1"/>
  <c r="C134" i="25"/>
  <c r="J258" i="3"/>
  <c r="O116" i="25" l="1"/>
  <c r="N119" i="25"/>
  <c r="O118" i="25"/>
  <c r="O117" i="25"/>
  <c r="N120" i="25" l="1"/>
  <c r="O119" i="25"/>
  <c r="N121" i="25" l="1"/>
  <c r="O120" i="25"/>
  <c r="O121" i="25" l="1"/>
  <c r="N122" i="25"/>
  <c r="O122" i="25" l="1"/>
  <c r="N123" i="25"/>
  <c r="N124" i="25" l="1"/>
  <c r="O123" i="25"/>
  <c r="O124" i="25" l="1"/>
  <c r="N125" i="25"/>
  <c r="N126" i="25" l="1"/>
  <c r="O125" i="25"/>
  <c r="N127" i="25" l="1"/>
  <c r="O126" i="25"/>
  <c r="O127" i="25" l="1"/>
  <c r="N128" i="25"/>
  <c r="O128" i="25" l="1"/>
  <c r="N129" i="25"/>
  <c r="O129" i="25" l="1"/>
  <c r="N130" i="25"/>
  <c r="N131" i="25" l="1"/>
  <c r="O130" i="25"/>
  <c r="N132" i="25" l="1"/>
  <c r="O131" i="25"/>
  <c r="O132" i="25" l="1"/>
  <c r="N133" i="25"/>
  <c r="O133" i="25" s="1"/>
  <c r="J109" i="25"/>
  <c r="O134" i="25" l="1"/>
  <c r="L117" i="25"/>
  <c r="L118" i="25"/>
  <c r="L116" i="25"/>
  <c r="L134" i="25" l="1"/>
  <c r="J226" i="3"/>
  <c r="J228" i="3" s="1"/>
  <c r="K114" i="29" s="1"/>
  <c r="L114" i="29" s="1"/>
  <c r="J234" i="3"/>
  <c r="J236" i="3" s="1"/>
  <c r="H165" i="3" l="1"/>
  <c r="H114" i="29"/>
  <c r="I114" i="29" s="1"/>
  <c r="M114" i="29" s="1"/>
  <c r="J112" i="3" s="1"/>
  <c r="J165" i="3"/>
  <c r="H167" i="3"/>
  <c r="J167" i="3" s="1"/>
  <c r="H143" i="3"/>
  <c r="F243" i="3"/>
  <c r="H243" i="3" s="1"/>
  <c r="H246" i="3" s="1"/>
  <c r="J246" i="3" s="1"/>
  <c r="H148" i="3" s="1"/>
  <c r="F13" i="23" l="1"/>
  <c r="F13" i="22"/>
  <c r="F15" i="22" s="1"/>
  <c r="H81" i="3"/>
  <c r="H88" i="3" s="1"/>
  <c r="J88" i="3" s="1"/>
  <c r="J89" i="3" s="1"/>
  <c r="H36" i="29"/>
  <c r="I36" i="29" s="1"/>
  <c r="I42" i="29" s="1"/>
  <c r="E103" i="3" s="1"/>
  <c r="J103" i="3" s="1"/>
  <c r="H145" i="3"/>
  <c r="J145" i="3" s="1"/>
  <c r="H146" i="3"/>
  <c r="J146" i="3" s="1"/>
  <c r="F15" i="23"/>
  <c r="H162" i="3"/>
  <c r="J162" i="3" s="1"/>
  <c r="H156" i="3"/>
  <c r="J156" i="3" s="1"/>
  <c r="J158" i="3" s="1"/>
  <c r="H149" i="3"/>
  <c r="J149" i="3" s="1"/>
  <c r="H150" i="3"/>
  <c r="J150" i="3" s="1"/>
  <c r="H151" i="3"/>
  <c r="J151" i="3" s="1"/>
  <c r="H163" i="3"/>
  <c r="J163" i="3" s="1"/>
  <c r="H144" i="3"/>
  <c r="J144" i="3" s="1"/>
  <c r="J148" i="3"/>
  <c r="H147" i="3"/>
  <c r="J147" i="3" s="1"/>
  <c r="J143" i="3"/>
  <c r="J152" i="3" l="1"/>
  <c r="J81" i="3"/>
  <c r="J82" i="3" s="1"/>
  <c r="H82" i="3" s="1"/>
  <c r="H113" i="3" s="1"/>
  <c r="J113" i="3" s="1"/>
  <c r="J111" i="3"/>
  <c r="F16" i="23"/>
  <c r="J168" i="3"/>
  <c r="J95" i="3" l="1"/>
  <c r="J96" i="3" s="1"/>
  <c r="H96" i="3" s="1"/>
  <c r="F17" i="23"/>
  <c r="J114" i="3"/>
  <c r="G96" i="25" l="1"/>
  <c r="J96" i="25" s="1"/>
  <c r="E14" i="23"/>
  <c r="E15" i="23" s="1"/>
  <c r="E14" i="22"/>
  <c r="E15" i="22" s="1"/>
  <c r="G31" i="25"/>
  <c r="J31" i="25" s="1"/>
  <c r="G63" i="25"/>
  <c r="J63" i="25" s="1"/>
  <c r="H179" i="3"/>
  <c r="J179" i="3" s="1"/>
  <c r="H101" i="3"/>
  <c r="J101" i="3" s="1"/>
  <c r="P134" i="25"/>
  <c r="G15" i="23" l="1"/>
  <c r="E16" i="23"/>
  <c r="G16" i="23" s="1"/>
  <c r="G15" i="22"/>
  <c r="E17" i="23" l="1"/>
  <c r="G17" i="23" s="1"/>
  <c r="E99" i="3" s="1"/>
  <c r="E106" i="3" l="1"/>
  <c r="E116" i="3" s="1"/>
  <c r="E183" i="3" s="1"/>
  <c r="E178" i="3" s="1"/>
  <c r="E180" i="3" s="1"/>
  <c r="E185" i="3" s="1"/>
  <c r="J99" i="3" l="1"/>
  <c r="J106" i="3" s="1"/>
  <c r="J116" i="3" s="1"/>
  <c r="J183" i="3" s="1"/>
  <c r="J178" i="3" s="1"/>
  <c r="J11" i="25" l="1"/>
  <c r="J180" i="3"/>
  <c r="J185" i="3" s="1"/>
  <c r="J36" i="25" l="1"/>
  <c r="J20" i="25"/>
  <c r="D30" i="25" s="1"/>
  <c r="J43" i="25"/>
  <c r="J76" i="25" l="1"/>
  <c r="J68" i="25"/>
  <c r="J52" i="25"/>
  <c r="D62" i="25" s="1"/>
  <c r="J30" i="25"/>
  <c r="J32" i="25" s="1"/>
  <c r="J35" i="25" s="1"/>
  <c r="J37" i="25" s="1"/>
  <c r="D32" i="25"/>
  <c r="J62" i="25" l="1"/>
  <c r="J64" i="25" s="1"/>
  <c r="J67" i="25" s="1"/>
  <c r="J69" i="25" s="1"/>
  <c r="J70" i="25" s="1"/>
  <c r="D64" i="25"/>
  <c r="J85" i="25"/>
  <c r="D95" i="25" s="1"/>
  <c r="J101" i="25"/>
  <c r="D97" i="25" l="1"/>
  <c r="J95" i="25"/>
  <c r="J97" i="25" s="1"/>
  <c r="J100" i="25" s="1"/>
  <c r="J102" i="25" s="1"/>
  <c r="J103" i="25" s="1"/>
  <c r="H118" i="25"/>
  <c r="I118" i="25" s="1"/>
  <c r="H116" i="25"/>
  <c r="I116" i="25" s="1"/>
  <c r="H117" i="25"/>
  <c r="I117" i="25" s="1"/>
  <c r="I134" i="25" l="1"/>
  <c r="E187" i="3" s="1"/>
  <c r="K116" i="25"/>
  <c r="K117" i="25"/>
  <c r="Q117" i="25" s="1"/>
  <c r="K118" i="25"/>
  <c r="Q118" i="25" s="1"/>
  <c r="K134" i="25" l="1"/>
  <c r="Q116" i="25"/>
  <c r="Q134" i="25" s="1"/>
  <c r="Q136" i="25" s="1"/>
  <c r="E189" i="3"/>
  <c r="J187" i="3"/>
  <c r="J189" i="3" s="1"/>
  <c r="J15" i="3" l="1"/>
  <c r="J21" i="3" s="1"/>
  <c r="J25" i="3" s="1"/>
</calcChain>
</file>

<file path=xl/sharedStrings.xml><?xml version="1.0" encoding="utf-8"?>
<sst xmlns="http://schemas.openxmlformats.org/spreadsheetml/2006/main" count="2028" uniqueCount="1006">
  <si>
    <t>Account 456</t>
  </si>
  <si>
    <t>GENERAL PLANT</t>
  </si>
  <si>
    <t>INTANGIBLE PLANT</t>
  </si>
  <si>
    <t>Structures &amp; Improvements</t>
  </si>
  <si>
    <t>Office Furniture &amp; Equipment</t>
  </si>
  <si>
    <t>Transportation Equipment</t>
  </si>
  <si>
    <t>Stores Equipment</t>
  </si>
  <si>
    <t>Tools, Shop &amp; Garage Equipment</t>
  </si>
  <si>
    <t>Laboratory Equipment</t>
  </si>
  <si>
    <t>Power Operated Equipment</t>
  </si>
  <si>
    <t>Communication Equipment</t>
  </si>
  <si>
    <t>Miscellaneous Equipment</t>
  </si>
  <si>
    <t>Miscellaneous Intangible Plant</t>
  </si>
  <si>
    <t>Structures and Improvements</t>
  </si>
  <si>
    <t>Station Equipment</t>
  </si>
  <si>
    <t>Towers and Fixtures</t>
  </si>
  <si>
    <t>Poles and Fixtures</t>
  </si>
  <si>
    <t>Overhead Conductor and Devices</t>
  </si>
  <si>
    <t>Underground Conductor and Devices</t>
  </si>
  <si>
    <t>Account Number</t>
  </si>
  <si>
    <t>TRANSMISSION PLANT</t>
  </si>
  <si>
    <t>Rate (Annual)                      Percent</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</si>
  <si>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</si>
  <si>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</si>
  <si>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Unamortized Abandoned Plant</t>
  </si>
  <si>
    <t>HYPOTHETICAL EXAMPLE</t>
  </si>
  <si>
    <t xml:space="preserve">Attachment 1 - Revenue Credit Workpaper* </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</si>
  <si>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</si>
  <si>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</si>
  <si>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</si>
  <si>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</si>
  <si>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</si>
  <si>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</si>
  <si>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</si>
  <si>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</si>
  <si>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</si>
  <si>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</si>
  <si>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</si>
  <si>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</si>
  <si>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</si>
  <si>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</si>
  <si>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</si>
  <si>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</si>
  <si>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</si>
  <si>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Form No. 1</t>
  </si>
  <si>
    <t>Transmission</t>
  </si>
  <si>
    <t>Page, Line, Col.</t>
  </si>
  <si>
    <t>Company Total</t>
  </si>
  <si>
    <t xml:space="preserve">                  Allocator</t>
  </si>
  <si>
    <t>(Col 3 times Col 4)</t>
  </si>
  <si>
    <t>RATE BASE:</t>
  </si>
  <si>
    <t xml:space="preserve">  Production</t>
  </si>
  <si>
    <t>NA</t>
  </si>
  <si>
    <t xml:space="preserve">  Transmission</t>
  </si>
  <si>
    <t xml:space="preserve">  Distribution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</si>
  <si>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</si>
  <si>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</si>
  <si>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</si>
  <si>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</si>
  <si>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</si>
  <si>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</si>
  <si>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</si>
  <si>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</si>
  <si>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</si>
  <si>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</si>
  <si>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</si>
  <si>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</si>
  <si>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</si>
  <si>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</si>
  <si>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</si>
  <si>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</si>
  <si>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</si>
  <si>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</si>
  <si>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</si>
  <si>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</si>
  <si>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</si>
  <si>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</si>
  <si>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</si>
  <si>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</si>
  <si>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</si>
  <si>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</si>
  <si>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</si>
  <si>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</si>
  <si>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</si>
  <si>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354.20.b</t>
  </si>
  <si>
    <t>W&amp;S Allocator</t>
  </si>
  <si>
    <t xml:space="preserve">  Other</t>
  </si>
  <si>
    <t>($ / Allocation)</t>
  </si>
  <si>
    <t>=</t>
  </si>
  <si>
    <t>WS</t>
  </si>
  <si>
    <t>Cost</t>
  </si>
  <si>
    <t>%</t>
  </si>
  <si>
    <t>Weighted</t>
  </si>
  <si>
    <t>=WCLTD</t>
  </si>
  <si>
    <t>=R</t>
  </si>
  <si>
    <t>General Note:  References to pages in this formulary rate are indicated as:  (page#, line#, col.#)</t>
  </si>
  <si>
    <t xml:space="preserve">                           References to data from FERC Form 1 are indicated as:   #.y.x  (page, line, column)</t>
  </si>
  <si>
    <t>Note</t>
  </si>
  <si>
    <t>Letter</t>
  </si>
  <si>
    <t>A</t>
  </si>
  <si>
    <t>B</t>
  </si>
  <si>
    <t>C</t>
  </si>
  <si>
    <t>D</t>
  </si>
  <si>
    <t>E</t>
  </si>
  <si>
    <t>F</t>
  </si>
  <si>
    <t>G</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</si>
  <si>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</si>
  <si>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</si>
  <si>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</si>
  <si>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</si>
  <si>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</si>
  <si>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</si>
  <si>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 xml:space="preserve">   since they are recovered elsewhere.</t>
  </si>
  <si>
    <t xml:space="preserve">         Inputs Required:</t>
  </si>
  <si>
    <t>SIT=</t>
  </si>
  <si>
    <t>p =</t>
  </si>
  <si>
    <t xml:space="preserve">  (percent of federal income tax deductible for state purposes)</t>
  </si>
  <si>
    <t>Removes dollar amount of transmission plant included in the development of OATT ancillary services rates and generation</t>
  </si>
  <si>
    <t>Enter dollar amounts</t>
  </si>
  <si>
    <t>True-up Adjustment</t>
  </si>
  <si>
    <t xml:space="preserve">  General &amp; Intangible </t>
  </si>
  <si>
    <r>
      <t>Rate Formula Template</t>
    </r>
    <r>
      <rPr>
        <strike/>
        <sz val="12"/>
        <color indexed="10"/>
        <rFont val="Arial"/>
        <family val="2"/>
      </rPr>
      <t xml:space="preserve"> </t>
    </r>
  </si>
  <si>
    <t>Rate Formula Template</t>
  </si>
  <si>
    <t>Add more lines if necessary</t>
  </si>
  <si>
    <t>Details</t>
  </si>
  <si>
    <t>Transmission Related</t>
  </si>
  <si>
    <t>Adjustment to Remove Revenue Requirements Associated with Excluded Transmission Facilities</t>
  </si>
  <si>
    <t>Description of the Facilities</t>
  </si>
  <si>
    <t>Excluded Plant Cost Support</t>
  </si>
  <si>
    <t>Directly Assigned A&amp;G</t>
  </si>
  <si>
    <t>Other</t>
  </si>
  <si>
    <t>Form 1 Amount</t>
  </si>
  <si>
    <t>Income Tax Rates</t>
  </si>
  <si>
    <t>Regulatory Expense Related to Transmission Cost Support</t>
  </si>
  <si>
    <t>Allocated General &amp; Common Expenses</t>
  </si>
  <si>
    <t>EPRI Dues</t>
  </si>
  <si>
    <t>EPRI Dues Cost Support</t>
  </si>
  <si>
    <t>Balance</t>
  </si>
  <si>
    <t>May</t>
  </si>
  <si>
    <t>(B)</t>
  </si>
  <si>
    <t>(A)</t>
  </si>
  <si>
    <t>April</t>
  </si>
  <si>
    <t>Year</t>
  </si>
  <si>
    <t>SIT=State Income Tax Rate or Composite</t>
  </si>
  <si>
    <t>DA</t>
  </si>
  <si>
    <t>Stores Expense Undistributed</t>
  </si>
  <si>
    <t>End of Year</t>
  </si>
  <si>
    <t>Materials &amp; Supplies</t>
  </si>
  <si>
    <t>Production Accumulated Depreciation</t>
  </si>
  <si>
    <t>December</t>
  </si>
  <si>
    <t>company records</t>
  </si>
  <si>
    <t>November</t>
  </si>
  <si>
    <t xml:space="preserve">October </t>
  </si>
  <si>
    <t>September</t>
  </si>
  <si>
    <t>August</t>
  </si>
  <si>
    <t>July</t>
  </si>
  <si>
    <t>March</t>
  </si>
  <si>
    <t>February</t>
  </si>
  <si>
    <t>January</t>
  </si>
  <si>
    <t>Calculation of Production Accumulated Depreciation</t>
  </si>
  <si>
    <t>Calculation of General Accumulated Depreciation</t>
  </si>
  <si>
    <t>Distribution Accumulated Depreciation</t>
  </si>
  <si>
    <t>Calculation of Distribution Accumulated Depreciation</t>
  </si>
  <si>
    <t>Transmission Accumulated Depreciation</t>
  </si>
  <si>
    <t>October</t>
  </si>
  <si>
    <t>Calculation of Transmission Accumulated Depreciation</t>
  </si>
  <si>
    <t>Accumulated Depreciation Worksheet</t>
  </si>
  <si>
    <t>Production Plant In Service</t>
  </si>
  <si>
    <t>Calculation of Production Plant In Service</t>
  </si>
  <si>
    <t>General Plant In Service</t>
  </si>
  <si>
    <t>Calculation of General Plant In Service</t>
  </si>
  <si>
    <t>Intangible Plant In Service</t>
  </si>
  <si>
    <t>Calculation of Intangible Plant In Service</t>
  </si>
  <si>
    <t>Distribution Plant In Service</t>
  </si>
  <si>
    <t>Calculation of Distribution Plant In Service</t>
  </si>
  <si>
    <t>Calculation of Transmission  Plant In Service</t>
  </si>
  <si>
    <t>Plant in Service Worksheet</t>
  </si>
  <si>
    <t>Misc non-transmission rentals</t>
  </si>
  <si>
    <t>Transmission tower wireless rentals</t>
  </si>
  <si>
    <t>Underground rentals</t>
  </si>
  <si>
    <t>Account 454</t>
  </si>
  <si>
    <t>All Account 454 and 456 Revenues must be itemized below</t>
  </si>
  <si>
    <t>Note 2</t>
  </si>
  <si>
    <t>Note 1</t>
  </si>
  <si>
    <t>Total Revenue Credits</t>
  </si>
  <si>
    <t>Revenues from Directly Assigned Transmission Facility Charges (Note 2)</t>
  </si>
  <si>
    <t>Joint pole attachments - cable</t>
  </si>
  <si>
    <t>Average</t>
  </si>
  <si>
    <t>Transmission Plant In Service</t>
  </si>
  <si>
    <t>Total Plant In Service</t>
  </si>
  <si>
    <t>Accumulated General Depreciation</t>
  </si>
  <si>
    <t>Regulatory Commission Exp Account 928</t>
  </si>
  <si>
    <t>General Advertising Exp Account 930.1</t>
  </si>
  <si>
    <t>Excluded Transmission Facilities</t>
  </si>
  <si>
    <t>Transmission Materials &amp; Supplies</t>
  </si>
  <si>
    <t xml:space="preserve">  CWIP</t>
  </si>
  <si>
    <t>Beginning of Year</t>
  </si>
  <si>
    <t>Average Balance</t>
  </si>
  <si>
    <t xml:space="preserve">Total Loan Amount </t>
  </si>
  <si>
    <r>
      <t>Internal Rate of Return</t>
    </r>
    <r>
      <rPr>
        <b/>
        <vertAlign val="superscript"/>
        <sz val="11"/>
        <rFont val="Arial"/>
        <family val="2"/>
      </rPr>
      <t>1</t>
    </r>
  </si>
  <si>
    <r>
      <t>Based on following Financial Formula</t>
    </r>
    <r>
      <rPr>
        <b/>
        <vertAlign val="superscript"/>
        <sz val="11"/>
        <rFont val="Arial"/>
        <family val="2"/>
      </rPr>
      <t>2</t>
    </r>
    <r>
      <rPr>
        <b/>
        <sz val="11"/>
        <rFont val="Arial"/>
        <family val="2"/>
      </rPr>
      <t>:</t>
    </r>
  </si>
  <si>
    <t xml:space="preserve">NPV = 0 = </t>
  </si>
  <si>
    <t>Origination Fees</t>
  </si>
  <si>
    <t>Underwriting Discount</t>
  </si>
  <si>
    <t xml:space="preserve">   Total Issuance Expense</t>
  </si>
  <si>
    <t>Interest Rate</t>
  </si>
  <si>
    <t>( C)</t>
  </si>
  <si>
    <t>(D)</t>
  </si>
  <si>
    <t>(E)</t>
  </si>
  <si>
    <t>(F)</t>
  </si>
  <si>
    <t>(G)</t>
  </si>
  <si>
    <t>(H)</t>
  </si>
  <si>
    <t>(I)</t>
  </si>
  <si>
    <t>Origination Fees ($000's)</t>
  </si>
  <si>
    <t>Net Cash Flows ($000's)</t>
  </si>
  <si>
    <t>(D-F-G-H)</t>
  </si>
  <si>
    <t>Q1</t>
  </si>
  <si>
    <t>Q2</t>
  </si>
  <si>
    <t>Q3</t>
  </si>
  <si>
    <t>Q4</t>
  </si>
  <si>
    <t xml:space="preserve">  General &amp; Intangible</t>
  </si>
  <si>
    <t xml:space="preserve">  Preferred Stock  </t>
  </si>
  <si>
    <t>LAND HELD FOR FUTURE USE</t>
  </si>
  <si>
    <t xml:space="preserve">Cash Working Capital assigned to transmission is one-eighth of O&amp;M allocated to transmission </t>
  </si>
  <si>
    <t xml:space="preserve">GROSS REVENUE REQUIREMENT    </t>
  </si>
  <si>
    <t xml:space="preserve">  Unamortized Abandoned Plant</t>
  </si>
  <si>
    <t xml:space="preserve">  Amortization of Abandoned Plant</t>
  </si>
  <si>
    <t>Multi-state Workpaper</t>
  </si>
  <si>
    <t>Weighed Average</t>
  </si>
  <si>
    <t xml:space="preserve">  General and Intangible</t>
  </si>
  <si>
    <t>Commitment &amp; Utilization Fee ($000's)</t>
  </si>
  <si>
    <t>Spread</t>
  </si>
  <si>
    <t>LIBOR Rate</t>
  </si>
  <si>
    <t>Revolving Credit Commitment Fee</t>
  </si>
  <si>
    <t>Legal Fees</t>
  </si>
  <si>
    <t>Rating Agency Fee</t>
  </si>
  <si>
    <t>Upfront Fee</t>
  </si>
  <si>
    <t>Arrangement Fee</t>
  </si>
  <si>
    <t xml:space="preserve">     PBOP expense adjustment</t>
  </si>
  <si>
    <t>Calculation of PBOP Expenses</t>
  </si>
  <si>
    <t xml:space="preserve">Total PBOP expenses </t>
  </si>
  <si>
    <t>Labor dollars</t>
  </si>
  <si>
    <t>Cost per labor dollar</t>
  </si>
  <si>
    <t>Annual Rating Agency Fee</t>
  </si>
  <si>
    <t>Annual Bank Agency Fee</t>
  </si>
  <si>
    <t>Over (Under) Recovery</t>
  </si>
  <si>
    <t>Interest Rate on Amount of Refunds or Surcharges</t>
  </si>
  <si>
    <t>Over (Under) Recovery Plus Interest</t>
  </si>
  <si>
    <t>Months</t>
  </si>
  <si>
    <t>Calculated Interest</t>
  </si>
  <si>
    <t>Amortization</t>
  </si>
  <si>
    <t>Surcharge (Refund) Owed</t>
  </si>
  <si>
    <t>Calculation of Interest</t>
  </si>
  <si>
    <t>Monthly</t>
  </si>
  <si>
    <t>June</t>
  </si>
  <si>
    <t>Annual</t>
  </si>
  <si>
    <t>Over (Under) Recovery Plus Interest Amortized and Recovered Over 12 Months</t>
  </si>
  <si>
    <t>Total Amount of True-Up Adjustment</t>
  </si>
  <si>
    <t>Less Over (Under) Recovery</t>
  </si>
  <si>
    <t>Total Interest</t>
  </si>
  <si>
    <t>Item</t>
  </si>
  <si>
    <t xml:space="preserve">     Less EPRI &amp; Reg. Comm. Exp. &amp; Other  Ad.  </t>
  </si>
  <si>
    <t>p323.189.b</t>
  </si>
  <si>
    <t xml:space="preserve">     Plus Transmission Related Reg. Comm.  Exp.  </t>
  </si>
  <si>
    <t xml:space="preserve">  Account No. 255 (enter negative)  </t>
  </si>
  <si>
    <t>354.21.b</t>
  </si>
  <si>
    <t>354.23.b</t>
  </si>
  <si>
    <t>354.24,25,26.b</t>
  </si>
  <si>
    <t>(GP=1 if plant =0)</t>
  </si>
  <si>
    <t>(NP=1 if plant =0)</t>
  </si>
  <si>
    <t>SUPPORTING CALCULATIONS AND NOTES</t>
  </si>
  <si>
    <t>labor (labor not capitalized) current year</t>
  </si>
  <si>
    <t>PBOP Expense for current year</t>
  </si>
  <si>
    <t>PBOP Expense in Account 926 for current year</t>
  </si>
  <si>
    <t>TRANSMISSION PLANT INCLUDED IN RTO RATES</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</si>
  <si>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</si>
  <si>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</si>
  <si>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Rent from FERC Form No. 1</t>
  </si>
  <si>
    <t>Other Electric Revenues (Note 2)</t>
  </si>
  <si>
    <t>Appendix A Line #s, Descriptions, Notes, Form 1 Page #s and Instructions</t>
  </si>
  <si>
    <t xml:space="preserve">  Account No. 255 (enter negative) (Note F)</t>
  </si>
  <si>
    <t>Attachment 7</t>
  </si>
  <si>
    <t>Less</t>
  </si>
  <si>
    <t>Equals</t>
  </si>
  <si>
    <t>WAGES &amp; SALARY ALLOCATOR   (W&amp;S) (Note I)</t>
  </si>
  <si>
    <t>FERC Account</t>
  </si>
  <si>
    <t xml:space="preserve">  (recovery of abandoned plant requires a FERC order approving the amount and recovery period)</t>
  </si>
  <si>
    <t xml:space="preserve">If the facilities associated with the revenues are not included in the formula, the revenue is shown below, but not included in the total above and explained in the Attachment 3. </t>
  </si>
  <si>
    <t>Line No.</t>
  </si>
  <si>
    <t>TOTAL</t>
  </si>
  <si>
    <t>Transmission Service</t>
  </si>
  <si>
    <t>Trans. Fac. Charge</t>
  </si>
  <si>
    <t>Trans Studies</t>
  </si>
  <si>
    <t>Less:</t>
  </si>
  <si>
    <t>Sub Total Revenue Credit</t>
  </si>
  <si>
    <t>Other 2</t>
  </si>
  <si>
    <t>1a</t>
  </si>
  <si>
    <t>Prior Period Adjustments</t>
  </si>
  <si>
    <t xml:space="preserve">     Revenue for Demands in Divisor </t>
  </si>
  <si>
    <t>1x</t>
  </si>
  <si>
    <t>9a</t>
  </si>
  <si>
    <t>9b</t>
  </si>
  <si>
    <t>9c</t>
  </si>
  <si>
    <t>9d</t>
  </si>
  <si>
    <t>9e</t>
  </si>
  <si>
    <t>9f</t>
  </si>
  <si>
    <t>9g</t>
  </si>
  <si>
    <t>9x</t>
  </si>
  <si>
    <t>Principal Drawn In Quarter ($000's)</t>
  </si>
  <si>
    <t>Principal Drawn To Date ($000's)</t>
  </si>
  <si>
    <t>Interest &amp; Principal ($000's)</t>
  </si>
  <si>
    <t xml:space="preserve">     Less Accounts 565, 561 and 561.1 to 561.8</t>
  </si>
  <si>
    <t>K</t>
  </si>
  <si>
    <t xml:space="preserve">     (Prepayments exclude Prepaid Pension Assets)</t>
  </si>
  <si>
    <t>Reserves</t>
  </si>
  <si>
    <t>Reserve 2</t>
  </si>
  <si>
    <t>Reserve 3</t>
  </si>
  <si>
    <t>Labor</t>
  </si>
  <si>
    <t>Cost of Preferred Stock</t>
  </si>
  <si>
    <t xml:space="preserve">Plant </t>
  </si>
  <si>
    <t>Related</t>
  </si>
  <si>
    <t>ADIT- 282</t>
  </si>
  <si>
    <t>From Acct. 282 total, below</t>
  </si>
  <si>
    <t>ADIT-283</t>
  </si>
  <si>
    <t>From Acct. 283 total, below</t>
  </si>
  <si>
    <t>ADIT-190</t>
  </si>
  <si>
    <t>From Acct. 190 total, below</t>
  </si>
  <si>
    <t>Subtotal</t>
  </si>
  <si>
    <t>Wages &amp; Salary Allocator</t>
  </si>
  <si>
    <t>End of  Year ADIT</t>
  </si>
  <si>
    <t>In filling out this attachment, a full and complete description of each item and justification for the allocation to Columns B-F and each separate ADIT item will be listed,</t>
  </si>
  <si>
    <t>Gas, Prod</t>
  </si>
  <si>
    <t>Or Other</t>
  </si>
  <si>
    <t>Justification</t>
  </si>
  <si>
    <t>Subtotal - p234</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</si>
  <si>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</si>
  <si>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</si>
  <si>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</si>
  <si>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</si>
  <si>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</si>
  <si>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</si>
  <si>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</si>
  <si>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Subtotal - p275  </t>
  </si>
  <si>
    <t>Instructions for Account 282:</t>
  </si>
  <si>
    <t xml:space="preserve">Subtotal - p277  </t>
  </si>
  <si>
    <t>Instructions for Account 283:</t>
  </si>
  <si>
    <t>Attachment 6a - Accumulated Deferred Income Taxes (ADIT) Worksheet (Beginning of Year)</t>
  </si>
  <si>
    <t>Attachment 6b - Accumulated Deferred Income Taxes (ADIT) Worksheet (End of Year)</t>
  </si>
  <si>
    <t>Average of Beginning of Year and End of Year ((7 +8)/2)</t>
  </si>
  <si>
    <t>ADIT- 283</t>
  </si>
  <si>
    <t xml:space="preserve">  181/365 and 184/365, respectively, for a non-leap year.</t>
  </si>
  <si>
    <t>Safety Related, Education, Siting &amp; Outreach Related</t>
  </si>
  <si>
    <t>Safety Related and Education and Out Reach Cost Support</t>
  </si>
  <si>
    <t>Details*</t>
  </si>
  <si>
    <t>* insert case specific detail and associated assignments here</t>
  </si>
  <si>
    <t xml:space="preserve">     Rate Formula Template</t>
  </si>
  <si>
    <t>Rate Base</t>
  </si>
  <si>
    <t>Reserve 4</t>
  </si>
  <si>
    <t>…</t>
  </si>
  <si>
    <t xml:space="preserve">  ADIT</t>
  </si>
  <si>
    <t>Attachment 2 - Cost Support</t>
  </si>
  <si>
    <t xml:space="preserve">  Unamortized Regulatory Assets</t>
  </si>
  <si>
    <t>Project Name</t>
  </si>
  <si>
    <t>Regulatory Assets</t>
  </si>
  <si>
    <t>Projected Annual Transmission Revenue Requirement</t>
  </si>
  <si>
    <t>Land Rights</t>
  </si>
  <si>
    <t>Transmission facility Contributions in Aid of Construction</t>
  </si>
  <si>
    <t>Assumes financing will be a 5 year loan with Origination Fees of $2.1 million and a Commitments Fee of 0.3% on the undrawn principal.</t>
  </si>
  <si>
    <t xml:space="preserve">  Long Term Debt  </t>
  </si>
  <si>
    <t xml:space="preserve">  Preferred Stock </t>
  </si>
  <si>
    <t>Appendix A</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</si>
  <si>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</si>
  <si>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</si>
  <si>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</si>
  <si>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</si>
  <si>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</si>
  <si>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</si>
  <si>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</si>
  <si>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</si>
  <si>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</si>
  <si>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</si>
  <si>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Amortization of Abandoned Plant</t>
  </si>
  <si>
    <t>263._.i (enter FN1 line #)</t>
  </si>
  <si>
    <t>p353._.f (enter FN1 line #)</t>
  </si>
  <si>
    <t xml:space="preserve">FERC Quarterly Interest Rate </t>
  </si>
  <si>
    <t>Qtr 4 (Previous Year)</t>
  </si>
  <si>
    <t>Qtr 1 (Current Year)</t>
  </si>
  <si>
    <t>Qtr 2 (Current Year)</t>
  </si>
  <si>
    <t xml:space="preserve">Average of the last 4 quarters </t>
  </si>
  <si>
    <t>Interest Rate Used for True-up adjustment (Note B)</t>
  </si>
  <si>
    <t>True-Up Interest Calculation</t>
  </si>
  <si>
    <t>Monthly Interest Rate on Attachment 7a</t>
  </si>
  <si>
    <t>Page 2</t>
  </si>
  <si>
    <t>Total  (sum lines 3-5)</t>
  </si>
  <si>
    <t>(a)</t>
  </si>
  <si>
    <t>(b)</t>
  </si>
  <si>
    <t>Incentive ROE and 60/40 Project Worksheet</t>
  </si>
  <si>
    <t>Construction Materials &amp; Supplies</t>
  </si>
  <si>
    <t>p227.16</t>
  </si>
  <si>
    <t>p227.8</t>
  </si>
  <si>
    <t>p227.5</t>
  </si>
  <si>
    <t xml:space="preserve"> Form No.1 page</t>
  </si>
  <si>
    <t>Net Revenue Requirement</t>
  </si>
  <si>
    <t>NET ADJUSTED REVENUE REQUIREMENT</t>
  </si>
  <si>
    <t>n=</t>
  </si>
  <si>
    <t xml:space="preserve">  (not for profit entity ownership percentage)</t>
  </si>
  <si>
    <t>(Lines 1-4 / 4)</t>
  </si>
  <si>
    <t>(Line 6 / 12)</t>
  </si>
  <si>
    <t xml:space="preserve">     T=1 - {[(1 - SIT) * (1 - FIT)] / (1 - SIT * FIT * p))}*(1-n) =</t>
  </si>
  <si>
    <t>Underground Conduit</t>
  </si>
  <si>
    <t>ConEd</t>
  </si>
  <si>
    <t>NiMo</t>
  </si>
  <si>
    <t>NYSEG</t>
  </si>
  <si>
    <t>RGE</t>
  </si>
  <si>
    <t>CHG&amp;E</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</si>
  <si>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180 days after the date that Company formally declares such plant item abandoned.      </t>
  </si>
  <si>
    <t>(c)</t>
  </si>
  <si>
    <t>Line 1</t>
  </si>
  <si>
    <t>Return and Income Taxes at Base ROE</t>
  </si>
  <si>
    <t>Base ROE and Income Taxes Carrying Charge</t>
  </si>
  <si>
    <t>Return multiplied by Rate Base (line 1 * line 6)</t>
  </si>
  <si>
    <t>Base Return and Income Taxes</t>
  </si>
  <si>
    <t>Description</t>
  </si>
  <si>
    <t>Line 42</t>
  </si>
  <si>
    <t>(d)</t>
  </si>
  <si>
    <t>(e)</t>
  </si>
  <si>
    <t>(f)</t>
  </si>
  <si>
    <t>(g)</t>
  </si>
  <si>
    <t>(h)</t>
  </si>
  <si>
    <t xml:space="preserve">  Common Stock </t>
  </si>
  <si>
    <t>Attachment 4</t>
  </si>
  <si>
    <t>Attachment 3 - Cost Support</t>
  </si>
  <si>
    <t>New York</t>
  </si>
  <si>
    <t>Table 1</t>
  </si>
  <si>
    <t>Table 2</t>
  </si>
  <si>
    <t>Table 3</t>
  </si>
  <si>
    <t>Attachment 7a</t>
  </si>
  <si>
    <t>Monthly Interest Rate for Attachment 7</t>
  </si>
  <si>
    <t>CWIP in Rate Base</t>
  </si>
  <si>
    <t>L</t>
  </si>
  <si>
    <t>The cost of debt is determined using the internal rate of return methodology shown on Attachment 5 once project financing is obtained.  Prior to obtaining project financing,</t>
  </si>
  <si>
    <t>will be applied to actual amounts for use in Appendix A.   </t>
  </si>
  <si>
    <t>Multiple state rates are weighted based on the state apportionment factors on the state income tax returns and the number of days in the year that the rates are effective (see Note F)</t>
  </si>
  <si>
    <t>(i)</t>
  </si>
  <si>
    <t>(j)</t>
  </si>
  <si>
    <t>Revenue Requirement per project including incentives</t>
  </si>
  <si>
    <t>(Line 100 - Line 101)/ Line 99</t>
  </si>
  <si>
    <t>Line 102 Appendix A</t>
  </si>
  <si>
    <t>Incentive $ (Col (b) x Col (g)</t>
  </si>
  <si>
    <t>Col (e) / .01 x Col (f)</t>
  </si>
  <si>
    <t>Incentive % Authorized by FERC</t>
  </si>
  <si>
    <t>Difference (must be zero)</t>
  </si>
  <si>
    <t xml:space="preserve">If the first year is a partial year, the true-up (over or under recovery per month and interest calculation) will reflect only the </t>
  </si>
  <si>
    <t xml:space="preserve">An over or under collection will be recovered prorata over year collected, held for one year and returned prorata over next year. </t>
  </si>
  <si>
    <t>number of months for which the rate was charged.</t>
  </si>
  <si>
    <t xml:space="preserve">Line 38 or Line 41 and thus Line 45 shall include any NYISO charges other than penalties, including but not limited to administrative costs.  </t>
  </si>
  <si>
    <t>GROSS PLANT IN SERVICE (Note M)</t>
  </si>
  <si>
    <t>ACCUMULATED DEPRECIATION &amp; AMORTIZATION  (Note M)</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</si>
  <si>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</si>
  <si>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Notes</t>
  </si>
  <si>
    <t xml:space="preserve">   once the actual fees are known.</t>
  </si>
  <si>
    <t>Cumulative Col. D</t>
  </si>
  <si>
    <t>Input in first Qtr of Loan</t>
  </si>
  <si>
    <t xml:space="preserve">  amounts are known</t>
  </si>
  <si>
    <t xml:space="preserve">  Unfunded Reserves (enter negative)</t>
  </si>
  <si>
    <t xml:space="preserve">  rate base.</t>
  </si>
  <si>
    <t>(Attach 2, lines 121 &amp; 136</t>
  </si>
  <si>
    <t>(Attach 2, line 15)</t>
  </si>
  <si>
    <t>(Attach 2, line 30)</t>
  </si>
  <si>
    <t>(Attach 2, lines 45 &amp; 60)</t>
  </si>
  <si>
    <t>(Attach 2, line 151)</t>
  </si>
  <si>
    <t>(Attach 2, line 75)</t>
  </si>
  <si>
    <t>(Attach 6a, line 9)</t>
  </si>
  <si>
    <t>(Attach 3, line 153)</t>
  </si>
  <si>
    <t xml:space="preserve">  (State Income Tax Rate or Composite SIT from Attach 3)</t>
  </si>
  <si>
    <t>(Attach 3, line 170)</t>
  </si>
  <si>
    <t>(Attach 3, line 155) (Note K)</t>
  </si>
  <si>
    <t>Incentive Return and Income Tax on Authorized Projects (Attach 4, line 58, col h)</t>
  </si>
  <si>
    <t xml:space="preserve">  Long Term Debt </t>
  </si>
  <si>
    <t>44a</t>
  </si>
  <si>
    <t>44b</t>
  </si>
  <si>
    <t>44c</t>
  </si>
  <si>
    <t xml:space="preserve">    Less Account 566</t>
  </si>
  <si>
    <t xml:space="preserve">    Amortization of Regulatory Assets</t>
  </si>
  <si>
    <t xml:space="preserve">    Account 566 excluding amort. of Reg Assets</t>
  </si>
  <si>
    <t>(line 44a less line 44b)</t>
  </si>
  <si>
    <t>3.  Line 1 reflects the loan amount, the maximum amount that can be drawn on</t>
  </si>
  <si>
    <t xml:space="preserve">EPRI and EEI Dues to be excluded from the formula rate </t>
  </si>
  <si>
    <t>job ID</t>
  </si>
  <si>
    <t>Construction Start Date</t>
  </si>
  <si>
    <t>Estimated in-service date</t>
  </si>
  <si>
    <t>Approval Doc. No.</t>
  </si>
  <si>
    <t>(k)</t>
  </si>
  <si>
    <t>(l)</t>
  </si>
  <si>
    <t>(m)</t>
  </si>
  <si>
    <t>(n)</t>
  </si>
  <si>
    <t>(o)</t>
  </si>
  <si>
    <t>(p)</t>
  </si>
  <si>
    <t>(q)</t>
  </si>
  <si>
    <t>(r)</t>
  </si>
  <si>
    <t>(s)</t>
  </si>
  <si>
    <t>Avg (f) through (r)</t>
  </si>
  <si>
    <t>(t)</t>
  </si>
  <si>
    <t>% approved for recovery</t>
  </si>
  <si>
    <t>(u)</t>
  </si>
  <si>
    <t>Rate Base Amnt (s) x (t)</t>
  </si>
  <si>
    <t>1b</t>
  </si>
  <si>
    <t>1c</t>
  </si>
  <si>
    <t>Total CWIP in Rate Base</t>
  </si>
  <si>
    <t>Monthly Amort Exp (b) / (c)</t>
  </si>
  <si>
    <t>Amort Periods this year</t>
  </si>
  <si>
    <t>Current Amort Expense     (d) x (e)</t>
  </si>
  <si>
    <t>Recovery Amnt Approved *</t>
  </si>
  <si>
    <t>% Allocated to Formula Rate *</t>
  </si>
  <si>
    <t>Amort Exp in Formula Rate            (f) x (g)</t>
  </si>
  <si>
    <t>(v)</t>
  </si>
  <si>
    <t>(w)</t>
  </si>
  <si>
    <t>(x)</t>
  </si>
  <si>
    <t>Avg Unamortized Balance         Sum (i) through (u) / 13</t>
  </si>
  <si>
    <t>% Approved for Rate Base *</t>
  </si>
  <si>
    <t>(y)</t>
  </si>
  <si>
    <t>Allocated to Formula Rate     (from (g))</t>
  </si>
  <si>
    <t>Rate Base Balance      (v) x (w) x (x)</t>
  </si>
  <si>
    <t>(z)</t>
  </si>
  <si>
    <t>Project Code</t>
  </si>
  <si>
    <t>(aa)</t>
  </si>
  <si>
    <t>Docket No</t>
  </si>
  <si>
    <t>* Non-zero values in these columns may only be established per FERC order</t>
  </si>
  <si>
    <t>Capital Expenditures  ($000's)</t>
  </si>
  <si>
    <t>3a</t>
  </si>
  <si>
    <t>3b</t>
  </si>
  <si>
    <t>3c</t>
  </si>
  <si>
    <t>3x</t>
  </si>
  <si>
    <t>Abandoned Plant</t>
  </si>
  <si>
    <t>The balances in Accounts 190, 281, 282 and 283, as adjusted by any amounts in contra accounts identified as regulatory assets or liabilities related</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</si>
  <si>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</si>
  <si>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</si>
  <si>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</si>
  <si>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</si>
  <si>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</si>
  <si>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 xml:space="preserve">(c) </t>
  </si>
  <si>
    <t xml:space="preserve">(e) </t>
  </si>
  <si>
    <t>Subaccount No.</t>
  </si>
  <si>
    <t>Item Name</t>
  </si>
  <si>
    <t>Dec. 31</t>
  </si>
  <si>
    <t>May 31</t>
  </si>
  <si>
    <t>Aug. 31</t>
  </si>
  <si>
    <t>Sept. 30</t>
  </si>
  <si>
    <t>Oct. 31</t>
  </si>
  <si>
    <t>Nov. 30</t>
  </si>
  <si>
    <t>Actual Additions by FERC Account</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</si>
  <si>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</si>
  <si>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</si>
  <si>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</si>
  <si>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</si>
  <si>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</si>
  <si>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</si>
  <si>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</si>
  <si>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</si>
  <si>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</si>
  <si>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Change to recovery percent in Column (t) requires FERC order</t>
  </si>
  <si>
    <t>Land Held for Future Use and Estimated Date</t>
  </si>
  <si>
    <t>Intangible Plant Detail</t>
  </si>
  <si>
    <t>Service Life</t>
  </si>
  <si>
    <t xml:space="preserve">5 Yr </t>
  </si>
  <si>
    <t xml:space="preserve">7 Yr </t>
  </si>
  <si>
    <t xml:space="preserve">10 Year </t>
  </si>
  <si>
    <t xml:space="preserve">15 year </t>
  </si>
  <si>
    <t>5a</t>
  </si>
  <si>
    <t>5b</t>
  </si>
  <si>
    <t>5c</t>
  </si>
  <si>
    <t>5x</t>
  </si>
  <si>
    <t>7a</t>
  </si>
  <si>
    <t>7b</t>
  </si>
  <si>
    <t>7c</t>
  </si>
  <si>
    <t>7x</t>
  </si>
  <si>
    <t>11a</t>
  </si>
  <si>
    <t>11b</t>
  </si>
  <si>
    <t>11c</t>
  </si>
  <si>
    <t>Land Held for Future Use (LHFU)</t>
  </si>
  <si>
    <t xml:space="preserve">   N is the last quarter the loan would be outstanding</t>
  </si>
  <si>
    <t xml:space="preserve">   t is each quarter</t>
  </si>
  <si>
    <t xml:space="preserve">   Ct is the cash flow (Table 5, Col. I in each quarter)</t>
  </si>
  <si>
    <t xml:space="preserve">   Alternatively the equation can be written as 0 = C0 + C1/(1+IRR) + C2/(1+IRR)2 + C3/(1+IRR)3 + . . . +Cn/(1+IRR)n and solved for IRR</t>
  </si>
  <si>
    <t xml:space="preserve">   The 8% in the above formula is a seed number to ensure the formula produces a positive number.</t>
  </si>
  <si>
    <t xml:space="preserve">     average 3 month Libor rate for the year under the loan.  </t>
  </si>
  <si>
    <t xml:space="preserve">6.  Table 5, Col. C reflect the capital expenditures in each quarter </t>
  </si>
  <si>
    <t xml:space="preserve">7.  Table 5, Col. D reflect the amount of the loan that is drawn down in the quarter </t>
  </si>
  <si>
    <t>8.  Table 5, Col. E is the amount of principle drawn down</t>
  </si>
  <si>
    <t>11.  Table 5, Col. H is calculated as follows:</t>
  </si>
  <si>
    <t>Where A =</t>
  </si>
  <si>
    <t>Loan amount in line 1 less the amount drawn down (Table 5, Col. (E)) in the prior quarter</t>
  </si>
  <si>
    <t xml:space="preserve">12.  The inputs shall be estimated based on the current market conditions and is subject to true up for all inputs , e.g., fees, interest rates, spread, and Table 3 once the </t>
  </si>
  <si>
    <t>Table 4</t>
  </si>
  <si>
    <t>Table 5</t>
  </si>
  <si>
    <t>Expense Allocator</t>
  </si>
  <si>
    <t>Gross Plant In Service (Note B)</t>
  </si>
  <si>
    <t>Form No.1</t>
  </si>
  <si>
    <t>Reference</t>
  </si>
  <si>
    <t>13 Month Avg.</t>
  </si>
  <si>
    <t>Col. (c)</t>
  </si>
  <si>
    <t>Long Term Debt:</t>
  </si>
  <si>
    <t>Acct 221 Bonds</t>
  </si>
  <si>
    <t>112.18.c,d</t>
  </si>
  <si>
    <t>Acct 223 Advances from Assoc. Companies</t>
  </si>
  <si>
    <t>112.20.c,d</t>
  </si>
  <si>
    <t>Acct 224 Other Long Term Debt</t>
  </si>
  <si>
    <t>112.21.c,d</t>
  </si>
  <si>
    <t>Less  Acct 222 Reacquired Debt</t>
  </si>
  <si>
    <t>Total Long Term Debt</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</si>
  <si>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</si>
  <si>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</si>
  <si>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</si>
  <si>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</si>
  <si>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</si>
  <si>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</si>
  <si>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</si>
  <si>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</si>
  <si>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</si>
  <si>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</si>
  <si>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</si>
  <si>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</si>
  <si>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</si>
  <si>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</si>
  <si>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</si>
  <si>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</si>
  <si>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</si>
  <si>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</si>
  <si>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</si>
  <si>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</si>
  <si>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</si>
  <si>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</si>
  <si>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Preferred Stock Dividends</t>
  </si>
  <si>
    <t>118.29.c</t>
  </si>
  <si>
    <t>Note 2.  Interest on Debt to Associated Companies (FERC 430) will be populated with interest related to Long-Term Debt only.</t>
  </si>
  <si>
    <t>COST OF CAPITAL</t>
  </si>
  <si>
    <t>Recovery Period Months *</t>
  </si>
  <si>
    <t>Check Sum Appendix A Line 3</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</si>
  <si>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</si>
  <si>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Carrying costs equal to the weighted cost of capital on the balance of the regulatory asset will accrue until the rate is charged to customers</t>
  </si>
  <si>
    <t xml:space="preserve">DEPRECIATION EXPENSE </t>
  </si>
  <si>
    <t>PBOP Adjustment for Appendix A, Line 44</t>
  </si>
  <si>
    <t>Total  (sum lines 24-26)</t>
  </si>
  <si>
    <t>Return and Income Taxes with 100 basis point increase in ROE</t>
  </si>
  <si>
    <t>Return and Income Taxes with 100 basis point increase in  ROE</t>
  </si>
  <si>
    <t>Attachment 10</t>
  </si>
  <si>
    <t xml:space="preserve">   to FASB 106 or 109.  The formula uses the stated average of the beginning and end of year balances to prorate ADIT to comply with IRS normalization rules.  Balance of Account 255</t>
  </si>
  <si>
    <t>Central Hudson G&amp;E</t>
  </si>
  <si>
    <t>Consolidated Edison</t>
  </si>
  <si>
    <t>NY State E&amp;G</t>
  </si>
  <si>
    <t>Rochester G&amp;E</t>
  </si>
  <si>
    <t xml:space="preserve">Total  </t>
  </si>
  <si>
    <t xml:space="preserve">  Common Stock  </t>
  </si>
  <si>
    <t>Effect of 1% Increase in the Equity Ratio</t>
  </si>
  <si>
    <t>Return and Income Taxes with 1% Increase in the Equity Ratio</t>
  </si>
  <si>
    <t>Difference between Base ROE and 1% Increase in the Equity Ratio</t>
  </si>
  <si>
    <t>Impact of Equity Component of Capital Structure(Col (b) x (i) x Line 62</t>
  </si>
  <si>
    <t>Safety advertising consists of any advertising whose primary purpose is to educate the recipient as to what is safe or is not safe.</t>
  </si>
  <si>
    <t>Outreach advertising consists of advertising whose primary purpose is to attract the attention of the recipient about a transmission related issue</t>
  </si>
  <si>
    <t>Siting advertising consists of advertising whose primary purpose is to inform the recipient about locating transmission facilities</t>
  </si>
  <si>
    <t>Education advertising consists of any advertising whose primary purpose is to educate the recipient as about transmission related facts or issues</t>
  </si>
  <si>
    <t>Lobbying expenses are not allowed to be included in account 930.1</t>
  </si>
  <si>
    <t>Calculation of Intangible Accumulated Amortization</t>
  </si>
  <si>
    <t>Accumulated Intangible Amortization</t>
  </si>
  <si>
    <t>Total Accumulated Depreciation and Amortization</t>
  </si>
  <si>
    <t>(Attach 10)  (Note L)</t>
  </si>
  <si>
    <t>(Attach 10) (Note K)</t>
  </si>
  <si>
    <t>Company Records</t>
  </si>
  <si>
    <t>Amort Exp in Formula Rate**            (f) x (g)</t>
  </si>
  <si>
    <t xml:space="preserve">**All amortizations of the Regulatory Asset are to be booked to Account 566 </t>
  </si>
  <si>
    <t>5. If the item giving rise to the ADIT is not included in the formula, the associated ADIT amount shall be excluded</t>
  </si>
  <si>
    <t>These depreciation and amortization rates will not change absent the appropriate filing at FERC.</t>
  </si>
  <si>
    <t>(Attach 3, line 243)</t>
  </si>
  <si>
    <t>Amortization Expense</t>
  </si>
  <si>
    <t>Weighting</t>
  </si>
  <si>
    <t>Result</t>
  </si>
  <si>
    <t>BASE RETURN CALCULATION:</t>
  </si>
  <si>
    <t>Sum lines 7 and 17</t>
  </si>
  <si>
    <t>Line 18 / line 19</t>
  </si>
  <si>
    <t>Line 21</t>
  </si>
  <si>
    <t>Sum lines 27 and 37</t>
  </si>
  <si>
    <t>Line 38 / line 39</t>
  </si>
  <si>
    <t>Results</t>
  </si>
  <si>
    <t>Total  (sum lines 44-46)</t>
  </si>
  <si>
    <t>Sum lines 48 and 58</t>
  </si>
  <si>
    <t>Line 59 / line 60</t>
  </si>
  <si>
    <t>Line 61 - Line 20</t>
  </si>
  <si>
    <t>Net Investment                                                                      (Note A)</t>
  </si>
  <si>
    <t>Attachment 5 - Financing Costs  for Long Term Debt using the Internal Rate of Return Methodology (Note 13)</t>
  </si>
  <si>
    <t>1/4 * Interest Rate from Line 16 x Col. E prior quarter and Principal repayment</t>
  </si>
  <si>
    <t xml:space="preserve">(line 1/1000 less Col. E prior quarter)*line 13/4 +line 12/4000+line 11/4000 </t>
  </si>
  <si>
    <t>2.  The IRR is a discount rate that makes the net present value of a series of cash flows equal to zero.  The IRR equation is shown on line 4.</t>
  </si>
  <si>
    <t xml:space="preserve">4.  Lines 5 through 13 include the fees associated with the loan.  They are estimated based on current bank condition and are updated with the actual fees </t>
  </si>
  <si>
    <t xml:space="preserve">5.  The estimate of the average 3 month Libor forward rate for the year on line 14 is that published by Bloomberg Finance L.P. during August of the prior year and is trued-up to actual </t>
  </si>
  <si>
    <t>9. Table 5, Col F calculates the interest on the principle drawn down to date based on the applicable interest on line 16</t>
  </si>
  <si>
    <t xml:space="preserve">10.  Table 5, Col. G is the total origination fees in line 10 and is input in the first quarter that a portion of the loan in drawn </t>
  </si>
  <si>
    <t>12</t>
  </si>
  <si>
    <t>13</t>
  </si>
  <si>
    <t>14</t>
  </si>
  <si>
    <t>15</t>
  </si>
  <si>
    <t>16</t>
  </si>
  <si>
    <t>17</t>
  </si>
  <si>
    <t>19</t>
  </si>
  <si>
    <t>20</t>
  </si>
  <si>
    <t>21</t>
  </si>
  <si>
    <t>22</t>
  </si>
  <si>
    <t>23</t>
  </si>
  <si>
    <t>24</t>
  </si>
  <si>
    <t>25</t>
  </si>
  <si>
    <t>26</t>
  </si>
  <si>
    <t>27</t>
  </si>
  <si>
    <t>28</t>
  </si>
  <si>
    <t>30</t>
  </si>
  <si>
    <t>31</t>
  </si>
  <si>
    <t>32</t>
  </si>
  <si>
    <t>33</t>
  </si>
  <si>
    <t>34</t>
  </si>
  <si>
    <t>35</t>
  </si>
  <si>
    <t>36</t>
  </si>
  <si>
    <t>37</t>
  </si>
  <si>
    <t>8</t>
  </si>
  <si>
    <t>38</t>
  </si>
  <si>
    <t>10</t>
  </si>
  <si>
    <t>11</t>
  </si>
  <si>
    <t>18</t>
  </si>
  <si>
    <t>22a</t>
  </si>
  <si>
    <t>22b</t>
  </si>
  <si>
    <t>22c</t>
  </si>
  <si>
    <t>29</t>
  </si>
  <si>
    <t>33a</t>
  </si>
  <si>
    <t>33b</t>
  </si>
  <si>
    <t>33c</t>
  </si>
  <si>
    <t>39</t>
  </si>
  <si>
    <t>40</t>
  </si>
  <si>
    <t>41</t>
  </si>
  <si>
    <t>42</t>
  </si>
  <si>
    <t>20a</t>
  </si>
  <si>
    <t>20b</t>
  </si>
  <si>
    <t>20c</t>
  </si>
  <si>
    <t>31a</t>
  </si>
  <si>
    <t>31b</t>
  </si>
  <si>
    <t>dissimilar items with amounts exceeding $100,000 will be listed separately.  For ADIT directly related to project depreciation or CWIP, the balance must shown in a separate row for each project.</t>
  </si>
  <si>
    <t>Attachment 5</t>
  </si>
  <si>
    <t>(Attach 3, line 189)</t>
  </si>
  <si>
    <t>(Attach 10, line 2)</t>
  </si>
  <si>
    <t>(Attachment 3, line 175)</t>
  </si>
  <si>
    <t xml:space="preserve">Transmission plant included in OATT Ancillary Services and not otherwise excluded </t>
  </si>
  <si>
    <t>(Attach 3, lines 249 &amp; 270 or Attach 5) (Note G)</t>
  </si>
  <si>
    <t>(Attachment 3, line 257)</t>
  </si>
  <si>
    <t>(Attachment 3, lines 251 &amp; 273)</t>
  </si>
  <si>
    <t>Non-incentive Investments from Attachment 4 (Note N)</t>
  </si>
  <si>
    <t>Incentive Investments from Attachment 4 (Note N)</t>
  </si>
  <si>
    <t>Line 42 removes EPRI Annual Membership Dues listed in Form 1 at 353._.f (enter FN1 line #),  </t>
  </si>
  <si>
    <t>any  EPRI Lobbying expenses included in line 42 of the template and all Regulatory Commission Expenses itemized at 351.h</t>
  </si>
  <si>
    <t>Line 42 removes all advertising  included in Account 930.1, except safety, education or out-reach related advertising</t>
  </si>
  <si>
    <t>Line 43 reflects all Regulatory Commission Expenses directly related to transmission service, RTO filings, or transmission siting itemized at 351.h</t>
  </si>
  <si>
    <t>Total Regulatory Asset in Rate Base (sum lines 1a-1x):</t>
  </si>
  <si>
    <t>Total Abandoned Plant in Rate Base (sum lines 3a-3x):</t>
  </si>
  <si>
    <t>Total LHFU in rate base (sum lines 5a-5x):</t>
  </si>
  <si>
    <t>Total  (sum lines 7a-7x)</t>
  </si>
  <si>
    <t>(sum lines 13a-13x)</t>
  </si>
  <si>
    <t>Average of Columns (d) Through (p)</t>
  </si>
  <si>
    <t>Account 454 - Rent from Electric Property  (300.19.b)</t>
  </si>
  <si>
    <t>Account 456 (including 456.1) (300.21.b and 300.22.b)</t>
  </si>
  <si>
    <t>Attachment 10, line 2, col. (v)</t>
  </si>
  <si>
    <t>Attachment 10, line 2, col. (h)</t>
  </si>
  <si>
    <t>170a</t>
  </si>
  <si>
    <t>(Attach 3, line 170a)</t>
  </si>
  <si>
    <t xml:space="preserve">(Attach 10)  </t>
  </si>
  <si>
    <t>EPRI &amp; EEI Costs to be Excluded</t>
  </si>
  <si>
    <t>Numbering continues from Attachment 2</t>
  </si>
  <si>
    <t>100 Basis Point Incentive ROE and Income Taxes Carrying Charge</t>
  </si>
  <si>
    <t xml:space="preserve">Note 1: Revenue requirements billed is input, source data are the invoices from NYISO.  The amounts exclude any true ups or prior period adjustments. </t>
  </si>
  <si>
    <t>Actual Revenue Requirement (Note 2)</t>
  </si>
  <si>
    <t>Revenue Requirement Billed (Note 1)</t>
  </si>
  <si>
    <t xml:space="preserve"> 18 35.19 (a)</t>
  </si>
  <si>
    <t>Pursuant to</t>
  </si>
  <si>
    <t>18 C.F.R. Section</t>
  </si>
  <si>
    <t xml:space="preserve">Source </t>
  </si>
  <si>
    <t xml:space="preserve">The total </t>
  </si>
  <si>
    <t>Total  (sum lines 11a-11x) ties to p207.5.g</t>
  </si>
  <si>
    <t>Niagara Mohawk</t>
  </si>
  <si>
    <t>112.19 c, d enter negative</t>
  </si>
  <si>
    <t>ROE Base (From Appendix A, line 93)</t>
  </si>
  <si>
    <t>(Appendix A, Line 93)</t>
  </si>
  <si>
    <t>(Appendix A, Line 91)</t>
  </si>
  <si>
    <t>(Appendix A, Line 92)</t>
  </si>
  <si>
    <t>(line 3)</t>
  </si>
  <si>
    <t>(line 4)</t>
  </si>
  <si>
    <t xml:space="preserve">  Common Stock</t>
  </si>
  <si>
    <t>(line 5 plus 1% in equity ratio))</t>
  </si>
  <si>
    <t>(line 3 minus 1% in equity ratio)</t>
  </si>
  <si>
    <t>Equity % in Capital Structure (% above base %, -% below base %)(1 equals 1%)</t>
  </si>
  <si>
    <t>After the completion of construction, the  cost of debt will be calculated pursuant to Attachment 3</t>
  </si>
  <si>
    <t xml:space="preserve">The capital structure will be the actual capital structure up to 53% equity.  Lines 93 will be capped at 53%  equity. If the actual equity ratio exceeds 53%, the common stock ratio will be reset to 53% and the debt ratio will be equal to 1 minus sum of the preferred stock ratio and common stock ratio.        </t>
  </si>
  <si>
    <t>13.  Prior to obtaining long term debt, the cost of debt, will be 3.28%.  If NY Transco obtains project financing, the long term debt rate will be determined using the methodology in Attachment 5 and Attachment 5 contains a hypothetical example of the internal rate of return methodology; the methodology will be applied to actual amounts for use in Attachment A.  After the first project is placed into service, NY Transco will use the its actual cost of long term debt determined in Attachment 3.    The capital structure will be the actual capital structure up to 53% equity.</t>
  </si>
  <si>
    <t>dissimilar items with amounts exceeding $100,000 will be listed separately.  For ADIT directly related to project depreciation or CWIP, the balance must be shown in a separate row for each project.</t>
  </si>
  <si>
    <t>Line 41- Line 20</t>
  </si>
  <si>
    <t>31c</t>
  </si>
  <si>
    <t>Line 47 x line 42</t>
  </si>
  <si>
    <t>66a</t>
  </si>
  <si>
    <t>66b</t>
  </si>
  <si>
    <t>66c</t>
  </si>
  <si>
    <t>All Accounts</t>
  </si>
  <si>
    <t>PRODUCTION PLANT</t>
  </si>
  <si>
    <t>DISTRIBUTION PLANT</t>
  </si>
  <si>
    <t xml:space="preserve">     T=1 - {[(1 - SIT) * (1 - FIT)] / (1 - SIT * FIT * p)} =  (Appendix A, line 61)</t>
  </si>
  <si>
    <t>Amortized Investment Tax Credit (line 14)</t>
  </si>
  <si>
    <t>Source of Total Column</t>
  </si>
  <si>
    <t>Development of Base Carrying charge and Summary of Incentive and Non-Incentive Investments</t>
  </si>
  <si>
    <t>The table below  breaks out the total revenue requirement on Appendix A separately  for each investment.  The total of Column (p) must equal the amount shown on Appendix A, Line 3.</t>
  </si>
  <si>
    <t>ROE Authorized by FERC (Note C)</t>
  </si>
  <si>
    <t>Expense Allocator    (line 64)</t>
  </si>
  <si>
    <t>Base Return and Tax (Line 65 x Col (b)</t>
  </si>
  <si>
    <t>O&amp;M, Taxes Other than Income                  (Col. (l) x Col. (n)</t>
  </si>
  <si>
    <t>Total Revenues (Col. (h) + (j) + (k) +(n) +(o))</t>
  </si>
  <si>
    <t>Base Carrying Charge (used in Attach 4, Line 65)</t>
  </si>
  <si>
    <t>Index</t>
  </si>
  <si>
    <t>Attachment 1</t>
  </si>
  <si>
    <t>Attachment 2</t>
  </si>
  <si>
    <t>Attachment 3</t>
  </si>
  <si>
    <t>Attachment 8</t>
  </si>
  <si>
    <t>Attachment 9</t>
  </si>
  <si>
    <t>Main body of the Formula Rate</t>
  </si>
  <si>
    <t>Detail of the Revenue Credits</t>
  </si>
  <si>
    <t>Cost Support Detail</t>
  </si>
  <si>
    <t>Attachment 6a and 6b</t>
  </si>
  <si>
    <t>Detail of the Accumulated Deferred Income Tax Balances</t>
  </si>
  <si>
    <t>True-Up calculations</t>
  </si>
  <si>
    <t>Depreciation Rates</t>
  </si>
  <si>
    <t>Workpapers</t>
  </si>
  <si>
    <t xml:space="preserve">Calculations showing the revenue requirement by Investment, including any Incentives, </t>
  </si>
  <si>
    <t xml:space="preserve">   The Excel ™ formula on line 2 is :  (round(XIRR(first quarter of loan Col A of Table 5:last quarter of loan Col A of Table 5, first quarter of loan Col I of Table 5: last quarter of loan Col I of Table 5, 8%),4))</t>
  </si>
  <si>
    <t>ADIT-282</t>
  </si>
  <si>
    <t xml:space="preserve">an interest rate of 3.85% from Table 4 of Attachment 5 will be used and will not be trued up.  Attachment 5 contains an estimate of the internal rate of return methodology; the methodology </t>
  </si>
  <si>
    <t>Return and Taxes</t>
  </si>
  <si>
    <t/>
  </si>
  <si>
    <t>(Lines 69 &amp; 71)</t>
  </si>
  <si>
    <t>Net Transmission Plant in Service</t>
  </si>
  <si>
    <t>[Appendix A, lines 45 and 59, less Appendix A, line 44b / Gross Transmission Plant In Service Column (l)] (Note B)</t>
  </si>
  <si>
    <t>MTA</t>
  </si>
  <si>
    <t>NYC</t>
  </si>
  <si>
    <t>National Grid</t>
  </si>
  <si>
    <t>Orange &amp; Rockland</t>
  </si>
  <si>
    <t xml:space="preserve">  Tax Reform</t>
  </si>
  <si>
    <t>(Attach 11a, line 8)</t>
  </si>
  <si>
    <t>Transactions between NY Transco and any entity that is associated (affiliated) with NY Transco must be reported on page 429 of the Form No. 1.  The chart below is to include all charges to the NY Transco by an affiliate, by Affiliate and by FERC account number</t>
  </si>
  <si>
    <t>`</t>
  </si>
  <si>
    <t>These amounts are then used to calculate the actual increase in  revenue in the table below (starting on line 66) associated with the actual incentive authorized by the Commission</t>
  </si>
  <si>
    <t>Amortized Investment Tax Credit (Attachment 4, line 14)</t>
  </si>
  <si>
    <t>11d</t>
  </si>
  <si>
    <t>11e</t>
  </si>
  <si>
    <t>33d</t>
  </si>
  <si>
    <t>33e</t>
  </si>
  <si>
    <t>31d</t>
  </si>
  <si>
    <t>31e</t>
  </si>
  <si>
    <t xml:space="preserve"> Utilizing Appendix A Data</t>
  </si>
  <si>
    <t>Hurley Avenue SDU</t>
  </si>
  <si>
    <t>June 30</t>
  </si>
  <si>
    <t>July 31</t>
  </si>
  <si>
    <t>Jan 31</t>
  </si>
  <si>
    <t>Feb 28</t>
  </si>
  <si>
    <t>Mar 31</t>
  </si>
  <si>
    <t>Apr 30</t>
  </si>
  <si>
    <t>Smart Wire Device</t>
  </si>
  <si>
    <t xml:space="preserve">Note 1:  The Contribution in Aid of Construction (CIAC) made for this project is assumed to be applied to offset all </t>
  </si>
  <si>
    <t>purposes of calculating rate base and depreciation to be recovered.</t>
  </si>
  <si>
    <t>Cost of removal</t>
  </si>
  <si>
    <t>MACRS for plant additions</t>
  </si>
  <si>
    <t xml:space="preserve">Preferred Stock </t>
  </si>
  <si>
    <t>Source</t>
  </si>
  <si>
    <t xml:space="preserve">March </t>
  </si>
  <si>
    <t xml:space="preserve">Regulatory Assets </t>
  </si>
  <si>
    <t>COR</t>
  </si>
  <si>
    <t>Injuries &amp; Damages Reserve 112.27.d</t>
  </si>
  <si>
    <t xml:space="preserve">336.7.f </t>
  </si>
  <si>
    <t xml:space="preserve">336.1.f + 336.10.f </t>
  </si>
  <si>
    <t>M</t>
  </si>
  <si>
    <t>Balances Include Asset Retirement Costs</t>
  </si>
  <si>
    <t>321.116.b</t>
  </si>
  <si>
    <t>321.99.b &amp; 87.b to 94.b</t>
  </si>
  <si>
    <t>323.205.b</t>
  </si>
  <si>
    <t>321.100.b</t>
  </si>
  <si>
    <t>263.14.i +263.26.i</t>
  </si>
  <si>
    <t>263.15.i</t>
  </si>
  <si>
    <t>Plus CIAC Reveived (O&amp;M, A&amp;G and Taxes other than income would be on full amount)</t>
  </si>
  <si>
    <t>Total Adjusted Transmission Plant</t>
  </si>
  <si>
    <t>Total Gross Plant</t>
  </si>
  <si>
    <t>AGP=</t>
  </si>
  <si>
    <t>AGP</t>
  </si>
  <si>
    <t xml:space="preserve">Qtr 3 (Previous Year) </t>
  </si>
  <si>
    <t>ADJUSTED TRANSMISSION PLANT INCLUDED IN RTO RATES</t>
  </si>
  <si>
    <t>ADJUSTED  PLANT INCLUDED IN RTO RATES</t>
  </si>
  <si>
    <t>AEP=</t>
  </si>
  <si>
    <t>AEP</t>
  </si>
  <si>
    <t>Attachment 9 - Workpapers</t>
  </si>
  <si>
    <t>Attachment 8 - Depreciation and Amortization Rates</t>
  </si>
  <si>
    <t xml:space="preserve">The calculations below calculate that additional revenue requirement for 50 basis points of ROE and 0.5 percent change in the equity component of the capital structure. </t>
  </si>
  <si>
    <t xml:space="preserve">The use of the 50 basis point calculations per settlement discussions. </t>
  </si>
  <si>
    <t xml:space="preserve">50 Basis Point Incentive Return impact on </t>
  </si>
  <si>
    <t>(line 5 plus 50 basis points)</t>
  </si>
  <si>
    <t>50 Basis Point Incentive Return multiplied by Rate Base (line 21 * line 26)</t>
  </si>
  <si>
    <t>Difference in Return and Income Taxes between Base ROE and 50 Basis Point Incentive</t>
  </si>
  <si>
    <t>50 Basis Point Incentive Return</t>
  </si>
  <si>
    <t>For the 12 months ended 5/31/24</t>
  </si>
  <si>
    <t>Calculated (1/8 * Line 45)</t>
  </si>
  <si>
    <t>Plus CIAC Received (O&amp;M, A&amp;G and Taxes other than income would be on full amount)</t>
  </si>
  <si>
    <t xml:space="preserve">January </t>
  </si>
  <si>
    <t>June 2023 to May 2024</t>
  </si>
  <si>
    <t>June 2024 to May 2025</t>
  </si>
  <si>
    <t>2023</t>
  </si>
  <si>
    <t>2024</t>
  </si>
  <si>
    <t>2026</t>
  </si>
  <si>
    <t>Note 2: The actual revenue requirement is input from Appenix A using actual data inputs from the FERC Form 1.  The amounts exclude any true-ups or prior period adjustments.</t>
  </si>
  <si>
    <t>Attachment 7 - True-Up Calculation</t>
  </si>
  <si>
    <t>Inputs</t>
  </si>
  <si>
    <t>Attachment Rents</t>
  </si>
  <si>
    <t>Retail Access</t>
  </si>
  <si>
    <t>NY-ISO Transactions</t>
  </si>
  <si>
    <t>Not included above</t>
  </si>
  <si>
    <t>Identified in Form 1 as being only transmission related or formula rate allocated to transmission</t>
  </si>
  <si>
    <t>Line 42 removes all EEI and EPRI research, development and demonstration expenses.</t>
  </si>
  <si>
    <t>The currently effective income tax rate,  where FIT is the Federal income tax rate; SIT is the State income tax rate, and p =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</si>
  <si>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 elected to utilize amortization of tax credits against taxable income, rather than book tax credits to Account No. 255 and reduce </t>
  </si>
  <si>
    <t>ROE will be supported in the original filing and no change in ROE may be made absent a filing with FERC under FPA Section 205 or 206.  The ROE cost rate was developed in a manner consistent with the Commission’s Order in Docket No. EL-11-66-001 plus a 50 basis point incentive adder for Central Hudson’s membership in NYISO.</t>
  </si>
  <si>
    <t>Unamortized Regulatory Assets, consisting of all expenses incurred but not included in CWIP prior to the date the rate is charged to customers, is included at line 28 and is zero.</t>
  </si>
  <si>
    <t>All transmission gross operating proerty except that related to the Hurley Avenue Substation</t>
  </si>
  <si>
    <t>PBOPs (not used by Central Hudson)</t>
  </si>
  <si>
    <t>Detail of Affiliate Charges Included in NY Transco's Books as Requested by Certain Parties to the Filing (not used by Central Hudson)</t>
  </si>
  <si>
    <t xml:space="preserve">Cloud SW </t>
  </si>
  <si>
    <t>Fiber Optics</t>
  </si>
  <si>
    <t>263.2.i +263.3.i + 263.8.i</t>
  </si>
  <si>
    <t>263.19.i +263.20.i</t>
  </si>
  <si>
    <t>Contribution in Aid of Construction</t>
  </si>
  <si>
    <t>To Be Included in the Formual Rate</t>
  </si>
  <si>
    <t>Electric Only</t>
  </si>
  <si>
    <t>May 2023</t>
  </si>
  <si>
    <t>13 Month Average</t>
  </si>
  <si>
    <t>Note:  for the projection, the prior year's actual balances will be used.  Electric only amounts</t>
  </si>
  <si>
    <t>Plant Allocator</t>
  </si>
  <si>
    <t>Transmission Plant Allocator</t>
  </si>
  <si>
    <t>FIT</t>
  </si>
  <si>
    <t xml:space="preserve">  Prepayments (Account 165) (electric only)</t>
  </si>
  <si>
    <t>Electric only</t>
  </si>
  <si>
    <t>Accumulated Depreciation</t>
  </si>
  <si>
    <t xml:space="preserve">Hurley </t>
  </si>
  <si>
    <t xml:space="preserve">May </t>
  </si>
  <si>
    <t>Janaury 2024</t>
  </si>
  <si>
    <t>Attachment 6a - Accumulated Deferred Income Taxes (ADIT) Worksheet</t>
  </si>
  <si>
    <t>Beginning of Rate Year</t>
  </si>
  <si>
    <t>Cost Rate</t>
  </si>
  <si>
    <t>Weighted Cost</t>
  </si>
  <si>
    <t>37a</t>
  </si>
  <si>
    <t>39a</t>
  </si>
  <si>
    <t>37b</t>
  </si>
  <si>
    <t>37c</t>
  </si>
  <si>
    <t>37x</t>
  </si>
  <si>
    <t>39b</t>
  </si>
  <si>
    <t>39c</t>
  </si>
  <si>
    <t>39e</t>
  </si>
  <si>
    <t>39d</t>
  </si>
  <si>
    <t>39f</t>
  </si>
  <si>
    <t>39g</t>
  </si>
  <si>
    <t>39h</t>
  </si>
  <si>
    <t>39i</t>
  </si>
  <si>
    <t>39j</t>
  </si>
  <si>
    <t>39k</t>
  </si>
  <si>
    <t>39l</t>
  </si>
  <si>
    <t>39m</t>
  </si>
  <si>
    <t>39n</t>
  </si>
  <si>
    <t>39o</t>
  </si>
  <si>
    <t>39p</t>
  </si>
  <si>
    <t>39q</t>
  </si>
  <si>
    <t>39r</t>
  </si>
  <si>
    <t>39s</t>
  </si>
  <si>
    <t>39t</t>
  </si>
  <si>
    <t>39u</t>
  </si>
  <si>
    <t>39v</t>
  </si>
  <si>
    <t>39w</t>
  </si>
  <si>
    <t>(Attach 2, line 91 and Workpaper, Line 36)</t>
  </si>
  <si>
    <t>(Attach 2, line 106)</t>
  </si>
  <si>
    <t>Related to Hurley Avenue Substation Project</t>
  </si>
  <si>
    <t>Related to Hurley Avernue Substation Project</t>
  </si>
  <si>
    <t>Tab 3</t>
  </si>
  <si>
    <t>For the Project Period June 2023 to May 2024</t>
  </si>
  <si>
    <t>Impact on Return</t>
  </si>
  <si>
    <t>Depreciation/ Amortization Expense</t>
  </si>
  <si>
    <t>The table below is not used by Central Hudson</t>
  </si>
  <si>
    <t>Not used by Central Hudson</t>
  </si>
  <si>
    <t>All other Transmission Assets besides the Hurley Ave Substation</t>
  </si>
  <si>
    <t>Monthly Plant and Accumulated Depreciation Balances</t>
  </si>
  <si>
    <t>Cost of Debt Should Construction Financing be Obtained</t>
  </si>
  <si>
    <t>p204-207, l. 58</t>
  </si>
  <si>
    <t>p204-207, l. 75</t>
  </si>
  <si>
    <t>p204-207, l. 5</t>
  </si>
  <si>
    <t>p204-207, l. 99</t>
  </si>
  <si>
    <t>p204-207, l. 46</t>
  </si>
  <si>
    <t>p219.25c</t>
  </si>
  <si>
    <t>p219.26.c</t>
  </si>
  <si>
    <t>p219.28.c</t>
  </si>
  <si>
    <t>p219.20-24.c</t>
  </si>
  <si>
    <t>FF1 p. 227</t>
  </si>
  <si>
    <t>The Total column is included in a footnote to FERC Form No.1 on page 204-207.</t>
  </si>
  <si>
    <t>The amounts are included in a footnote to FERC Form No.1 on page 219.</t>
  </si>
  <si>
    <t>HURLEY AVENUE PROJECT - SYSTEM DELIVERABILITY UPGRADE</t>
  </si>
  <si>
    <t xml:space="preserve">transmission plant categories with the remaining balance in account 356.3 for the new Smart Wire Devices for the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</si>
</sst>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000000%"/>
    <numFmt numFmtId="178" formatCode="_(* #,##0.000_);_(* \(#,##0.000\);_(* &quot;-&quot;??_);_(@_)"/>
    <numFmt numFmtId="179" formatCode="0.0000%"/>
    <numFmt numFmtId="180" formatCode="_(* #,##0.0000_);_(* \(#,##0.0000\);_(* &quot;-&quot;??_);_(@_)"/>
    <numFmt numFmtId="181" formatCode="_(* #,##0.000_);_(* \(#,##0.000\);_(* &quot;-&quot;???_);_(@_)"/>
    <numFmt numFmtId="182" formatCode="_(* #,##0.0_);_(* \(#,##0.0\);_(* &quot;-&quot;??_);_(@_)"/>
    <numFmt numFmtId="183" formatCode="#,##0.0_);\(#,##0.0\)"/>
    <numFmt numFmtId="184" formatCode="#,##0.0\ ;\(#,##0.0\)"/>
    <numFmt numFmtId="185" formatCode="#,##0_);[Red]\(#,##0\);&quot;-&quot;"/>
    <numFmt numFmtId="186" formatCode="_-* #,##0_-;\-* #,##0_-;_-* &quot;-&quot;_-;_-@_-"/>
    <numFmt numFmtId="187" formatCode="_-* #,##0.00_-;\-* #,##0.00_-;_-* &quot;-&quot;??_-;_-@_-"/>
    <numFmt numFmtId="188" formatCode="_(* #,##0_);_(* \(#,##0\);_(* &quot;0&quot;_);_(@_)"/>
    <numFmt numFmtId="189" formatCode="&quot;$&quot;_(#,##0.00_);&quot;$&quot;\(#,##0.00\)"/>
    <numFmt numFmtId="190" formatCode="_-&quot;$&quot;* #,##0.0_-;\-&quot;$&quot;* #,##0.0_-;_-&quot;$&quot;* &quot;-&quot;??_-;_-@_-"/>
    <numFmt numFmtId="191" formatCode="#,##0.0_)\x;\(#,##0.0\)\x"/>
    <numFmt numFmtId="192" formatCode="#,##0.0_)_x;\(#,##0.0\)_x"/>
    <numFmt numFmtId="193" formatCode="0.0_)\%;\(0.0\)\%"/>
    <numFmt numFmtId="194" formatCode="_-* #,##0.000_-;\-* #,##0.000_-;_-* &quot;-&quot;??_-;_-@_-"/>
    <numFmt numFmtId="195" formatCode="#,##0.0_)_%;\(#,##0.0\)_%"/>
    <numFmt numFmtId="196" formatCode="_(&quot;$&quot;* #,##0.0_);_(&quot;$&quot;* \(#,##0.0\);_(&quot;$&quot;* &quot;-&quot;?_);_(@_)"/>
    <numFmt numFmtId="197" formatCode="\£\ #,##0_);[Red]\(\£\ #,##0\)"/>
    <numFmt numFmtId="198" formatCode="#,##0.00;[Red]\(#,##0.00\);\-"/>
    <numFmt numFmtId="199" formatCode="\¥\ #,##0_);[Red]\(\¥\ #,##0\)"/>
    <numFmt numFmtId="200" formatCode="#,##0;\(#,##0\)"/>
    <numFmt numFmtId="201" formatCode="0;[Red]\(0\);\-"/>
    <numFmt numFmtId="202" formatCode="#,##0;[Red]\(#,##0\);\-"/>
    <numFmt numFmtId="203" formatCode="0.0;\(0.0\);\-"/>
    <numFmt numFmtId="204" formatCode="0.00;\(0.00\);\-"/>
    <numFmt numFmtId="205" formatCode="0.00;[Red]\(0.00\);\-"/>
    <numFmt numFmtId="206" formatCode="0.000;\(0.000\);\-"/>
    <numFmt numFmtId="207" formatCode="m\-d\-yy"/>
    <numFmt numFmtId="208" formatCode="_ &quot;R&quot;\ * #,##0_ ;_ &quot;R&quot;\ * \-#,##0_ ;_ &quot;R&quot;\ * &quot;-&quot;_ ;_ @_ "/>
    <numFmt numFmtId="209" formatCode="dd/mm/yyyy"/>
    <numFmt numFmtId="210" formatCode="#,##0_-;\(#,##0\);&quot;-&quot;"/>
    <numFmt numFmtId="211" formatCode="0.0\ \x;\(0.0\)\x;&quot;-&quot;"/>
    <numFmt numFmtId="212" formatCode="0.0%;\(0.0\)%"/>
    <numFmt numFmtId="213" formatCode="\•\ \ @"/>
    <numFmt numFmtId="214" formatCode="_-* #,##0_-;* \(#,##0\)_-;_-@_-"/>
    <numFmt numFmtId="215" formatCode="0.000_)"/>
    <numFmt numFmtId="216" formatCode="#,##0.0;[Red]\(#,##0.0\);\-"/>
    <numFmt numFmtId="217" formatCode="#,##0.000;[Red]\(#,##0.000\);\-"/>
    <numFmt numFmtId="218" formatCode="#,##0_%_);\(#,##0\)_%;**;@_%_)"/>
    <numFmt numFmtId="219" formatCode="0.0_x_)_);&quot;NM&quot;_x_)_);0.0_x_)_);@_%_)"/>
    <numFmt numFmtId="220" formatCode="0.0\ \x;\(0.0\ \x\)"/>
    <numFmt numFmtId="221" formatCode="0.0_ ;\(0.0\)_ \ "/>
    <numFmt numFmtId="222" formatCode="General_)"/>
    <numFmt numFmtId="223" formatCode="m/d"/>
    <numFmt numFmtId="224" formatCode="0.0\ \ \x\ ;\(0.0\)\ \ \x\ "/>
    <numFmt numFmtId="225" formatCode="\ \ _•\–\ \ \ \ @"/>
    <numFmt numFmtId="226" formatCode="&quot;$&quot;#,##0.0;[Red]&quot;$&quot;#,##0.0"/>
    <numFmt numFmtId="227" formatCode="d\-mmm\-yyyy"/>
    <numFmt numFmtId="228" formatCode="0.00,,;[Red]\(0.00,,\);\-"/>
    <numFmt numFmtId="229" formatCode="_-[$€-2]* #,##0.00_-;\-[$€-2]* #,##0.00_-;_-[$€-2]* &quot;-&quot;??_-"/>
    <numFmt numFmtId="230" formatCode="[Magenta]&quot;Err&quot;;[Magenta]&quot;Err&quot;;[Blue]&quot;OK&quot;"/>
    <numFmt numFmtId="231" formatCode="General\ &quot;.&quot;"/>
    <numFmt numFmtId="232" formatCode="#,##0_);[Red]\(#,##0\);\-_)"/>
    <numFmt numFmtId="233" formatCode="0.0_)%;[Red]\(0.0%\);0.0_)%"/>
    <numFmt numFmtId="234" formatCode="[Red][&gt;1]&quot;&gt;100 %&quot;;[Red]\(0.0%\);0.0_)%"/>
    <numFmt numFmtId="235" formatCode="0.00_)"/>
    <numFmt numFmtId="236" formatCode="_-* #,##0_-;\-* #,##0_-;_-* &quot;-&quot;??_-;_-@_-"/>
    <numFmt numFmtId="237" formatCode="0.0\x"/>
    <numFmt numFmtId="238" formatCode="0.0\ \x"/>
    <numFmt numFmtId="239" formatCode="0%_);\(0%\);0%_);@_%_)"/>
    <numFmt numFmtId="240" formatCode="[Blue]#,##0;[Red]\(#,##0\);\-"/>
    <numFmt numFmtId="241" formatCode="[Blue]#,##0.0;[Red]\(#,##0.0\);\-"/>
    <numFmt numFmtId="242" formatCode="[Blue]#,##0.00;[Red]\(#,##0.00\);\-"/>
    <numFmt numFmtId="243" formatCode="[Blue]#,##0.000;[Red]\(#,##0.000\);\-"/>
    <numFmt numFmtId="244" formatCode="#,##0.000_-;\(#,##0.000\);&quot;-&quot;"/>
    <numFmt numFmtId="245" formatCode="0.00%;[Red]\(0.00%\);\-"/>
    <numFmt numFmtId="246" formatCode="_-* #,##0.00%_-;* \(#,##0.00\)%_-;_-@_-"/>
    <numFmt numFmtId="247" formatCode="0.0\ \x\ ;\(0.0\)\ \x\ "/>
    <numFmt numFmtId="248" formatCode="0.0%;\(0.0%\);\-"/>
    <numFmt numFmtId="249" formatCode="0.00%;\(0.00%\);\-"/>
    <numFmt numFmtId="250" formatCode="000\-00\-0000\ "/>
    <numFmt numFmtId="251" formatCode="0____"/>
    <numFmt numFmtId="252" formatCode="_-&quot;£&quot;* #,##0_-;\-&quot;£&quot;* #,##0_-;_-&quot;£&quot;* &quot;-&quot;_-;_-@_-"/>
    <numFmt numFmtId="253" formatCode="_-&quot;£&quot;* #,##0.00_-;\-&quot;£&quot;* #,##0.00_-;_-&quot;£&quot;* &quot;-&quot;??_-;_-@_-"/>
    <numFmt numFmtId="254" formatCode="_(&quot;$&quot;* #,##0.0000_);_(&quot;$&quot;* \(#,##0.0000\);_(&quot;$&quot;* &quot;-&quot;??_);_(@_)"/>
    <numFmt numFmtId="255" formatCode="_(* #,##0.0_);_(* \(#,##0.0\);_(* &quot;-&quot;?_);_(@_)"/>
    <numFmt numFmtId="256" formatCode="_(* #,##0.00000_);_(* \(#,##0.00000\);_(* &quot;-&quot;??_);_(@_)"/>
    <numFmt numFmtId="257" formatCode="0.0"/>
  </numFmts>
  <fonts count="184">
    <font>
      <sz val="12"/>
      <name val="Arial MT"/>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sz val="12"/>
      <color indexed="17"/>
      <name val="Arial MT"/>
    </font>
    <font>
      <b/>
      <u/>
      <sz val="12"/>
      <name val="Arial"/>
      <family val="2"/>
    </font>
    <font>
      <sz val="12"/>
      <color indexed="10"/>
      <name val="Arial"/>
      <family val="2"/>
    </font>
    <font>
      <sz val="10"/>
      <name val="Arial MT"/>
    </font>
    <font>
      <sz val="14"/>
      <name val="Arial MT"/>
    </font>
    <font>
      <sz val="12"/>
      <name val="Times New Roman"/>
      <family val="1"/>
    </font>
    <font>
      <sz val="14"/>
      <name val="Times New Roman"/>
      <family val="1"/>
    </font>
    <font>
      <strike/>
      <sz val="12"/>
      <color indexed="10"/>
      <name val="Arial"/>
      <family val="2"/>
    </font>
    <font>
      <strike/>
      <sz val="12"/>
      <color indexed="10"/>
      <name val="Arial MT"/>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sz val="10"/>
      <color indexed="8"/>
      <name val="Arial"/>
      <family val="2"/>
    </font>
    <font>
      <b/>
      <u/>
      <sz val="12"/>
      <name val="Arial Narrow"/>
      <family val="2"/>
    </font>
    <font>
      <b/>
      <vertAlign val="superscript"/>
      <sz val="11"/>
      <name val="Arial"/>
      <family val="2"/>
    </font>
    <font>
      <sz val="16"/>
      <name val="Arial"/>
      <family val="2"/>
    </font>
    <font>
      <sz val="18"/>
      <name val="Arial"/>
      <family val="2"/>
    </font>
    <font>
      <sz val="10"/>
      <name val="Arial"/>
      <family val="2"/>
    </font>
    <font>
      <sz val="9"/>
      <color indexed="10"/>
      <name val="Arial"/>
      <family val="2"/>
    </font>
    <font>
      <sz val="12"/>
      <name val="Arial"/>
      <family val="2"/>
    </font>
    <font>
      <b/>
      <sz val="12"/>
      <name val="Arial"/>
      <family val="2"/>
    </font>
    <font>
      <sz val="8"/>
      <name val="Arial MT"/>
    </font>
    <font>
      <b/>
      <sz val="12"/>
      <name val="Arial MT"/>
    </font>
    <font>
      <b/>
      <sz val="14"/>
      <name val="Arial Narrow"/>
      <family val="2"/>
    </font>
    <font>
      <b/>
      <sz val="10"/>
      <color indexed="10"/>
      <name val="Arial"/>
      <family val="2"/>
    </font>
    <font>
      <sz val="10"/>
      <name val="Times New Roman"/>
      <family val="1"/>
    </font>
    <font>
      <sz val="14"/>
      <name val="Arial"/>
      <family val="2"/>
    </font>
    <font>
      <b/>
      <sz val="12"/>
      <name val="Times New Roman"/>
      <family val="1"/>
    </font>
    <font>
      <sz val="14"/>
      <name val="Arial Narrow"/>
      <family val="2"/>
    </font>
    <font>
      <sz val="11"/>
      <name val="Arial Narrow"/>
      <family val="2"/>
    </font>
    <font>
      <sz val="12"/>
      <color indexed="10"/>
      <name val="Arial Narrow"/>
      <family val="2"/>
    </font>
    <font>
      <sz val="12"/>
      <color indexed="12"/>
      <name val="Arial Narrow"/>
      <family val="2"/>
    </font>
    <font>
      <b/>
      <sz val="11"/>
      <color indexed="56"/>
      <name val="Arial"/>
      <family val="2"/>
    </font>
    <font>
      <b/>
      <sz val="16"/>
      <name val="Arial"/>
      <family val="2"/>
    </font>
    <font>
      <b/>
      <sz val="10"/>
      <name val="Times New Roman"/>
      <family val="1"/>
    </font>
    <font>
      <sz val="10"/>
      <name val="Arial"/>
      <family val="2"/>
    </font>
    <font>
      <sz val="12"/>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8"/>
      <name val="Calibri"/>
      <family val="2"/>
    </font>
    <font>
      <sz val="11"/>
      <color indexed="9"/>
      <name val="Calibri"/>
      <family val="2"/>
    </font>
    <font>
      <b/>
      <sz val="10"/>
      <name val="Arial"/>
      <family val="2"/>
    </font>
    <font>
      <sz val="10"/>
      <name val="Times New Roman"/>
      <family val="1"/>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sz val="10"/>
      <name val="Helv"/>
    </font>
    <font>
      <b/>
      <sz val="11"/>
      <color indexed="8"/>
      <name val="Calibri"/>
      <family val="2"/>
    </font>
    <font>
      <sz val="10"/>
      <color indexed="16"/>
      <name val="MS Serif"/>
      <family val="1"/>
    </font>
    <font>
      <sz val="8"/>
      <name val="Arial"/>
      <family val="2"/>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amily val="2"/>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amily val="2"/>
    </font>
    <font>
      <i/>
      <sz val="10"/>
      <color indexed="10"/>
      <name val="Arial"/>
      <family val="2"/>
    </font>
    <font>
      <sz val="8"/>
      <name val="Helv"/>
    </font>
    <font>
      <sz val="10"/>
      <color indexed="8"/>
      <name val="Times New Roman"/>
      <family val="1"/>
    </font>
    <font>
      <sz val="9.5"/>
      <color indexed="23"/>
      <name val="Helvetica-Black"/>
      <family val="2"/>
    </font>
    <font>
      <b/>
      <sz val="12"/>
      <color indexed="8"/>
      <name val="Arial"/>
      <family val="2"/>
    </font>
    <font>
      <b/>
      <i/>
      <sz val="12"/>
      <color indexed="8"/>
      <name val="Arial"/>
      <family val="2"/>
    </font>
    <font>
      <sz val="12"/>
      <color indexed="8"/>
      <name val="Arial"/>
      <family val="2"/>
    </font>
    <font>
      <b/>
      <sz val="8"/>
      <color indexed="8"/>
      <name val="Arial"/>
      <family val="2"/>
    </font>
    <font>
      <sz val="10"/>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amily val="2"/>
    </font>
    <font>
      <b/>
      <sz val="18"/>
      <color indexed="62"/>
      <name val="Cambria"/>
      <family val="2"/>
    </font>
    <font>
      <sz val="10"/>
      <name val="MS Sans Serif"/>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amily val="2"/>
    </font>
    <font>
      <b/>
      <sz val="10"/>
      <name val="Palatino"/>
      <family val="1"/>
    </font>
    <font>
      <sz val="9"/>
      <name val="Helvetica-Black"/>
      <family val="2"/>
    </font>
    <font>
      <sz val="12"/>
      <color indexed="8"/>
      <name val="Palatino"/>
      <family val="1"/>
    </font>
    <font>
      <sz val="11"/>
      <color indexed="8"/>
      <name val="Helvetica-Black"/>
      <family val="2"/>
    </font>
    <font>
      <u/>
      <sz val="8"/>
      <color indexed="8"/>
      <name val="Arial"/>
      <family val="2"/>
    </font>
    <font>
      <sz val="8"/>
      <color indexed="12"/>
      <name val="Arial"/>
      <family val="2"/>
    </font>
    <font>
      <sz val="10"/>
      <name val="Corporate Mono"/>
    </font>
    <font>
      <b/>
      <sz val="16"/>
      <name val="Arial"/>
      <family val="2"/>
    </font>
    <font>
      <sz val="10"/>
      <color indexed="40"/>
      <name val="Times New Roman"/>
      <family val="1"/>
    </font>
    <font>
      <sz val="14"/>
      <color indexed="17"/>
      <name val="Arial"/>
      <family val="2"/>
    </font>
    <font>
      <sz val="14"/>
      <name val="Helv"/>
    </font>
    <font>
      <u/>
      <sz val="12"/>
      <name val="Arial Narrow"/>
      <family val="2"/>
    </font>
    <font>
      <b/>
      <sz val="12"/>
      <name val="Calibri"/>
      <family val="2"/>
    </font>
    <font>
      <sz val="11"/>
      <color theme="1"/>
      <name val="Calibri"/>
      <family val="2"/>
      <scheme val="minor"/>
    </font>
    <font>
      <u/>
      <sz val="12"/>
      <color theme="10"/>
      <name val="Arial MT"/>
    </font>
    <font>
      <sz val="11"/>
      <name val="Calibri"/>
      <family val="2"/>
      <scheme val="minor"/>
    </font>
    <font>
      <b/>
      <sz val="10"/>
      <color rgb="FFFF0000"/>
      <name val="Arial"/>
      <family val="2"/>
    </font>
    <font>
      <sz val="11"/>
      <color rgb="FF1F497D"/>
      <name val="Calibri"/>
      <family val="2"/>
    </font>
    <font>
      <sz val="14"/>
      <color rgb="FFFF0000"/>
      <name val="Arial Narrow"/>
      <family val="2"/>
    </font>
    <font>
      <sz val="10"/>
      <color theme="1"/>
      <name val="Arial"/>
      <family val="2"/>
    </font>
    <font>
      <sz val="9"/>
      <color rgb="FF000000"/>
      <name val="Verdana"/>
      <family val="2"/>
    </font>
    <font>
      <sz val="10"/>
      <color rgb="FFFF0000"/>
      <name val="Arial"/>
      <family val="2"/>
    </font>
    <font>
      <b/>
      <sz val="12"/>
      <color rgb="FFFF0000"/>
      <name val="Arial MT"/>
    </font>
    <font>
      <b/>
      <sz val="12"/>
      <color rgb="FF7030A0"/>
      <name val="Arial"/>
      <family val="2"/>
    </font>
    <font>
      <b/>
      <sz val="14"/>
      <color rgb="FF7030A0"/>
      <name val="Arial"/>
      <family val="2"/>
    </font>
    <font>
      <sz val="10"/>
      <color rgb="FF7030A0"/>
      <name val="Arial"/>
      <family val="2"/>
    </font>
    <font>
      <i/>
      <sz val="10"/>
      <color rgb="FF7030A0"/>
      <name val="Arial"/>
      <family val="2"/>
    </font>
    <font>
      <sz val="12"/>
      <color rgb="FF7030A0"/>
      <name val="Times New Roman"/>
      <family val="1"/>
    </font>
    <font>
      <b/>
      <sz val="12"/>
      <color rgb="FF7131A1"/>
      <name val="Arial"/>
      <family val="2"/>
    </font>
    <font>
      <sz val="10"/>
      <color rgb="FFFF0000"/>
      <name val="Times New Roman"/>
      <family val="1"/>
    </font>
    <font>
      <b/>
      <sz val="14"/>
      <color rgb="FF7030A0"/>
      <name val="Arial Narrow"/>
      <family val="2"/>
    </font>
    <font>
      <sz val="12"/>
      <color rgb="FFFF0000"/>
      <name val="Arial Narrow"/>
      <family val="2"/>
    </font>
    <font>
      <sz val="12"/>
      <color theme="1"/>
      <name val="Arial Narrow"/>
      <family val="2"/>
    </font>
    <font>
      <sz val="12"/>
      <color theme="1"/>
      <name val="Times New Roman"/>
      <family val="1"/>
    </font>
    <font>
      <sz val="8"/>
      <color theme="1"/>
      <name val="Arial"/>
      <family val="2"/>
    </font>
    <font>
      <u val="singleAccounting"/>
      <sz val="12"/>
      <name val="Arial MT"/>
    </font>
    <font>
      <b/>
      <sz val="12"/>
      <color indexed="12"/>
      <name val="Arial MT"/>
    </font>
    <font>
      <u val="singleAccounting"/>
      <sz val="14"/>
      <name val="Arial Narrow"/>
      <family val="2"/>
    </font>
  </fonts>
  <fills count="67">
    <fill>
      <patternFill patternType="none"/>
    </fill>
    <fill>
      <patternFill patternType="gray125"/>
    </fill>
    <fill>
      <patternFill patternType="solid">
        <fgColor indexed="45"/>
      </patternFill>
    </fill>
    <fill>
      <patternFill patternType="solid">
        <fgColor indexed="44"/>
      </patternFill>
    </fill>
    <fill>
      <patternFill patternType="solid">
        <fgColor indexed="1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14"/>
        <bgColor indexed="64"/>
      </patternFill>
    </fill>
    <fill>
      <patternFill patternType="solid">
        <fgColor indexed="26"/>
        <bgColor indexed="64"/>
      </patternFill>
    </fill>
    <fill>
      <patternFill patternType="solid">
        <fgColor indexed="26"/>
      </patternFill>
    </fill>
    <fill>
      <patternFill patternType="solid">
        <fgColor indexed="29"/>
        <bgColor indexed="64"/>
      </patternFill>
    </fill>
    <fill>
      <patternFill patternType="solid">
        <fgColor indexed="9"/>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54"/>
      </patternFill>
    </fill>
    <fill>
      <patternFill patternType="solid">
        <fgColor indexed="23"/>
      </patternFill>
    </fill>
    <fill>
      <patternFill patternType="solid">
        <fgColor indexed="40"/>
      </patternFill>
    </fill>
    <fill>
      <patternFill patternType="solid">
        <fgColor indexed="41"/>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solid">
        <fgColor indexed="26"/>
        <bgColor indexed="9"/>
      </patternFill>
    </fill>
    <fill>
      <patternFill patternType="lightGray"/>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
      <patternFill patternType="solid">
        <fgColor rgb="FFFF0000"/>
        <bgColor indexed="64"/>
      </patternFill>
    </fill>
    <fill>
      <patternFill patternType="solid">
        <fgColor rgb="FF92D050"/>
        <bgColor indexed="64"/>
      </patternFill>
    </fill>
  </fills>
  <borders count="73">
    <border>
      <left/>
      <right/>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top style="medium">
        <color indexed="64"/>
      </top>
      <bottom style="medium">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bottom/>
      <diagonal/>
    </border>
    <border>
      <left/>
      <right/>
      <top style="thin">
        <color indexed="64"/>
      </top>
      <bottom style="double">
        <color indexed="64"/>
      </bottom>
      <diagonal/>
    </border>
    <border>
      <left/>
      <right style="medium">
        <color indexed="64"/>
      </right>
      <top/>
      <bottom/>
      <diagonal/>
    </border>
    <border>
      <left/>
      <right/>
      <top/>
      <bottom style="double">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top style="thin">
        <color indexed="22"/>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26">
    <xf numFmtId="174" fontId="0" fillId="0" borderId="0" applyProtection="0"/>
    <xf numFmtId="184" fontId="11" fillId="0" borderId="0"/>
    <xf numFmtId="185" fontId="3" fillId="0" borderId="0"/>
    <xf numFmtId="184" fontId="11" fillId="0" borderId="0"/>
    <xf numFmtId="185" fontId="3" fillId="0" borderId="0"/>
    <xf numFmtId="0" fontId="75" fillId="0" borderId="0"/>
    <xf numFmtId="186" fontId="3" fillId="0" borderId="0" applyFont="0" applyFill="0" applyBorder="0" applyAlignment="0" applyProtection="0"/>
    <xf numFmtId="0" fontId="76" fillId="0" borderId="0" applyNumberFormat="0" applyFill="0" applyBorder="0" applyAlignment="0" applyProtection="0">
      <alignment vertical="top"/>
      <protection locked="0"/>
    </xf>
    <xf numFmtId="187" fontId="3" fillId="0" borderId="0" applyFont="0" applyFill="0" applyBorder="0" applyAlignment="0" applyProtection="0"/>
    <xf numFmtId="188" fontId="77" fillId="0" borderId="0">
      <alignment horizontal="right" vertical="center"/>
    </xf>
    <xf numFmtId="0" fontId="75" fillId="0" borderId="0"/>
    <xf numFmtId="0" fontId="75" fillId="0" borderId="0"/>
    <xf numFmtId="0" fontId="75" fillId="0" borderId="0" applyFont="0" applyFill="0" applyBorder="0" applyAlignment="0" applyProtection="0"/>
    <xf numFmtId="0" fontId="75" fillId="0" borderId="0"/>
    <xf numFmtId="0" fontId="78" fillId="0" borderId="0"/>
    <xf numFmtId="0" fontId="75" fillId="0" borderId="0"/>
    <xf numFmtId="183" fontId="75" fillId="0" borderId="0" applyFont="0" applyFill="0" applyBorder="0" applyAlignment="0" applyProtection="0"/>
    <xf numFmtId="0" fontId="11" fillId="0" borderId="0" applyFont="0" applyFill="0" applyBorder="0" applyAlignment="0" applyProtection="0"/>
    <xf numFmtId="183" fontId="75" fillId="0" borderId="0" applyFont="0" applyFill="0" applyBorder="0" applyAlignment="0" applyProtection="0"/>
    <xf numFmtId="189" fontId="75" fillId="0" borderId="0" applyFont="0" applyFill="0" applyBorder="0" applyAlignment="0" applyProtection="0"/>
    <xf numFmtId="0" fontId="11" fillId="0" borderId="0" applyFont="0" applyFill="0" applyBorder="0" applyAlignment="0" applyProtection="0"/>
    <xf numFmtId="190" fontId="3" fillId="0" borderId="0" applyFont="0" applyFill="0" applyBorder="0" applyAlignment="0" applyProtection="0"/>
    <xf numFmtId="189" fontId="75" fillId="0" borderId="0" applyFont="0" applyFill="0" applyBorder="0" applyAlignment="0" applyProtection="0"/>
    <xf numFmtId="190" fontId="3" fillId="0" borderId="0" applyFont="0" applyFill="0" applyBorder="0" applyAlignment="0" applyProtection="0"/>
    <xf numFmtId="39" fontId="75" fillId="0" borderId="0" applyFont="0" applyFill="0" applyBorder="0" applyAlignment="0" applyProtection="0"/>
    <xf numFmtId="0" fontId="11" fillId="0" borderId="0" applyFont="0" applyFill="0" applyBorder="0" applyAlignment="0" applyProtection="0"/>
    <xf numFmtId="39" fontId="75" fillId="0" borderId="0" applyFont="0" applyFill="0" applyBorder="0" applyAlignment="0" applyProtection="0"/>
    <xf numFmtId="0" fontId="75" fillId="0" borderId="0" applyFont="0" applyFill="0" applyBorder="0" applyAlignment="0" applyProtection="0"/>
    <xf numFmtId="191" fontId="75" fillId="0" borderId="0" applyFont="0" applyFill="0" applyBorder="0" applyAlignment="0" applyProtection="0"/>
    <xf numFmtId="0" fontId="11" fillId="0" borderId="0" applyFont="0" applyFill="0" applyBorder="0" applyAlignment="0" applyProtection="0"/>
    <xf numFmtId="170" fontId="3" fillId="0" borderId="0" applyFont="0" applyFill="0" applyBorder="0" applyAlignment="0" applyProtection="0"/>
    <xf numFmtId="191" fontId="75" fillId="0" borderId="0" applyFont="0" applyFill="0" applyBorder="0" applyAlignment="0" applyProtection="0"/>
    <xf numFmtId="170" fontId="3" fillId="0" borderId="0" applyFont="0" applyFill="0" applyBorder="0" applyAlignment="0" applyProtection="0"/>
    <xf numFmtId="192" fontId="75" fillId="0" borderId="0" applyFont="0" applyFill="0" applyBorder="0" applyAlignment="0" applyProtection="0"/>
    <xf numFmtId="0" fontId="11" fillId="0" borderId="0" applyFont="0" applyFill="0" applyBorder="0" applyAlignment="0" applyProtection="0"/>
    <xf numFmtId="176" fontId="3" fillId="0" borderId="0" applyFont="0" applyFill="0" applyBorder="0" applyAlignment="0" applyProtection="0"/>
    <xf numFmtId="192" fontId="75" fillId="0" borderId="0" applyFont="0" applyFill="0" applyBorder="0" applyAlignment="0" applyProtection="0"/>
    <xf numFmtId="176" fontId="3" fillId="0" borderId="0" applyFont="0" applyFill="0" applyBorder="0" applyAlignment="0" applyProtection="0"/>
    <xf numFmtId="0" fontId="78" fillId="0" borderId="0"/>
    <xf numFmtId="0" fontId="75" fillId="0" borderId="0"/>
    <xf numFmtId="0" fontId="75" fillId="0" borderId="0"/>
    <xf numFmtId="193" fontId="75" fillId="0" borderId="0" applyFont="0" applyFill="0" applyBorder="0" applyAlignment="0" applyProtection="0"/>
    <xf numFmtId="0" fontId="11" fillId="0" borderId="0" applyFont="0" applyFill="0" applyBorder="0" applyAlignment="0" applyProtection="0"/>
    <xf numFmtId="194" fontId="3" fillId="0" borderId="0" applyFont="0" applyFill="0" applyBorder="0" applyAlignment="0" applyProtection="0"/>
    <xf numFmtId="193" fontId="75" fillId="0" borderId="0" applyFont="0" applyFill="0" applyBorder="0" applyAlignment="0" applyProtection="0"/>
    <xf numFmtId="194" fontId="3" fillId="0" borderId="0" applyFont="0" applyFill="0" applyBorder="0" applyAlignment="0" applyProtection="0"/>
    <xf numFmtId="195" fontId="75" fillId="0" borderId="0" applyFont="0" applyFill="0" applyBorder="0" applyAlignment="0" applyProtection="0"/>
    <xf numFmtId="0" fontId="11" fillId="0" borderId="0" applyFont="0" applyFill="0" applyBorder="0" applyAlignment="0" applyProtection="0"/>
    <xf numFmtId="196" fontId="3" fillId="0" borderId="0" applyFont="0" applyFill="0" applyBorder="0" applyAlignment="0" applyProtection="0"/>
    <xf numFmtId="195" fontId="75" fillId="0" borderId="0" applyFont="0" applyFill="0" applyBorder="0" applyAlignment="0" applyProtection="0"/>
    <xf numFmtId="196" fontId="3" fillId="0" borderId="0" applyFont="0" applyFill="0" applyBorder="0" applyAlignment="0" applyProtection="0"/>
    <xf numFmtId="0" fontId="75" fillId="0" borderId="0"/>
    <xf numFmtId="0" fontId="79" fillId="0" borderId="0" applyNumberFormat="0" applyFill="0" applyBorder="0" applyProtection="0">
      <alignment horizontal="left"/>
    </xf>
    <xf numFmtId="0" fontId="80" fillId="0" borderId="0" applyNumberFormat="0" applyFill="0" applyBorder="0" applyProtection="0">
      <alignment horizontal="centerContinuous"/>
    </xf>
    <xf numFmtId="197" fontId="76" fillId="0" borderId="0" applyFont="0" applyFill="0" applyBorder="0" applyAlignment="0" applyProtection="0"/>
    <xf numFmtId="198" fontId="81" fillId="0" borderId="0"/>
    <xf numFmtId="199" fontId="76" fillId="0" borderId="0" applyFont="0" applyFill="0" applyBorder="0" applyAlignment="0" applyProtection="0"/>
    <xf numFmtId="0" fontId="75" fillId="0" borderId="0"/>
    <xf numFmtId="200" fontId="75" fillId="0" borderId="0" applyBorder="0"/>
    <xf numFmtId="0" fontId="75" fillId="0" borderId="0" applyBorder="0"/>
    <xf numFmtId="200" fontId="75" fillId="0" borderId="0" applyBorder="0"/>
    <xf numFmtId="201" fontId="81" fillId="0" borderId="0"/>
    <xf numFmtId="201" fontId="82" fillId="0" borderId="0"/>
    <xf numFmtId="202" fontId="81" fillId="0" borderId="0"/>
    <xf numFmtId="203" fontId="83" fillId="0" borderId="0"/>
    <xf numFmtId="0" fontId="82" fillId="0" borderId="0"/>
    <xf numFmtId="204" fontId="81" fillId="0" borderId="0"/>
    <xf numFmtId="205" fontId="82" fillId="0" borderId="0"/>
    <xf numFmtId="206" fontId="81" fillId="0" borderId="0"/>
    <xf numFmtId="0" fontId="84" fillId="5" borderId="0" applyNumberFormat="0" applyBorder="0" applyAlignment="0" applyProtection="0"/>
    <xf numFmtId="0" fontId="84" fillId="6" borderId="0" applyNumberFormat="0" applyBorder="0" applyAlignment="0" applyProtection="0"/>
    <xf numFmtId="0" fontId="85" fillId="7" borderId="0" applyNumberFormat="0" applyBorder="0" applyAlignment="0" applyProtection="0"/>
    <xf numFmtId="0" fontId="84" fillId="8" borderId="0" applyNumberFormat="0" applyBorder="0" applyAlignment="0" applyProtection="0"/>
    <xf numFmtId="0" fontId="84" fillId="9" borderId="0" applyNumberFormat="0" applyBorder="0" applyAlignment="0" applyProtection="0"/>
    <xf numFmtId="0" fontId="85" fillId="10"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5" fillId="13" borderId="0" applyNumberFormat="0" applyBorder="0" applyAlignment="0" applyProtection="0"/>
    <xf numFmtId="0" fontId="84" fillId="8" borderId="0" applyNumberFormat="0" applyBorder="0" applyAlignment="0" applyProtection="0"/>
    <xf numFmtId="0" fontId="84" fillId="14" borderId="0" applyNumberFormat="0" applyBorder="0" applyAlignment="0" applyProtection="0"/>
    <xf numFmtId="0" fontId="85" fillId="9"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5" fillId="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5" fillId="19" borderId="0" applyNumberFormat="0" applyBorder="0" applyAlignment="0" applyProtection="0"/>
    <xf numFmtId="207" fontId="86" fillId="20" borderId="1">
      <alignment horizontal="center" vertical="center"/>
    </xf>
    <xf numFmtId="200" fontId="87" fillId="0" borderId="0" applyFont="0" applyFill="0" applyBorder="0" applyAlignment="0" applyProtection="0"/>
    <xf numFmtId="0" fontId="87" fillId="0" borderId="0" applyFont="0" applyFill="0" applyBorder="0" applyAlignment="0" applyProtection="0"/>
    <xf numFmtId="0" fontId="75" fillId="0" borderId="0"/>
    <xf numFmtId="208" fontId="88" fillId="0" borderId="0" applyFont="0" applyFill="0" applyBorder="0" applyAlignment="0" applyProtection="0"/>
    <xf numFmtId="0" fontId="87" fillId="0" borderId="0" applyFont="0" applyFill="0" applyBorder="0" applyAlignment="0" applyProtection="0"/>
    <xf numFmtId="209" fontId="5" fillId="20" borderId="0" applyFont="0" applyFill="0" applyBorder="0" applyAlignment="0" applyProtection="0"/>
    <xf numFmtId="0" fontId="28" fillId="20" borderId="0" applyNumberFormat="0" applyFont="0" applyAlignment="0">
      <alignment horizontal="center"/>
    </xf>
    <xf numFmtId="210" fontId="51" fillId="21" borderId="2" applyAlignment="0">
      <protection locked="0"/>
    </xf>
    <xf numFmtId="211" fontId="5" fillId="20" borderId="0" applyFont="0" applyFill="0" applyBorder="0" applyAlignment="0" applyProtection="0"/>
    <xf numFmtId="212" fontId="5" fillId="20" borderId="0" applyFont="0" applyFill="0" applyBorder="0" applyAlignment="0" applyProtection="0"/>
    <xf numFmtId="0" fontId="89" fillId="0" borderId="0" applyNumberFormat="0" applyFill="0" applyBorder="0" applyAlignment="0" applyProtection="0"/>
    <xf numFmtId="0" fontId="67" fillId="0" borderId="3" applyNumberFormat="0" applyFill="0" applyAlignment="0" applyProtection="0"/>
    <xf numFmtId="0" fontId="81" fillId="0" borderId="0"/>
    <xf numFmtId="213" fontId="76"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1" fillId="0" borderId="0"/>
    <xf numFmtId="174" fontId="1" fillId="0" borderId="0" applyFill="0"/>
    <xf numFmtId="174" fontId="1" fillId="0" borderId="0">
      <alignment horizontal="center"/>
    </xf>
    <xf numFmtId="0" fontId="1" fillId="0" borderId="0" applyFill="0">
      <alignment horizontal="center"/>
    </xf>
    <xf numFmtId="174" fontId="2" fillId="0" borderId="4" applyFill="0"/>
    <xf numFmtId="0" fontId="3" fillId="0" borderId="0" applyFont="0" applyAlignment="0"/>
    <xf numFmtId="0" fontId="4" fillId="0" borderId="0" applyFill="0">
      <alignment vertical="top"/>
    </xf>
    <xf numFmtId="0" fontId="2" fillId="0" borderId="0" applyFill="0">
      <alignment horizontal="left" vertical="top"/>
    </xf>
    <xf numFmtId="174" fontId="5" fillId="0" borderId="5" applyFill="0"/>
    <xf numFmtId="0" fontId="3" fillId="0" borderId="0" applyNumberFormat="0" applyFont="0" applyAlignment="0"/>
    <xf numFmtId="0" fontId="4" fillId="0" borderId="0" applyFill="0">
      <alignment wrapText="1"/>
    </xf>
    <xf numFmtId="0" fontId="2" fillId="0" borderId="0" applyFill="0">
      <alignment horizontal="left" vertical="top" wrapText="1"/>
    </xf>
    <xf numFmtId="174" fontId="6" fillId="0" borderId="0" applyFill="0"/>
    <xf numFmtId="0" fontId="7" fillId="0" borderId="0" applyNumberFormat="0" applyFont="0" applyAlignment="0">
      <alignment horizontal="center"/>
    </xf>
    <xf numFmtId="0" fontId="8" fillId="0" borderId="0" applyFill="0">
      <alignment vertical="top" wrapText="1"/>
    </xf>
    <xf numFmtId="0" fontId="5" fillId="0" borderId="0" applyFill="0">
      <alignment horizontal="left" vertical="top" wrapText="1"/>
    </xf>
    <xf numFmtId="174" fontId="3" fillId="0" borderId="0" applyFill="0"/>
    <xf numFmtId="0" fontId="7" fillId="0" borderId="0" applyNumberFormat="0" applyFont="0" applyAlignment="0">
      <alignment horizontal="center"/>
    </xf>
    <xf numFmtId="0" fontId="9" fillId="0" borderId="0" applyFill="0">
      <alignment vertical="center" wrapText="1"/>
    </xf>
    <xf numFmtId="0" fontId="10" fillId="0" borderId="0">
      <alignment horizontal="left" vertical="center" wrapText="1"/>
    </xf>
    <xf numFmtId="174" fontId="11" fillId="0" borderId="0" applyFill="0"/>
    <xf numFmtId="0" fontId="7" fillId="0" borderId="0" applyNumberFormat="0" applyFont="0" applyAlignment="0">
      <alignment horizontal="center"/>
    </xf>
    <xf numFmtId="0" fontId="12" fillId="0" borderId="0" applyFill="0">
      <alignment horizontal="center" vertical="center" wrapText="1"/>
    </xf>
    <xf numFmtId="0" fontId="13" fillId="0" borderId="0" applyFill="0">
      <alignment horizontal="center" vertical="center" wrapText="1"/>
    </xf>
    <xf numFmtId="174" fontId="14" fillId="0" borderId="0" applyFill="0"/>
    <xf numFmtId="0" fontId="7" fillId="0" borderId="0" applyNumberFormat="0" applyFont="0" applyAlignment="0">
      <alignment horizontal="center"/>
    </xf>
    <xf numFmtId="0" fontId="15" fillId="0" borderId="0" applyFill="0">
      <alignment horizontal="center" vertical="center" wrapText="1"/>
    </xf>
    <xf numFmtId="0" fontId="16" fillId="0" borderId="0" applyFill="0">
      <alignment horizontal="center" vertical="center" wrapText="1"/>
    </xf>
    <xf numFmtId="174" fontId="17" fillId="0" borderId="0" applyFill="0"/>
    <xf numFmtId="0" fontId="7" fillId="0" borderId="0" applyNumberFormat="0" applyFont="0" applyAlignment="0">
      <alignment horizontal="center"/>
    </xf>
    <xf numFmtId="0" fontId="18" fillId="0" borderId="0">
      <alignment horizontal="center" wrapText="1"/>
    </xf>
    <xf numFmtId="0" fontId="14" fillId="0" borderId="0" applyFill="0">
      <alignment horizontal="center" wrapText="1"/>
    </xf>
    <xf numFmtId="0" fontId="87" fillId="0" borderId="0" applyFill="0" applyBorder="0" applyAlignment="0"/>
    <xf numFmtId="214" fontId="3" fillId="22" borderId="0"/>
    <xf numFmtId="0" fontId="75" fillId="0" borderId="0">
      <alignment vertical="center"/>
    </xf>
    <xf numFmtId="37" fontId="28" fillId="0" borderId="3">
      <alignment horizontal="center"/>
    </xf>
    <xf numFmtId="37" fontId="28" fillId="0" borderId="0">
      <alignment horizontal="center" vertical="center" wrapText="1"/>
    </xf>
    <xf numFmtId="43" fontId="3" fillId="0" borderId="0" applyFont="0" applyFill="0" applyBorder="0" applyAlignment="0" applyProtection="0"/>
    <xf numFmtId="215" fontId="76" fillId="0" borderId="0"/>
    <xf numFmtId="215" fontId="76" fillId="0" borderId="0"/>
    <xf numFmtId="215" fontId="76" fillId="0" borderId="0"/>
    <xf numFmtId="215" fontId="76" fillId="0" borderId="0"/>
    <xf numFmtId="215" fontId="76" fillId="0" borderId="0"/>
    <xf numFmtId="215" fontId="76" fillId="0" borderId="0"/>
    <xf numFmtId="215" fontId="76" fillId="0" borderId="0"/>
    <xf numFmtId="215" fontId="76" fillId="0" borderId="0"/>
    <xf numFmtId="38" fontId="3" fillId="0" borderId="0" applyFont="0" applyFill="0" applyBorder="0" applyAlignment="0" applyProtection="0"/>
    <xf numFmtId="41" fontId="3" fillId="0" borderId="0" applyFont="0" applyFill="0" applyBorder="0" applyAlignment="0" applyProtection="0"/>
    <xf numFmtId="216" fontId="83" fillId="0" borderId="0"/>
    <xf numFmtId="198" fontId="81" fillId="0" borderId="0"/>
    <xf numFmtId="217" fontId="83" fillId="0" borderId="0"/>
    <xf numFmtId="0" fontId="92" fillId="0" borderId="0" applyFont="0" applyFill="0" applyBorder="0" applyAlignment="0" applyProtection="0">
      <alignment horizontal="right"/>
    </xf>
    <xf numFmtId="218" fontId="92" fillId="0" borderId="0" applyFont="0" applyFill="0" applyBorder="0" applyAlignment="0" applyProtection="0"/>
    <xf numFmtId="0" fontId="92" fillId="0" borderId="0" applyFont="0" applyFill="0" applyBorder="0" applyAlignment="0" applyProtection="0">
      <alignment horizontal="right"/>
    </xf>
    <xf numFmtId="43" fontId="13" fillId="0" borderId="0" applyFont="0" applyFill="0" applyBorder="0" applyAlignment="0" applyProtection="0"/>
    <xf numFmtId="43" fontId="3" fillId="0" borderId="0" applyFont="0" applyFill="0" applyBorder="0" applyAlignment="0" applyProtection="0"/>
    <xf numFmtId="219" fontId="75" fillId="0" borderId="0" applyFont="0" applyFill="0" applyBorder="0" applyAlignment="0" applyProtection="0"/>
    <xf numFmtId="0" fontId="92" fillId="0" borderId="0" applyFont="0" applyFill="0" applyBorder="0" applyAlignment="0" applyProtection="0">
      <alignment horizontal="right"/>
    </xf>
    <xf numFmtId="43" fontId="57" fillId="0" borderId="0" applyFont="0" applyFill="0" applyBorder="0" applyAlignment="0" applyProtection="0"/>
    <xf numFmtId="43" fontId="3" fillId="0" borderId="0" applyFont="0" applyFill="0" applyBorder="0" applyAlignment="0" applyProtection="0"/>
    <xf numFmtId="220" fontId="75" fillId="0" borderId="0" applyFont="0" applyFill="0" applyBorder="0" applyAlignment="0" applyProtection="0"/>
    <xf numFmtId="43" fontId="3" fillId="0" borderId="0" applyFont="0" applyFill="0" applyBorder="0" applyAlignment="0" applyProtection="0"/>
    <xf numFmtId="43" fontId="75" fillId="0" borderId="0" applyFont="0" applyFill="0" applyBorder="0" applyAlignment="0" applyProtection="0"/>
    <xf numFmtId="43" fontId="159" fillId="0" borderId="0" applyFont="0" applyFill="0" applyBorder="0" applyAlignment="0" applyProtection="0"/>
    <xf numFmtId="221" fontId="75" fillId="0" borderId="0" applyFont="0" applyFill="0" applyBorder="0" applyAlignment="0" applyProtection="0"/>
    <xf numFmtId="38" fontId="76" fillId="0" borderId="0" applyFill="0" applyBorder="0" applyProtection="0">
      <alignment horizontal="center"/>
    </xf>
    <xf numFmtId="3" fontId="3" fillId="0" borderId="0" applyFont="0" applyFill="0" applyBorder="0" applyAlignment="0" applyProtection="0"/>
    <xf numFmtId="222" fontId="75" fillId="0" borderId="0" applyFill="0" applyBorder="0">
      <alignment horizontal="left"/>
    </xf>
    <xf numFmtId="0" fontId="3" fillId="0" borderId="6"/>
    <xf numFmtId="0" fontId="93" fillId="0" borderId="0" applyNumberFormat="0" applyAlignment="0">
      <alignment horizontal="left"/>
    </xf>
    <xf numFmtId="37" fontId="75" fillId="25" borderId="0" applyFont="0" applyBorder="0" applyAlignment="0" applyProtection="0"/>
    <xf numFmtId="183" fontId="94" fillId="25" borderId="0" applyFont="0" applyBorder="0" applyAlignment="0" applyProtection="0"/>
    <xf numFmtId="39" fontId="94" fillId="25" borderId="0" applyFont="0" applyBorder="0" applyAlignment="0" applyProtection="0"/>
    <xf numFmtId="44" fontId="3" fillId="0" borderId="0" applyFont="0" applyFill="0" applyBorder="0" applyAlignment="0" applyProtection="0"/>
    <xf numFmtId="42" fontId="3" fillId="0" borderId="0">
      <alignment horizontal="right"/>
    </xf>
    <xf numFmtId="0" fontId="92" fillId="0" borderId="0" applyFont="0" applyFill="0" applyBorder="0" applyAlignment="0" applyProtection="0">
      <alignment horizontal="right"/>
    </xf>
    <xf numFmtId="44" fontId="13" fillId="0" borderId="0" applyFont="0" applyFill="0" applyBorder="0" applyAlignment="0" applyProtection="0"/>
    <xf numFmtId="44" fontId="3" fillId="0" borderId="0" applyFont="0" applyFill="0" applyBorder="0" applyAlignment="0" applyProtection="0"/>
    <xf numFmtId="223" fontId="75" fillId="0" borderId="0" applyFont="0" applyFill="0" applyBorder="0" applyAlignment="0" applyProtection="0"/>
    <xf numFmtId="0" fontId="92" fillId="0" borderId="0" applyFont="0" applyFill="0" applyBorder="0" applyAlignment="0" applyProtection="0">
      <alignment horizontal="right"/>
    </xf>
    <xf numFmtId="44" fontId="57" fillId="0" borderId="0" applyFont="0" applyFill="0" applyBorder="0" applyAlignment="0" applyProtection="0"/>
    <xf numFmtId="44" fontId="3" fillId="0" borderId="0" applyFont="0" applyFill="0" applyBorder="0" applyAlignment="0" applyProtection="0"/>
    <xf numFmtId="222" fontId="75" fillId="0" borderId="0" applyFont="0" applyFill="0" applyBorder="0" applyAlignment="0" applyProtection="0"/>
    <xf numFmtId="44" fontId="159" fillId="0" borderId="0" applyFont="0" applyFill="0" applyBorder="0" applyAlignment="0" applyProtection="0"/>
    <xf numFmtId="224" fontId="75" fillId="0" borderId="0" applyFont="0" applyFill="0" applyBorder="0" applyAlignment="0" applyProtection="0"/>
    <xf numFmtId="5" fontId="3" fillId="0" borderId="0" applyFont="0" applyFill="0" applyBorder="0" applyAlignment="0" applyProtection="0"/>
    <xf numFmtId="225" fontId="76" fillId="0" borderId="0" applyFont="0" applyFill="0" applyBorder="0" applyAlignment="0" applyProtection="0"/>
    <xf numFmtId="14" fontId="3" fillId="0" borderId="0" applyFont="0" applyFill="0" applyBorder="0" applyAlignment="0" applyProtection="0"/>
    <xf numFmtId="0" fontId="92" fillId="0" borderId="0" applyFont="0" applyFill="0" applyBorder="0" applyAlignment="0" applyProtection="0"/>
    <xf numFmtId="226" fontId="75" fillId="0" borderId="0" applyFont="0" applyFill="0" applyBorder="0" applyAlignment="0" applyProtection="0"/>
    <xf numFmtId="0" fontId="92" fillId="0" borderId="0" applyFont="0" applyFill="0" applyBorder="0" applyAlignment="0" applyProtection="0"/>
    <xf numFmtId="227" fontId="75" fillId="0" borderId="0" applyFill="0" applyBorder="0"/>
    <xf numFmtId="202" fontId="83" fillId="0" borderId="0">
      <alignment horizontal="right"/>
    </xf>
    <xf numFmtId="198" fontId="83" fillId="0" borderId="0">
      <alignment horizontal="right"/>
      <protection locked="0"/>
    </xf>
    <xf numFmtId="198" fontId="83" fillId="0" borderId="0"/>
    <xf numFmtId="228" fontId="83" fillId="0" borderId="0">
      <alignment horizontal="right"/>
      <protection locked="0"/>
    </xf>
    <xf numFmtId="186" fontId="75" fillId="0" borderId="0" applyFont="0" applyFill="0" applyBorder="0" applyAlignment="0" applyProtection="0"/>
    <xf numFmtId="187" fontId="75" fillId="0" borderId="0" applyFont="0" applyFill="0" applyBorder="0" applyAlignment="0" applyProtection="0"/>
    <xf numFmtId="8" fontId="76" fillId="0" borderId="0" applyFill="0" applyBorder="0" applyProtection="0">
      <alignment horizontal="center"/>
    </xf>
    <xf numFmtId="6" fontId="76" fillId="0" borderId="0">
      <alignment horizontal="center"/>
    </xf>
    <xf numFmtId="8" fontId="76" fillId="0" borderId="0" applyFill="0" applyBorder="0" applyProtection="0">
      <alignment horizontal="center"/>
    </xf>
    <xf numFmtId="0" fontId="92" fillId="0" borderId="7" applyNumberFormat="0" applyFont="0" applyFill="0" applyAlignment="0" applyProtection="0"/>
    <xf numFmtId="201" fontId="83" fillId="0" borderId="0"/>
    <xf numFmtId="0" fontId="95" fillId="26" borderId="0" applyNumberFormat="0" applyBorder="0" applyAlignment="0" applyProtection="0"/>
    <xf numFmtId="0" fontId="95" fillId="27" borderId="0" applyNumberFormat="0" applyBorder="0" applyAlignment="0" applyProtection="0"/>
    <xf numFmtId="0" fontId="95" fillId="28" borderId="0" applyNumberFormat="0" applyBorder="0" applyAlignment="0" applyProtection="0"/>
    <xf numFmtId="0" fontId="96" fillId="0" borderId="0" applyNumberFormat="0" applyAlignment="0">
      <alignment horizontal="left"/>
    </xf>
    <xf numFmtId="229" fontId="97" fillId="0" borderId="0" applyFont="0" applyFill="0" applyBorder="0" applyAlignment="0" applyProtection="0"/>
    <xf numFmtId="0" fontId="76" fillId="24" borderId="0" applyNumberFormat="0" applyFont="0" applyBorder="0" applyAlignment="0" applyProtection="0"/>
    <xf numFmtId="0" fontId="98" fillId="0" borderId="0" applyNumberFormat="0" applyFill="0" applyBorder="0" applyAlignment="0" applyProtection="0"/>
    <xf numFmtId="230" fontId="99" fillId="0" borderId="0" applyFill="0" applyBorder="0"/>
    <xf numFmtId="15" fontId="100" fillId="0" borderId="0" applyFill="0" applyBorder="0" applyProtection="0">
      <alignment horizontal="center"/>
    </xf>
    <xf numFmtId="0" fontId="76" fillId="2" borderId="0" applyNumberFormat="0" applyFont="0" applyBorder="0" applyAlignment="0" applyProtection="0"/>
    <xf numFmtId="231" fontId="101" fillId="23" borderId="8" applyAlignment="0" applyProtection="0"/>
    <xf numFmtId="232" fontId="102" fillId="0" borderId="0" applyNumberFormat="0" applyFill="0" applyBorder="0" applyAlignment="0" applyProtection="0"/>
    <xf numFmtId="232" fontId="103" fillId="0" borderId="0" applyNumberFormat="0" applyFill="0" applyBorder="0" applyAlignment="0" applyProtection="0"/>
    <xf numFmtId="15" fontId="51" fillId="29" borderId="9">
      <alignment horizontal="center"/>
      <protection locked="0"/>
    </xf>
    <xf numFmtId="233" fontId="51" fillId="29" borderId="9" applyAlignment="0">
      <protection locked="0"/>
    </xf>
    <xf numFmtId="232" fontId="51" fillId="29" borderId="9" applyAlignment="0">
      <protection locked="0"/>
    </xf>
    <xf numFmtId="232" fontId="100" fillId="0" borderId="0" applyFill="0" applyBorder="0" applyAlignment="0" applyProtection="0"/>
    <xf numFmtId="233" fontId="100" fillId="0" borderId="0" applyFill="0" applyBorder="0" applyAlignment="0" applyProtection="0"/>
    <xf numFmtId="234" fontId="100" fillId="0" borderId="0" applyFill="0" applyBorder="0" applyAlignment="0" applyProtection="0"/>
    <xf numFmtId="0" fontId="76" fillId="0" borderId="10" applyNumberFormat="0" applyFont="0" applyAlignment="0" applyProtection="0"/>
    <xf numFmtId="0" fontId="76" fillId="0" borderId="11" applyNumberFormat="0" applyFont="0" applyAlignment="0" applyProtection="0"/>
    <xf numFmtId="0" fontId="76" fillId="4" borderId="0" applyNumberFormat="0" applyFont="0" applyBorder="0" applyAlignment="0" applyProtection="0"/>
    <xf numFmtId="2" fontId="3" fillId="0" borderId="0" applyFont="0" applyFill="0" applyBorder="0" applyAlignment="0" applyProtection="0"/>
    <xf numFmtId="0" fontId="104" fillId="0" borderId="0"/>
    <xf numFmtId="0" fontId="105" fillId="0" borderId="0" applyFill="0" applyBorder="0" applyProtection="0">
      <alignment horizontal="left"/>
    </xf>
    <xf numFmtId="4" fontId="106" fillId="0" borderId="0">
      <protection locked="0"/>
    </xf>
    <xf numFmtId="10" fontId="107" fillId="30" borderId="2" applyNumberFormat="0" applyFill="0" applyBorder="0" applyAlignment="0" applyProtection="0">
      <protection locked="0"/>
    </xf>
    <xf numFmtId="0" fontId="28" fillId="20" borderId="0" applyFont="0" applyFill="0" applyBorder="0" applyAlignment="0" applyProtection="0"/>
    <xf numFmtId="38" fontId="1" fillId="22" borderId="0" applyNumberFormat="0" applyBorder="0" applyAlignment="0" applyProtection="0"/>
    <xf numFmtId="0" fontId="92" fillId="0" borderId="0" applyFont="0" applyFill="0" applyBorder="0" applyAlignment="0" applyProtection="0">
      <alignment horizontal="right"/>
    </xf>
    <xf numFmtId="0" fontId="108" fillId="0" borderId="0" applyProtection="0">
      <alignment horizontal="right"/>
    </xf>
    <xf numFmtId="0" fontId="5" fillId="0" borderId="12" applyNumberFormat="0" applyAlignment="0" applyProtection="0">
      <alignment horizontal="left" vertical="center"/>
    </xf>
    <xf numFmtId="0" fontId="5" fillId="0" borderId="8">
      <alignment horizontal="left" vertical="center"/>
    </xf>
    <xf numFmtId="0" fontId="19" fillId="0" borderId="0" applyFont="0" applyFill="0" applyBorder="0" applyAlignment="0" applyProtection="0"/>
    <xf numFmtId="0" fontId="20" fillId="0" borderId="0" applyFont="0" applyFill="0" applyBorder="0" applyAlignment="0" applyProtection="0"/>
    <xf numFmtId="0" fontId="21" fillId="0" borderId="13"/>
    <xf numFmtId="0" fontId="22" fillId="0" borderId="0"/>
    <xf numFmtId="235" fontId="109" fillId="0" borderId="0">
      <alignment horizontal="right"/>
    </xf>
    <xf numFmtId="0" fontId="51" fillId="0" borderId="14" applyNumberFormat="0" applyFill="0" applyAlignment="0" applyProtection="0"/>
    <xf numFmtId="174" fontId="160" fillId="0" borderId="0" applyNumberFormat="0" applyFill="0" applyBorder="0" applyAlignment="0" applyProtection="0"/>
    <xf numFmtId="0" fontId="49" fillId="0" borderId="0">
      <alignment wrapText="1"/>
    </xf>
    <xf numFmtId="10" fontId="1" fillId="31" borderId="2" applyNumberFormat="0" applyBorder="0" applyAlignment="0" applyProtection="0"/>
    <xf numFmtId="0" fontId="51" fillId="0" borderId="0" applyNumberFormat="0" applyFill="0" applyBorder="0" applyAlignment="0">
      <protection locked="0"/>
    </xf>
    <xf numFmtId="0" fontId="110" fillId="32" borderId="0"/>
    <xf numFmtId="214" fontId="28" fillId="33" borderId="0">
      <protection locked="0"/>
    </xf>
    <xf numFmtId="236" fontId="76" fillId="0" borderId="0"/>
    <xf numFmtId="40" fontId="111" fillId="0" borderId="0">
      <alignment horizontal="right"/>
    </xf>
    <xf numFmtId="37" fontId="2" fillId="0" borderId="0"/>
    <xf numFmtId="0" fontId="112" fillId="0" borderId="0">
      <alignment vertical="center"/>
    </xf>
    <xf numFmtId="0" fontId="75" fillId="0" borderId="0" applyNumberFormat="0" applyFill="0" applyBorder="0" applyAlignment="0" applyProtection="0"/>
    <xf numFmtId="0" fontId="113" fillId="0" borderId="13"/>
    <xf numFmtId="237" fontId="76" fillId="0" borderId="0" applyFill="0" applyBorder="0" applyProtection="0">
      <alignment horizontal="center"/>
    </xf>
    <xf numFmtId="238" fontId="40" fillId="0" borderId="0" applyFont="0" applyFill="0" applyBorder="0" applyAlignment="0" applyProtection="0">
      <alignment horizontal="centerContinuous"/>
      <protection locked="0"/>
    </xf>
    <xf numFmtId="239" fontId="1" fillId="0" borderId="0" applyFont="0" applyFill="0" applyBorder="0" applyAlignment="0" applyProtection="0">
      <alignment horizontal="right"/>
    </xf>
    <xf numFmtId="232" fontId="3" fillId="24" borderId="0"/>
    <xf numFmtId="232" fontId="98" fillId="0" borderId="0"/>
    <xf numFmtId="230" fontId="99" fillId="0" borderId="0"/>
    <xf numFmtId="15" fontId="100" fillId="0" borderId="0">
      <alignment horizontal="center"/>
    </xf>
    <xf numFmtId="232" fontId="3" fillId="2" borderId="0"/>
    <xf numFmtId="231" fontId="101" fillId="23" borderId="8"/>
    <xf numFmtId="232" fontId="102" fillId="0" borderId="0"/>
    <xf numFmtId="232" fontId="103" fillId="0" borderId="0"/>
    <xf numFmtId="15" fontId="51" fillId="29" borderId="9">
      <alignment horizontal="center"/>
      <protection locked="0"/>
    </xf>
    <xf numFmtId="233" fontId="51" fillId="29" borderId="9">
      <protection locked="0"/>
    </xf>
    <xf numFmtId="232" fontId="51" fillId="29" borderId="9">
      <protection locked="0"/>
    </xf>
    <xf numFmtId="232" fontId="100" fillId="0" borderId="0"/>
    <xf numFmtId="233" fontId="100" fillId="0" borderId="0"/>
    <xf numFmtId="234" fontId="100" fillId="0" borderId="0"/>
    <xf numFmtId="232" fontId="3" fillId="0" borderId="10"/>
    <xf numFmtId="232" fontId="3" fillId="0" borderId="11"/>
    <xf numFmtId="232" fontId="3" fillId="4" borderId="0"/>
    <xf numFmtId="37" fontId="114" fillId="0" borderId="0"/>
    <xf numFmtId="0" fontId="75" fillId="0" borderId="0"/>
    <xf numFmtId="240" fontId="65" fillId="0" borderId="0"/>
    <xf numFmtId="240" fontId="65" fillId="0" borderId="3"/>
    <xf numFmtId="240" fontId="65" fillId="0" borderId="15"/>
    <xf numFmtId="241" fontId="83" fillId="0" borderId="0"/>
    <xf numFmtId="242" fontId="83" fillId="0" borderId="0"/>
    <xf numFmtId="243" fontId="83" fillId="0" borderId="0"/>
    <xf numFmtId="0" fontId="3" fillId="0" borderId="0"/>
    <xf numFmtId="0" fontId="13" fillId="0" borderId="0"/>
    <xf numFmtId="0" fontId="3" fillId="0" borderId="0"/>
    <xf numFmtId="0" fontId="3" fillId="0" borderId="0"/>
    <xf numFmtId="0" fontId="57" fillId="0" borderId="0"/>
    <xf numFmtId="0" fontId="3" fillId="0" borderId="0"/>
    <xf numFmtId="0" fontId="75" fillId="0" borderId="0"/>
    <xf numFmtId="174" fontId="23" fillId="0" borderId="0" applyProtection="0"/>
    <xf numFmtId="0" fontId="159" fillId="0" borderId="0"/>
    <xf numFmtId="0" fontId="3" fillId="0" borderId="0"/>
    <xf numFmtId="174" fontId="23" fillId="0" borderId="0" applyProtection="0"/>
    <xf numFmtId="0" fontId="159" fillId="0" borderId="0"/>
    <xf numFmtId="216" fontId="81" fillId="0" borderId="15"/>
    <xf numFmtId="0" fontId="51" fillId="0" borderId="0" applyFill="0" applyBorder="0">
      <protection locked="0"/>
    </xf>
    <xf numFmtId="0" fontId="23" fillId="0" borderId="0" applyProtection="0"/>
    <xf numFmtId="174" fontId="23" fillId="0" borderId="0" applyProtection="0"/>
    <xf numFmtId="0" fontId="3" fillId="0" borderId="0"/>
    <xf numFmtId="244" fontId="10" fillId="0" borderId="0" applyFont="0" applyFill="0" applyBorder="0" applyAlignment="0" applyProtection="0"/>
    <xf numFmtId="0" fontId="115" fillId="0" borderId="0"/>
    <xf numFmtId="0" fontId="75" fillId="0" borderId="0"/>
    <xf numFmtId="40" fontId="100" fillId="34" borderId="0">
      <alignment horizontal="right"/>
    </xf>
    <xf numFmtId="0" fontId="116" fillId="35" borderId="0">
      <alignment horizontal="center"/>
    </xf>
    <xf numFmtId="0" fontId="117" fillId="36" borderId="0"/>
    <xf numFmtId="0" fontId="118" fillId="34" borderId="0" applyBorder="0">
      <alignment horizontal="centerContinuous"/>
    </xf>
    <xf numFmtId="0" fontId="119" fillId="36" borderId="0" applyBorder="0">
      <alignment horizontal="centerContinuous"/>
    </xf>
    <xf numFmtId="0" fontId="40" fillId="37" borderId="0" applyNumberFormat="0" applyFont="0" applyBorder="0" applyAlignment="0"/>
    <xf numFmtId="1" fontId="120" fillId="0" borderId="0" applyProtection="0">
      <alignment horizontal="right" vertical="center"/>
    </xf>
    <xf numFmtId="183" fontId="38" fillId="0" borderId="0">
      <alignment horizontal="left"/>
    </xf>
    <xf numFmtId="9" fontId="3" fillId="0" borderId="0" applyFont="0" applyFill="0" applyBorder="0" applyAlignment="0" applyProtection="0"/>
    <xf numFmtId="10" fontId="75"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245" fontId="83" fillId="0" borderId="0"/>
    <xf numFmtId="9" fontId="5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5" fillId="0" borderId="0" applyFont="0" applyFill="0" applyBorder="0" applyAlignment="0" applyProtection="0"/>
    <xf numFmtId="246" fontId="28" fillId="25" borderId="0" applyBorder="0" applyAlignment="0">
      <protection locked="0"/>
    </xf>
    <xf numFmtId="9" fontId="83" fillId="0" borderId="0"/>
    <xf numFmtId="171" fontId="83" fillId="0" borderId="0"/>
    <xf numFmtId="10" fontId="83" fillId="0" borderId="0"/>
    <xf numFmtId="247" fontId="75" fillId="0" borderId="0" applyFont="0" applyFill="0" applyBorder="0" applyAlignment="0" applyProtection="0"/>
    <xf numFmtId="248" fontId="81" fillId="0" borderId="0"/>
    <xf numFmtId="249" fontId="81" fillId="0" borderId="0"/>
    <xf numFmtId="249" fontId="83" fillId="0" borderId="0"/>
    <xf numFmtId="40" fontId="75" fillId="0" borderId="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3" fillId="0" borderId="0">
      <alignment horizontal="left" vertical="top"/>
    </xf>
    <xf numFmtId="0" fontId="25" fillId="0" borderId="13">
      <alignment horizontal="center"/>
    </xf>
    <xf numFmtId="3" fontId="24" fillId="0" borderId="0" applyFont="0" applyFill="0" applyBorder="0" applyAlignment="0" applyProtection="0"/>
    <xf numFmtId="0" fontId="24" fillId="38" borderId="0" applyNumberFormat="0" applyFont="0" applyBorder="0" applyAlignment="0" applyProtection="0"/>
    <xf numFmtId="3" fontId="3" fillId="0" borderId="0">
      <alignment horizontal="right" vertical="top"/>
    </xf>
    <xf numFmtId="41" fontId="10" fillId="22" borderId="17" applyFill="0"/>
    <xf numFmtId="0" fontId="26" fillId="0" borderId="0">
      <alignment horizontal="left" indent="7"/>
    </xf>
    <xf numFmtId="41" fontId="10" fillId="0" borderId="17" applyFill="0">
      <alignment horizontal="left" indent="2"/>
    </xf>
    <xf numFmtId="174" fontId="27" fillId="0" borderId="3" applyFill="0">
      <alignment horizontal="right"/>
    </xf>
    <xf numFmtId="0" fontId="28" fillId="0" borderId="2" applyNumberFormat="0" applyFont="0" applyBorder="0">
      <alignment horizontal="right"/>
    </xf>
    <xf numFmtId="0" fontId="29" fillId="0" borderId="0" applyFill="0"/>
    <xf numFmtId="0" fontId="5" fillId="0" borderId="0" applyFill="0"/>
    <xf numFmtId="4" fontId="27" fillId="0" borderId="3" applyFill="0"/>
    <xf numFmtId="0" fontId="3" fillId="0" borderId="0" applyNumberFormat="0" applyFont="0" applyBorder="0" applyAlignment="0"/>
    <xf numFmtId="0" fontId="8" fillId="0" borderId="0" applyFill="0">
      <alignment horizontal="left" indent="1"/>
    </xf>
    <xf numFmtId="0" fontId="30" fillId="0" borderId="0" applyFill="0">
      <alignment horizontal="left" indent="1"/>
    </xf>
    <xf numFmtId="4" fontId="11" fillId="0" borderId="0" applyFill="0"/>
    <xf numFmtId="0" fontId="3" fillId="0" borderId="0" applyNumberFormat="0" applyFont="0" applyFill="0" applyBorder="0" applyAlignment="0"/>
    <xf numFmtId="0" fontId="8" fillId="0" borderId="0" applyFill="0">
      <alignment horizontal="left" indent="2"/>
    </xf>
    <xf numFmtId="0" fontId="5" fillId="0" borderId="0" applyFill="0">
      <alignment horizontal="left" indent="2"/>
    </xf>
    <xf numFmtId="4" fontId="11" fillId="0" borderId="0" applyFill="0"/>
    <xf numFmtId="0" fontId="3" fillId="0" borderId="0" applyNumberFormat="0" applyFont="0" applyBorder="0" applyAlignment="0"/>
    <xf numFmtId="0" fontId="31" fillId="0" borderId="0">
      <alignment horizontal="left" indent="3"/>
    </xf>
    <xf numFmtId="0" fontId="32" fillId="0" borderId="0" applyFill="0">
      <alignment horizontal="left" indent="3"/>
    </xf>
    <xf numFmtId="4" fontId="11" fillId="0" borderId="0" applyFill="0"/>
    <xf numFmtId="0" fontId="3" fillId="0" borderId="0" applyNumberFormat="0" applyFont="0" applyBorder="0" applyAlignment="0"/>
    <xf numFmtId="0" fontId="12" fillId="0" borderId="0">
      <alignment horizontal="left" indent="4"/>
    </xf>
    <xf numFmtId="0" fontId="13" fillId="0" borderId="0" applyFill="0">
      <alignment horizontal="left" indent="4"/>
    </xf>
    <xf numFmtId="4" fontId="14" fillId="0" borderId="0" applyFill="0"/>
    <xf numFmtId="0" fontId="3" fillId="0" borderId="0" applyNumberFormat="0" applyFont="0" applyBorder="0" applyAlignment="0"/>
    <xf numFmtId="0" fontId="15" fillId="0" borderId="0">
      <alignment horizontal="left" indent="5"/>
    </xf>
    <xf numFmtId="0" fontId="16" fillId="0" borderId="0" applyFill="0">
      <alignment horizontal="left" indent="5"/>
    </xf>
    <xf numFmtId="4" fontId="17" fillId="0" borderId="0" applyFill="0"/>
    <xf numFmtId="0" fontId="3" fillId="0" borderId="0" applyNumberFormat="0" applyFont="0" applyFill="0" applyBorder="0" applyAlignment="0"/>
    <xf numFmtId="0" fontId="18" fillId="0" borderId="0" applyFill="0">
      <alignment horizontal="left" indent="6"/>
    </xf>
    <xf numFmtId="0" fontId="14" fillId="0" borderId="0" applyFill="0">
      <alignment horizontal="left" indent="6"/>
    </xf>
    <xf numFmtId="0" fontId="121" fillId="0" borderId="0"/>
    <xf numFmtId="14" fontId="122" fillId="0" borderId="0" applyNumberFormat="0" applyFill="0" applyBorder="0" applyAlignment="0" applyProtection="0">
      <alignment horizontal="left"/>
    </xf>
    <xf numFmtId="183" fontId="123" fillId="0" borderId="0"/>
    <xf numFmtId="0" fontId="123" fillId="0" borderId="18">
      <alignment horizontal="centerContinuous"/>
    </xf>
    <xf numFmtId="0" fontId="123" fillId="0" borderId="18">
      <protection locked="0"/>
    </xf>
    <xf numFmtId="0" fontId="123" fillId="0" borderId="18">
      <alignment horizontal="centerContinuous"/>
    </xf>
    <xf numFmtId="183" fontId="123" fillId="0" borderId="0"/>
    <xf numFmtId="0" fontId="123" fillId="0" borderId="18">
      <protection locked="0"/>
    </xf>
    <xf numFmtId="183" fontId="123" fillId="0" borderId="0"/>
    <xf numFmtId="0" fontId="123" fillId="0" borderId="18">
      <alignment horizontal="centerContinuous"/>
    </xf>
    <xf numFmtId="0" fontId="123" fillId="0" borderId="18">
      <alignment horizontal="centerContinuous"/>
    </xf>
    <xf numFmtId="183" fontId="123" fillId="0" borderId="0"/>
    <xf numFmtId="0" fontId="123" fillId="0" borderId="18">
      <protection locked="0"/>
    </xf>
    <xf numFmtId="183" fontId="123" fillId="0" borderId="0"/>
    <xf numFmtId="0" fontId="123" fillId="0" borderId="18">
      <protection locked="0"/>
    </xf>
    <xf numFmtId="0" fontId="123" fillId="0" borderId="18">
      <alignment horizontal="centerContinuous"/>
    </xf>
    <xf numFmtId="183" fontId="123" fillId="0" borderId="0"/>
    <xf numFmtId="0" fontId="123" fillId="0" borderId="18">
      <protection locked="0"/>
    </xf>
    <xf numFmtId="0" fontId="123" fillId="0" borderId="18">
      <alignment horizontal="centerContinuous"/>
    </xf>
    <xf numFmtId="0" fontId="123" fillId="0" borderId="18">
      <alignment horizontal="centerContinuous"/>
    </xf>
    <xf numFmtId="183" fontId="123" fillId="0" borderId="0"/>
    <xf numFmtId="0" fontId="123" fillId="0" borderId="18">
      <alignment horizontal="centerContinuous"/>
    </xf>
    <xf numFmtId="0" fontId="123" fillId="0" borderId="18">
      <protection locked="0"/>
    </xf>
    <xf numFmtId="183" fontId="123" fillId="0" borderId="0"/>
    <xf numFmtId="0" fontId="123" fillId="0" borderId="0"/>
    <xf numFmtId="183" fontId="123" fillId="0" borderId="0"/>
    <xf numFmtId="0" fontId="123" fillId="0" borderId="18">
      <alignment horizontal="centerContinuous"/>
    </xf>
    <xf numFmtId="0" fontId="123" fillId="0" borderId="18">
      <protection locked="0"/>
    </xf>
    <xf numFmtId="183" fontId="123" fillId="0" borderId="0"/>
    <xf numFmtId="0" fontId="123" fillId="0" borderId="18">
      <alignment horizontal="centerContinuous"/>
    </xf>
    <xf numFmtId="0" fontId="123" fillId="0" borderId="18">
      <protection locked="0"/>
    </xf>
    <xf numFmtId="0" fontId="123" fillId="0" borderId="18">
      <alignment horizontal="centerContinuous"/>
    </xf>
    <xf numFmtId="0" fontId="123" fillId="0" borderId="18">
      <protection locked="0"/>
    </xf>
    <xf numFmtId="0" fontId="123" fillId="0" borderId="18">
      <protection locked="0"/>
    </xf>
    <xf numFmtId="183" fontId="123" fillId="0" borderId="0"/>
    <xf numFmtId="0" fontId="123" fillId="0" borderId="18">
      <protection locked="0"/>
    </xf>
    <xf numFmtId="0" fontId="123" fillId="0" borderId="18">
      <alignment horizontal="centerContinuous"/>
    </xf>
    <xf numFmtId="0" fontId="123" fillId="0" borderId="18">
      <alignment horizontal="centerContinuous"/>
    </xf>
    <xf numFmtId="0" fontId="123" fillId="0" borderId="18">
      <protection locked="0"/>
    </xf>
    <xf numFmtId="183" fontId="123" fillId="0" borderId="0"/>
    <xf numFmtId="0" fontId="123" fillId="0" borderId="18">
      <alignment horizontal="centerContinuous"/>
    </xf>
    <xf numFmtId="0" fontId="123" fillId="0" borderId="18">
      <alignment horizontal="centerContinuous"/>
    </xf>
    <xf numFmtId="183" fontId="123" fillId="0" borderId="0"/>
    <xf numFmtId="0" fontId="123" fillId="0" borderId="18">
      <alignment horizontal="centerContinuous"/>
    </xf>
    <xf numFmtId="183" fontId="123" fillId="0" borderId="0"/>
    <xf numFmtId="0" fontId="123" fillId="0" borderId="18">
      <alignment horizontal="centerContinuous"/>
    </xf>
    <xf numFmtId="183" fontId="123" fillId="0" borderId="0"/>
    <xf numFmtId="0" fontId="123" fillId="0" borderId="18">
      <protection locked="0"/>
    </xf>
    <xf numFmtId="0" fontId="123" fillId="0" borderId="18">
      <alignment horizontal="centerContinuous"/>
    </xf>
    <xf numFmtId="183" fontId="123" fillId="0" borderId="0"/>
    <xf numFmtId="0" fontId="124" fillId="0" borderId="19">
      <alignment vertical="center"/>
    </xf>
    <xf numFmtId="4" fontId="125" fillId="21" borderId="20" applyNumberFormat="0" applyProtection="0">
      <alignment vertical="center"/>
    </xf>
    <xf numFmtId="4" fontId="126" fillId="21" borderId="20" applyNumberFormat="0" applyProtection="0">
      <alignment vertical="center"/>
    </xf>
    <xf numFmtId="4" fontId="127" fillId="21" borderId="20" applyNumberFormat="0" applyProtection="0">
      <alignment horizontal="left" vertical="center" indent="1"/>
    </xf>
    <xf numFmtId="0" fontId="128" fillId="29" borderId="20" applyNumberFormat="0" applyProtection="0">
      <alignment horizontal="left" vertical="top" indent="1"/>
    </xf>
    <xf numFmtId="4" fontId="127" fillId="39" borderId="0" applyNumberFormat="0" applyProtection="0">
      <alignment horizontal="left" vertical="center" indent="1"/>
    </xf>
    <xf numFmtId="4" fontId="127" fillId="40" borderId="20" applyNumberFormat="0" applyProtection="0">
      <alignment horizontal="right" vertical="center"/>
    </xf>
    <xf numFmtId="4" fontId="127" fillId="41" borderId="20" applyNumberFormat="0" applyProtection="0">
      <alignment horizontal="right" vertical="center"/>
    </xf>
    <xf numFmtId="4" fontId="127" fillId="33" borderId="20" applyNumberFormat="0" applyProtection="0">
      <alignment horizontal="right" vertical="center"/>
    </xf>
    <xf numFmtId="4" fontId="127" fillId="42" borderId="20" applyNumberFormat="0" applyProtection="0">
      <alignment horizontal="right" vertical="center"/>
    </xf>
    <xf numFmtId="4" fontId="127" fillId="43" borderId="20" applyNumberFormat="0" applyProtection="0">
      <alignment horizontal="right" vertical="center"/>
    </xf>
    <xf numFmtId="4" fontId="127" fillId="44" borderId="20" applyNumberFormat="0" applyProtection="0">
      <alignment horizontal="right" vertical="center"/>
    </xf>
    <xf numFmtId="4" fontId="127" fillId="45" borderId="20" applyNumberFormat="0" applyProtection="0">
      <alignment horizontal="right" vertical="center"/>
    </xf>
    <xf numFmtId="4" fontId="127" fillId="46" borderId="20" applyNumberFormat="0" applyProtection="0">
      <alignment horizontal="right" vertical="center"/>
    </xf>
    <xf numFmtId="4" fontId="127" fillId="47" borderId="20" applyNumberFormat="0" applyProtection="0">
      <alignment horizontal="right" vertical="center"/>
    </xf>
    <xf numFmtId="4" fontId="125" fillId="48" borderId="21" applyNumberFormat="0" applyProtection="0">
      <alignment horizontal="left" vertical="center" indent="1"/>
    </xf>
    <xf numFmtId="4" fontId="125" fillId="20" borderId="0" applyNumberFormat="0" applyProtection="0">
      <alignment horizontal="left" vertical="center" indent="1"/>
    </xf>
    <xf numFmtId="4" fontId="125" fillId="39" borderId="0" applyNumberFormat="0" applyProtection="0">
      <alignment horizontal="left" vertical="center" indent="1"/>
    </xf>
    <xf numFmtId="4" fontId="127" fillId="20" borderId="20" applyNumberFormat="0" applyProtection="0">
      <alignment horizontal="right" vertical="center"/>
    </xf>
    <xf numFmtId="4" fontId="129" fillId="20" borderId="0" applyNumberFormat="0" applyProtection="0">
      <alignment horizontal="left" vertical="center" indent="1"/>
    </xf>
    <xf numFmtId="4" fontId="129" fillId="39" borderId="0" applyNumberFormat="0" applyProtection="0">
      <alignment horizontal="left" vertical="center" indent="1"/>
    </xf>
    <xf numFmtId="0" fontId="1" fillId="23" borderId="22" applyNumberFormat="0" applyProtection="0">
      <alignment horizontal="left" vertical="center" indent="1"/>
    </xf>
    <xf numFmtId="0" fontId="97" fillId="49" borderId="20" applyNumberFormat="0" applyProtection="0">
      <alignment horizontal="left" vertical="top" indent="1"/>
    </xf>
    <xf numFmtId="0" fontId="1" fillId="50" borderId="22" applyNumberFormat="0" applyProtection="0">
      <alignment horizontal="left" vertical="center" indent="1"/>
    </xf>
    <xf numFmtId="0" fontId="97" fillId="51" borderId="20" applyNumberFormat="0" applyProtection="0">
      <alignment horizontal="left" vertical="top" indent="1"/>
    </xf>
    <xf numFmtId="0" fontId="1" fillId="3" borderId="22" applyNumberFormat="0" applyProtection="0">
      <alignment horizontal="left" vertical="center" indent="1"/>
    </xf>
    <xf numFmtId="0" fontId="97" fillId="3" borderId="20" applyNumberFormat="0" applyProtection="0">
      <alignment horizontal="left" vertical="top" indent="1"/>
    </xf>
    <xf numFmtId="0" fontId="1" fillId="52" borderId="22" applyNumberFormat="0" applyProtection="0">
      <alignment horizontal="left" vertical="center" indent="1"/>
    </xf>
    <xf numFmtId="0" fontId="97" fillId="52" borderId="20" applyNumberFormat="0" applyProtection="0">
      <alignment horizontal="left" vertical="top" indent="1"/>
    </xf>
    <xf numFmtId="0" fontId="97" fillId="34" borderId="23" applyNumberFormat="0">
      <protection locked="0"/>
    </xf>
    <xf numFmtId="0" fontId="130" fillId="49" borderId="24" applyBorder="0"/>
    <xf numFmtId="4" fontId="127" fillId="53" borderId="20" applyNumberFormat="0" applyProtection="0">
      <alignment vertical="center"/>
    </xf>
    <xf numFmtId="4" fontId="131" fillId="53" borderId="20" applyNumberFormat="0" applyProtection="0">
      <alignment vertical="center"/>
    </xf>
    <xf numFmtId="4" fontId="125" fillId="20" borderId="25" applyNumberFormat="0" applyProtection="0">
      <alignment horizontal="left" vertical="center" indent="1"/>
    </xf>
    <xf numFmtId="0" fontId="132" fillId="32" borderId="20" applyNumberFormat="0" applyProtection="0">
      <alignment horizontal="left" vertical="top" indent="1"/>
    </xf>
    <xf numFmtId="4" fontId="127" fillId="53" borderId="20" applyNumberFormat="0" applyProtection="0">
      <alignment horizontal="right" vertical="center"/>
    </xf>
    <xf numFmtId="4" fontId="131" fillId="53" borderId="20" applyNumberFormat="0" applyProtection="0">
      <alignment horizontal="right" vertical="center"/>
    </xf>
    <xf numFmtId="4" fontId="125" fillId="20" borderId="20" applyNumberFormat="0" applyProtection="0">
      <alignment horizontal="left" vertical="center" indent="1"/>
    </xf>
    <xf numFmtId="0" fontId="132" fillId="51" borderId="20" applyNumberFormat="0" applyProtection="0">
      <alignment horizontal="left" vertical="top" indent="1"/>
    </xf>
    <xf numFmtId="4" fontId="133" fillId="54" borderId="25" applyNumberFormat="0" applyProtection="0">
      <alignment horizontal="left" vertical="center" indent="1"/>
    </xf>
    <xf numFmtId="0" fontId="1" fillId="55" borderId="2"/>
    <xf numFmtId="4" fontId="134" fillId="53" borderId="20" applyNumberFormat="0" applyProtection="0">
      <alignment horizontal="right" vertical="center"/>
    </xf>
    <xf numFmtId="0" fontId="135" fillId="56" borderId="0"/>
    <xf numFmtId="0" fontId="2" fillId="57" borderId="0"/>
    <xf numFmtId="0" fontId="5" fillId="0" borderId="0"/>
    <xf numFmtId="40" fontId="136" fillId="0" borderId="0" applyFont="0" applyFill="0" applyBorder="0" applyAlignment="0" applyProtection="0"/>
    <xf numFmtId="216" fontId="81" fillId="58" borderId="0" applyFont="0"/>
    <xf numFmtId="0" fontId="19" fillId="0" borderId="0"/>
    <xf numFmtId="0" fontId="137" fillId="0" borderId="0" applyNumberFormat="0" applyFill="0" applyBorder="0" applyAlignment="0" applyProtection="0"/>
    <xf numFmtId="1" fontId="75" fillId="0" borderId="0"/>
    <xf numFmtId="0" fontId="138" fillId="0" borderId="0">
      <alignment textRotation="90"/>
    </xf>
    <xf numFmtId="250" fontId="139" fillId="0" borderId="0">
      <alignment vertical="center"/>
    </xf>
    <xf numFmtId="0" fontId="129" fillId="0" borderId="0"/>
    <xf numFmtId="0" fontId="75" fillId="59" borderId="0"/>
    <xf numFmtId="0" fontId="75" fillId="0" borderId="0"/>
    <xf numFmtId="0" fontId="75" fillId="0" borderId="0">
      <alignment vertical="top"/>
    </xf>
    <xf numFmtId="0" fontId="75" fillId="0" borderId="0">
      <alignment vertical="top"/>
    </xf>
    <xf numFmtId="0" fontId="140" fillId="20" borderId="0"/>
    <xf numFmtId="0" fontId="141" fillId="0" borderId="0">
      <alignment horizontal="left" vertical="center"/>
    </xf>
    <xf numFmtId="40" fontId="142" fillId="0" borderId="0" applyBorder="0">
      <alignment horizontal="right"/>
    </xf>
    <xf numFmtId="37" fontId="28" fillId="0" borderId="5" applyNumberFormat="0"/>
    <xf numFmtId="0" fontId="143" fillId="0" borderId="26" applyNumberFormat="0" applyAlignment="0" applyProtection="0"/>
    <xf numFmtId="0" fontId="3" fillId="22" borderId="6" applyNumberFormat="0" applyFont="0" applyAlignment="0"/>
    <xf numFmtId="0" fontId="144" fillId="0" borderId="0" applyBorder="0" applyProtection="0">
      <alignment vertical="center"/>
    </xf>
    <xf numFmtId="0" fontId="144" fillId="0" borderId="3" applyBorder="0" applyProtection="0">
      <alignment horizontal="right" vertical="center"/>
    </xf>
    <xf numFmtId="0" fontId="145" fillId="60" borderId="0" applyBorder="0" applyProtection="0">
      <alignment horizontal="centerContinuous" vertical="center"/>
    </xf>
    <xf numFmtId="0" fontId="145" fillId="61" borderId="3" applyBorder="0" applyProtection="0">
      <alignment horizontal="centerContinuous" vertical="center"/>
    </xf>
    <xf numFmtId="0" fontId="146" fillId="0" borderId="0"/>
    <xf numFmtId="0" fontId="115" fillId="0" borderId="0"/>
    <xf numFmtId="0" fontId="147" fillId="0" borderId="0" applyFill="0" applyBorder="0" applyProtection="0">
      <alignment horizontal="left"/>
    </xf>
    <xf numFmtId="0" fontId="105" fillId="0" borderId="27" applyFill="0" applyBorder="0" applyProtection="0">
      <alignment horizontal="left" vertical="top"/>
    </xf>
    <xf numFmtId="0" fontId="74" fillId="0" borderId="0">
      <alignment horizontal="centerContinuous"/>
    </xf>
    <xf numFmtId="49" fontId="76" fillId="0" borderId="0" applyFont="0" applyFill="0" applyBorder="0" applyAlignment="0" applyProtection="0"/>
    <xf numFmtId="0" fontId="148" fillId="0" borderId="0"/>
    <xf numFmtId="0" fontId="149" fillId="0" borderId="0"/>
    <xf numFmtId="0" fontId="36" fillId="31" borderId="0">
      <alignment horizontal="right"/>
    </xf>
    <xf numFmtId="251" fontId="55" fillId="0" borderId="0"/>
    <xf numFmtId="0" fontId="3" fillId="0" borderId="0" applyFont="0" applyFill="0" applyBorder="0" applyAlignment="0" applyProtection="0"/>
    <xf numFmtId="200" fontId="28" fillId="0" borderId="8" applyFill="0"/>
    <xf numFmtId="37" fontId="28" fillId="0" borderId="28" applyNumberFormat="0" applyFill="0"/>
    <xf numFmtId="0" fontId="150" fillId="0" borderId="0">
      <alignment horizontal="fill"/>
    </xf>
    <xf numFmtId="37" fontId="1" fillId="21" borderId="0" applyNumberFormat="0" applyBorder="0" applyAlignment="0" applyProtection="0"/>
    <xf numFmtId="37" fontId="97" fillId="0" borderId="0"/>
    <xf numFmtId="37" fontId="97" fillId="22" borderId="0" applyNumberFormat="0" applyBorder="0" applyAlignment="0" applyProtection="0"/>
    <xf numFmtId="3" fontId="151" fillId="0" borderId="14" applyProtection="0"/>
    <xf numFmtId="4" fontId="79" fillId="0" borderId="0">
      <protection locked="0"/>
    </xf>
    <xf numFmtId="252" fontId="75" fillId="0" borderId="0" applyFont="0" applyFill="0" applyBorder="0" applyAlignment="0" applyProtection="0"/>
    <xf numFmtId="253" fontId="75" fillId="0" borderId="0" applyFont="0" applyFill="0" applyBorder="0" applyAlignment="0" applyProtection="0"/>
    <xf numFmtId="0" fontId="75" fillId="0" borderId="0" applyFont="0" applyFill="0" applyBorder="0">
      <alignment horizontal="right" vertical="center" wrapText="1"/>
    </xf>
    <xf numFmtId="235" fontId="11" fillId="0" borderId="0"/>
    <xf numFmtId="1" fontId="152" fillId="0" borderId="0">
      <alignment horizontal="center"/>
    </xf>
    <xf numFmtId="1" fontId="153" fillId="0" borderId="0">
      <alignment horizontal="centerContinuous"/>
    </xf>
  </cellStyleXfs>
  <cellXfs count="1255">
    <xf numFmtId="174" fontId="0" fillId="0" borderId="0" xfId="0"/>
    <xf numFmtId="0" fontId="23" fillId="0" borderId="0" xfId="313"/>
    <xf numFmtId="0" fontId="10" fillId="0" borderId="0" xfId="313" applyFont="1" applyProtection="1">
      <protection locked="0"/>
    </xf>
    <xf numFmtId="0" fontId="10" fillId="0" borderId="0" xfId="313" applyFont="1" applyAlignment="1" applyProtection="1">
      <alignment horizontal="left"/>
      <protection locked="0"/>
    </xf>
    <xf numFmtId="0" fontId="10" fillId="0" borderId="0" xfId="313" applyFont="1" applyAlignment="1" applyProtection="1">
      <alignment horizontal="center"/>
      <protection locked="0"/>
    </xf>
    <xf numFmtId="0" fontId="10" fillId="0" borderId="0" xfId="313" applyFont="1" applyAlignment="1" applyProtection="1">
      <alignment horizontal="right"/>
      <protection locked="0"/>
    </xf>
    <xf numFmtId="0" fontId="10" fillId="0" borderId="0" xfId="313" applyFont="1" applyAlignment="1">
      <alignment horizontal="right"/>
    </xf>
    <xf numFmtId="0" fontId="10" fillId="0" borderId="0" xfId="313" applyFont="1"/>
    <xf numFmtId="3" fontId="10" fillId="0" borderId="0" xfId="313" applyNumberFormat="1" applyFont="1"/>
    <xf numFmtId="0" fontId="23" fillId="0" borderId="0" xfId="313" applyAlignment="1" applyProtection="1">
      <alignment horizontal="center"/>
      <protection locked="0"/>
    </xf>
    <xf numFmtId="49" fontId="10" fillId="0" borderId="0" xfId="313" quotePrefix="1" applyNumberFormat="1" applyFont="1" applyAlignment="1">
      <alignment horizontal="center"/>
    </xf>
    <xf numFmtId="49" fontId="10" fillId="0" borderId="0" xfId="313" applyNumberFormat="1" applyFont="1"/>
    <xf numFmtId="0" fontId="23" fillId="0" borderId="13" xfId="313" applyBorder="1" applyAlignment="1" applyProtection="1">
      <alignment horizontal="center"/>
      <protection locked="0"/>
    </xf>
    <xf numFmtId="0" fontId="10" fillId="0" borderId="13" xfId="313" applyFont="1" applyBorder="1" applyAlignment="1" applyProtection="1">
      <alignment horizontal="center"/>
      <protection locked="0"/>
    </xf>
    <xf numFmtId="0" fontId="10" fillId="0" borderId="13" xfId="313" applyFont="1" applyBorder="1" applyAlignment="1" applyProtection="1">
      <alignment horizontal="centerContinuous"/>
      <protection locked="0"/>
    </xf>
    <xf numFmtId="166" fontId="10" fillId="0" borderId="0" xfId="313" applyNumberFormat="1" applyFont="1"/>
    <xf numFmtId="0" fontId="34" fillId="0" borderId="0" xfId="313" applyFont="1" applyAlignment="1">
      <alignment horizontal="left"/>
    </xf>
    <xf numFmtId="3" fontId="10" fillId="0" borderId="13" xfId="313" applyNumberFormat="1" applyFont="1" applyBorder="1"/>
    <xf numFmtId="3" fontId="10" fillId="0" borderId="0" xfId="313" applyNumberFormat="1" applyFont="1" applyAlignment="1">
      <alignment horizontal="fill"/>
    </xf>
    <xf numFmtId="0" fontId="10" fillId="0" borderId="0" xfId="313" applyFont="1" applyAlignment="1">
      <alignment horizontal="left"/>
    </xf>
    <xf numFmtId="0" fontId="33" fillId="0" borderId="0" xfId="313" quotePrefix="1" applyFont="1" applyAlignment="1">
      <alignment horizontal="left"/>
    </xf>
    <xf numFmtId="0" fontId="34" fillId="0" borderId="0" xfId="313" quotePrefix="1" applyFont="1" applyAlignment="1">
      <alignment horizontal="left" indent="1"/>
    </xf>
    <xf numFmtId="169" fontId="10" fillId="0" borderId="0" xfId="313" applyNumberFormat="1" applyFont="1"/>
    <xf numFmtId="3" fontId="23" fillId="0" borderId="0" xfId="313" applyNumberFormat="1"/>
    <xf numFmtId="0" fontId="10" fillId="0" borderId="0" xfId="313" applyFont="1" applyAlignment="1">
      <alignment horizontal="center"/>
    </xf>
    <xf numFmtId="49" fontId="10" fillId="0" borderId="0" xfId="313" applyNumberFormat="1" applyFont="1" applyAlignment="1">
      <alignment horizontal="left"/>
    </xf>
    <xf numFmtId="49" fontId="10" fillId="0" borderId="0" xfId="313" applyNumberFormat="1" applyFont="1" applyAlignment="1">
      <alignment horizontal="center"/>
    </xf>
    <xf numFmtId="3" fontId="5" fillId="0" borderId="0" xfId="313" applyNumberFormat="1" applyFont="1" applyAlignment="1">
      <alignment horizontal="center"/>
    </xf>
    <xf numFmtId="0" fontId="5" fillId="0" borderId="0" xfId="313" applyFont="1" applyAlignment="1" applyProtection="1">
      <alignment horizontal="center"/>
      <protection locked="0"/>
    </xf>
    <xf numFmtId="0" fontId="23" fillId="0" borderId="0" xfId="313" applyAlignment="1">
      <alignment horizontal="center"/>
    </xf>
    <xf numFmtId="0" fontId="5" fillId="0" borderId="0" xfId="313" applyFont="1" applyAlignment="1">
      <alignment horizontal="center"/>
    </xf>
    <xf numFmtId="3" fontId="5" fillId="0" borderId="0" xfId="313" applyNumberFormat="1" applyFont="1"/>
    <xf numFmtId="0" fontId="32" fillId="0" borderId="0" xfId="313" applyFont="1" applyAlignment="1" applyProtection="1">
      <alignment horizontal="center"/>
      <protection locked="0"/>
    </xf>
    <xf numFmtId="0" fontId="5" fillId="0" borderId="0" xfId="313" applyFont="1"/>
    <xf numFmtId="0" fontId="34" fillId="0" borderId="0" xfId="313" quotePrefix="1" applyFont="1" applyAlignment="1">
      <alignment horizontal="left"/>
    </xf>
    <xf numFmtId="164" fontId="10" fillId="0" borderId="0" xfId="313" applyNumberFormat="1" applyFont="1" applyAlignment="1">
      <alignment horizontal="center"/>
    </xf>
    <xf numFmtId="165" fontId="10" fillId="0" borderId="0" xfId="313" applyNumberFormat="1" applyFont="1" applyAlignment="1">
      <alignment horizontal="right"/>
    </xf>
    <xf numFmtId="0" fontId="23" fillId="0" borderId="0" xfId="313" applyProtection="1">
      <protection locked="0"/>
    </xf>
    <xf numFmtId="0" fontId="36" fillId="0" borderId="0" xfId="313" applyFont="1" applyAlignment="1">
      <alignment horizontal="center"/>
    </xf>
    <xf numFmtId="3" fontId="36" fillId="0" borderId="0" xfId="313" applyNumberFormat="1" applyFont="1"/>
    <xf numFmtId="3" fontId="34" fillId="0" borderId="0" xfId="313" quotePrefix="1" applyNumberFormat="1" applyFont="1" applyAlignment="1">
      <alignment horizontal="left"/>
    </xf>
    <xf numFmtId="172" fontId="10" fillId="0" borderId="0" xfId="313" applyNumberFormat="1" applyFont="1" applyAlignment="1">
      <alignment horizontal="left"/>
    </xf>
    <xf numFmtId="3" fontId="37" fillId="0" borderId="0" xfId="0" applyNumberFormat="1" applyFont="1"/>
    <xf numFmtId="166" fontId="10" fillId="0" borderId="0" xfId="313" applyNumberFormat="1" applyFont="1" applyAlignment="1">
      <alignment horizontal="center"/>
    </xf>
    <xf numFmtId="164" fontId="10" fillId="0" borderId="0" xfId="313" applyNumberFormat="1" applyFont="1" applyAlignment="1">
      <alignment horizontal="left"/>
    </xf>
    <xf numFmtId="10" fontId="10" fillId="0" borderId="0" xfId="313" applyNumberFormat="1" applyFont="1" applyAlignment="1">
      <alignment horizontal="left"/>
    </xf>
    <xf numFmtId="164" fontId="10" fillId="0" borderId="0" xfId="313" applyNumberFormat="1" applyFont="1" applyAlignment="1" applyProtection="1">
      <alignment horizontal="left"/>
      <protection locked="0"/>
    </xf>
    <xf numFmtId="3" fontId="10" fillId="0" borderId="0" xfId="313" applyNumberFormat="1" applyFont="1" applyAlignment="1">
      <alignment horizontal="right"/>
    </xf>
    <xf numFmtId="167" fontId="10" fillId="0" borderId="0" xfId="313" applyNumberFormat="1" applyFont="1"/>
    <xf numFmtId="0" fontId="38" fillId="0" borderId="0" xfId="313" applyFont="1"/>
    <xf numFmtId="0" fontId="33" fillId="0" borderId="0" xfId="313" applyFont="1" applyAlignment="1">
      <alignment horizontal="left" indent="1"/>
    </xf>
    <xf numFmtId="0" fontId="23" fillId="0" borderId="0" xfId="313" applyAlignment="1">
      <alignment horizontal="right"/>
    </xf>
    <xf numFmtId="3" fontId="23" fillId="0" borderId="0" xfId="313" applyNumberFormat="1" applyAlignment="1">
      <alignment horizontal="right"/>
    </xf>
    <xf numFmtId="0" fontId="10" fillId="0" borderId="13" xfId="313" applyFont="1" applyBorder="1" applyProtection="1">
      <protection locked="0"/>
    </xf>
    <xf numFmtId="0" fontId="10" fillId="0" borderId="13" xfId="313" applyFont="1" applyBorder="1"/>
    <xf numFmtId="3" fontId="10" fillId="0" borderId="0" xfId="313" applyNumberFormat="1" applyFont="1" applyAlignment="1">
      <alignment horizontal="center"/>
    </xf>
    <xf numFmtId="3" fontId="10" fillId="0" borderId="13" xfId="313" applyNumberFormat="1" applyFont="1" applyBorder="1" applyAlignment="1">
      <alignment horizontal="center"/>
    </xf>
    <xf numFmtId="4" fontId="10" fillId="0" borderId="0" xfId="313" applyNumberFormat="1" applyFont="1"/>
    <xf numFmtId="3" fontId="10" fillId="0" borderId="0" xfId="313" quotePrefix="1" applyNumberFormat="1" applyFont="1"/>
    <xf numFmtId="0" fontId="23" fillId="0" borderId="0" xfId="313" applyProtection="1"/>
    <xf numFmtId="174" fontId="10" fillId="0" borderId="0" xfId="313" applyNumberFormat="1" applyFont="1" applyProtection="1">
      <protection locked="0"/>
    </xf>
    <xf numFmtId="0" fontId="39" fillId="0" borderId="0" xfId="313" applyFont="1"/>
    <xf numFmtId="3" fontId="23" fillId="0" borderId="0" xfId="313" applyNumberFormat="1" applyProtection="1"/>
    <xf numFmtId="0" fontId="40" fillId="0" borderId="0" xfId="313" applyFont="1" applyAlignment="1" applyProtection="1">
      <alignment horizontal="center"/>
      <protection locked="0"/>
    </xf>
    <xf numFmtId="0" fontId="39" fillId="0" borderId="0" xfId="313" applyFont="1" applyAlignment="1" applyProtection="1">
      <alignment horizontal="center"/>
      <protection locked="0"/>
    </xf>
    <xf numFmtId="0" fontId="39" fillId="0" borderId="0" xfId="313" applyFont="1" applyProtection="1">
      <protection locked="0"/>
    </xf>
    <xf numFmtId="3" fontId="39" fillId="0" borderId="0" xfId="313" applyNumberFormat="1" applyFont="1"/>
    <xf numFmtId="0" fontId="41" fillId="0" borderId="0" xfId="313" applyFont="1" applyAlignment="1" applyProtection="1">
      <alignment horizontal="center"/>
      <protection locked="0"/>
    </xf>
    <xf numFmtId="0" fontId="39" fillId="0" borderId="13" xfId="313" applyFont="1" applyBorder="1" applyAlignment="1" applyProtection="1">
      <alignment horizontal="center"/>
      <protection locked="0"/>
    </xf>
    <xf numFmtId="0" fontId="42" fillId="0" borderId="0" xfId="313" quotePrefix="1" applyFont="1" applyAlignment="1">
      <alignment horizontal="left"/>
    </xf>
    <xf numFmtId="0" fontId="42" fillId="0" borderId="0" xfId="313" applyFont="1" applyAlignment="1">
      <alignment horizontal="left"/>
    </xf>
    <xf numFmtId="0" fontId="10" fillId="0" borderId="0" xfId="313" quotePrefix="1" applyFont="1" applyAlignment="1">
      <alignment horizontal="left"/>
    </xf>
    <xf numFmtId="0" fontId="10" fillId="0" borderId="0" xfId="313" quotePrefix="1" applyFont="1" applyAlignment="1">
      <alignment horizontal="left" indent="1"/>
    </xf>
    <xf numFmtId="0" fontId="10" fillId="0" borderId="0" xfId="313" quotePrefix="1" applyFont="1" applyAlignment="1" applyProtection="1">
      <alignment horizontal="left"/>
      <protection locked="0"/>
    </xf>
    <xf numFmtId="175" fontId="10" fillId="0" borderId="0" xfId="154" applyNumberFormat="1" applyFont="1" applyFill="1" applyAlignment="1"/>
    <xf numFmtId="0" fontId="35" fillId="0" borderId="0" xfId="313" applyFont="1"/>
    <xf numFmtId="3" fontId="33" fillId="0" borderId="0" xfId="313" applyNumberFormat="1" applyFont="1" applyAlignment="1">
      <alignment horizontal="right"/>
    </xf>
    <xf numFmtId="3" fontId="43" fillId="0" borderId="0" xfId="313" applyNumberFormat="1" applyFont="1" applyAlignment="1">
      <alignment horizontal="right"/>
    </xf>
    <xf numFmtId="168" fontId="10" fillId="0" borderId="0" xfId="313" applyNumberFormat="1" applyFont="1"/>
    <xf numFmtId="3" fontId="42" fillId="0" borderId="0" xfId="313" quotePrefix="1" applyNumberFormat="1" applyFont="1" applyAlignment="1">
      <alignment horizontal="right"/>
    </xf>
    <xf numFmtId="3" fontId="34" fillId="0" borderId="0" xfId="313" applyNumberFormat="1" applyFont="1"/>
    <xf numFmtId="3" fontId="42" fillId="0" borderId="0" xfId="313" applyNumberFormat="1" applyFont="1" applyAlignment="1">
      <alignment horizontal="right"/>
    </xf>
    <xf numFmtId="3" fontId="43" fillId="0" borderId="0" xfId="313" applyNumberFormat="1" applyFont="1"/>
    <xf numFmtId="42" fontId="10" fillId="0" borderId="0" xfId="313" applyNumberFormat="1" applyFont="1"/>
    <xf numFmtId="42" fontId="10" fillId="0" borderId="0" xfId="313" applyNumberFormat="1" applyFont="1" applyAlignment="1" applyProtection="1">
      <alignment horizontal="right"/>
      <protection locked="0"/>
    </xf>
    <xf numFmtId="3" fontId="42" fillId="0" borderId="0" xfId="313" applyNumberFormat="1" applyFont="1"/>
    <xf numFmtId="175" fontId="10" fillId="0" borderId="0" xfId="154" applyNumberFormat="1" applyFont="1" applyFill="1" applyBorder="1" applyAlignment="1"/>
    <xf numFmtId="0" fontId="0" fillId="0" borderId="0" xfId="0" applyNumberFormat="1"/>
    <xf numFmtId="0" fontId="0" fillId="0" borderId="0" xfId="313" applyFont="1"/>
    <xf numFmtId="165" fontId="10" fillId="0" borderId="0" xfId="313" applyNumberFormat="1" applyFont="1"/>
    <xf numFmtId="175" fontId="46" fillId="0" borderId="0" xfId="154" applyNumberFormat="1" applyFont="1" applyFill="1" applyBorder="1"/>
    <xf numFmtId="0" fontId="51" fillId="0" borderId="29" xfId="313" applyFont="1" applyBorder="1"/>
    <xf numFmtId="175" fontId="10" fillId="0" borderId="0" xfId="154" applyNumberFormat="1" applyFont="1" applyFill="1" applyBorder="1"/>
    <xf numFmtId="175" fontId="23" fillId="0" borderId="0" xfId="154" applyNumberFormat="1" applyFont="1" applyAlignment="1"/>
    <xf numFmtId="175" fontId="23" fillId="0" borderId="13" xfId="154" applyNumberFormat="1" applyFont="1" applyBorder="1" applyAlignment="1"/>
    <xf numFmtId="0" fontId="3" fillId="0" borderId="0" xfId="301"/>
    <xf numFmtId="0" fontId="11" fillId="0" borderId="0" xfId="301" applyFont="1"/>
    <xf numFmtId="173" fontId="10" fillId="0" borderId="0" xfId="313" applyNumberFormat="1" applyFont="1"/>
    <xf numFmtId="3" fontId="10" fillId="0" borderId="0" xfId="313" applyNumberFormat="1" applyFont="1" applyAlignment="1">
      <alignment horizontal="left"/>
    </xf>
    <xf numFmtId="175" fontId="10" fillId="0" borderId="0" xfId="154" quotePrefix="1" applyNumberFormat="1" applyFont="1" applyFill="1" applyBorder="1" applyAlignment="1"/>
    <xf numFmtId="175" fontId="10" fillId="0" borderId="0" xfId="154" quotePrefix="1" applyNumberFormat="1" applyFont="1" applyFill="1" applyBorder="1" applyAlignment="1" applyProtection="1">
      <protection locked="0"/>
    </xf>
    <xf numFmtId="173" fontId="10" fillId="0" borderId="0" xfId="313" applyNumberFormat="1" applyFont="1" applyProtection="1">
      <protection locked="0"/>
    </xf>
    <xf numFmtId="175" fontId="10" fillId="0" borderId="0" xfId="154" quotePrefix="1" applyNumberFormat="1" applyFont="1" applyFill="1" applyBorder="1" applyProtection="1">
      <protection locked="0"/>
    </xf>
    <xf numFmtId="175" fontId="23" fillId="0" borderId="0" xfId="313" applyNumberFormat="1"/>
    <xf numFmtId="173" fontId="23" fillId="0" borderId="0" xfId="313" applyNumberFormat="1"/>
    <xf numFmtId="175" fontId="10" fillId="0" borderId="0" xfId="154" applyNumberFormat="1" applyFont="1"/>
    <xf numFmtId="175" fontId="10" fillId="0" borderId="0" xfId="154" applyNumberFormat="1" applyFont="1" applyAlignment="1"/>
    <xf numFmtId="175" fontId="10" fillId="0" borderId="30" xfId="154" applyNumberFormat="1" applyFont="1" applyBorder="1" applyAlignment="1"/>
    <xf numFmtId="175" fontId="10" fillId="0" borderId="0" xfId="154" applyNumberFormat="1" applyFont="1" applyAlignment="1" applyProtection="1">
      <protection locked="0"/>
    </xf>
    <xf numFmtId="175" fontId="10" fillId="0" borderId="0" xfId="154" applyNumberFormat="1" applyFont="1" applyAlignment="1" applyProtection="1">
      <alignment horizontal="right"/>
      <protection locked="0"/>
    </xf>
    <xf numFmtId="175" fontId="10" fillId="0" borderId="0" xfId="154" applyNumberFormat="1" applyFont="1" applyAlignment="1">
      <alignment horizontal="right"/>
    </xf>
    <xf numFmtId="175" fontId="10" fillId="0" borderId="0" xfId="154" applyNumberFormat="1" applyFont="1" applyProtection="1">
      <protection locked="0"/>
    </xf>
    <xf numFmtId="175" fontId="10" fillId="0" borderId="0" xfId="154" applyNumberFormat="1" applyFont="1" applyAlignment="1">
      <alignment horizontal="center"/>
    </xf>
    <xf numFmtId="175" fontId="23" fillId="0" borderId="0" xfId="154" applyNumberFormat="1" applyFont="1" applyProtection="1">
      <protection locked="0"/>
    </xf>
    <xf numFmtId="175" fontId="5" fillId="0" borderId="0" xfId="154" applyNumberFormat="1" applyFont="1" applyAlignment="1" applyProtection="1">
      <alignment horizontal="center"/>
      <protection locked="0"/>
    </xf>
    <xf numFmtId="175" fontId="32" fillId="0" borderId="0" xfId="154" applyNumberFormat="1" applyFont="1" applyAlignment="1" applyProtection="1">
      <alignment horizontal="center"/>
      <protection locked="0"/>
    </xf>
    <xf numFmtId="175" fontId="10" fillId="0" borderId="0" xfId="154" applyNumberFormat="1" applyFont="1" applyFill="1" applyAlignment="1">
      <alignment horizontal="right"/>
    </xf>
    <xf numFmtId="175" fontId="10" fillId="21" borderId="0" xfId="154" applyNumberFormat="1" applyFont="1" applyFill="1" applyAlignment="1"/>
    <xf numFmtId="0" fontId="28" fillId="0" borderId="31" xfId="301" applyFont="1" applyBorder="1" applyAlignment="1">
      <alignment horizontal="center"/>
    </xf>
    <xf numFmtId="175" fontId="3" fillId="0" borderId="0" xfId="301" applyNumberFormat="1"/>
    <xf numFmtId="9" fontId="11" fillId="0" borderId="0" xfId="301" applyNumberFormat="1" applyFont="1"/>
    <xf numFmtId="0" fontId="46" fillId="0" borderId="0" xfId="301" applyFont="1"/>
    <xf numFmtId="175" fontId="46" fillId="0" borderId="0" xfId="172" applyNumberFormat="1" applyFont="1" applyAlignment="1"/>
    <xf numFmtId="0" fontId="50" fillId="0" borderId="0" xfId="301" applyFont="1"/>
    <xf numFmtId="0" fontId="3" fillId="0" borderId="0" xfId="301" applyAlignment="1">
      <alignment horizontal="center"/>
    </xf>
    <xf numFmtId="175" fontId="46" fillId="0" borderId="0" xfId="172" applyNumberFormat="1" applyFont="1" applyFill="1" applyAlignment="1"/>
    <xf numFmtId="175" fontId="46" fillId="21" borderId="0" xfId="172" applyNumberFormat="1" applyFont="1" applyFill="1" applyAlignment="1"/>
    <xf numFmtId="175" fontId="46" fillId="0" borderId="0" xfId="172" applyNumberFormat="1" applyFont="1" applyFill="1" applyBorder="1" applyAlignment="1"/>
    <xf numFmtId="175" fontId="3" fillId="0" borderId="0" xfId="172" applyNumberFormat="1" applyFill="1" applyAlignment="1"/>
    <xf numFmtId="175" fontId="3" fillId="0" borderId="0" xfId="172" applyNumberFormat="1" applyAlignment="1"/>
    <xf numFmtId="0" fontId="45" fillId="0" borderId="0" xfId="301" applyFont="1"/>
    <xf numFmtId="175" fontId="46" fillId="0" borderId="0" xfId="172" applyNumberFormat="1" applyFont="1" applyFill="1" applyBorder="1" applyAlignment="1">
      <alignment wrapText="1"/>
    </xf>
    <xf numFmtId="0" fontId="3" fillId="0" borderId="0" xfId="0" applyNumberFormat="1" applyFont="1"/>
    <xf numFmtId="175" fontId="3" fillId="0" borderId="0" xfId="172" applyNumberFormat="1" applyFont="1" applyFill="1" applyBorder="1"/>
    <xf numFmtId="0" fontId="3" fillId="0" borderId="32" xfId="301" applyBorder="1"/>
    <xf numFmtId="0" fontId="3" fillId="0" borderId="13" xfId="301" applyBorder="1"/>
    <xf numFmtId="0" fontId="3" fillId="0" borderId="33" xfId="301" applyBorder="1" applyAlignment="1">
      <alignment horizontal="center"/>
    </xf>
    <xf numFmtId="0" fontId="3" fillId="0" borderId="29" xfId="301" applyBorder="1"/>
    <xf numFmtId="0" fontId="3" fillId="0" borderId="0" xfId="301" applyAlignment="1">
      <alignment horizontal="center" wrapText="1"/>
    </xf>
    <xf numFmtId="3" fontId="3" fillId="0" borderId="0" xfId="301" applyNumberFormat="1" applyAlignment="1">
      <alignment horizontal="center"/>
    </xf>
    <xf numFmtId="175" fontId="3" fillId="0" borderId="0" xfId="172" applyNumberFormat="1" applyFont="1" applyFill="1" applyBorder="1" applyAlignment="1">
      <alignment horizontal="right"/>
    </xf>
    <xf numFmtId="0" fontId="3" fillId="0" borderId="0" xfId="301" applyAlignment="1">
      <alignment horizontal="right"/>
    </xf>
    <xf numFmtId="0" fontId="49" fillId="0" borderId="0" xfId="301" applyFont="1" applyAlignment="1">
      <alignment horizontal="left"/>
    </xf>
    <xf numFmtId="0" fontId="3" fillId="0" borderId="33" xfId="301" applyBorder="1"/>
    <xf numFmtId="175" fontId="3" fillId="21" borderId="0" xfId="172" applyNumberFormat="1" applyFont="1" applyFill="1" applyBorder="1" applyAlignment="1">
      <alignment horizontal="right"/>
    </xf>
    <xf numFmtId="0" fontId="3" fillId="0" borderId="0" xfId="301" applyAlignment="1">
      <alignment horizontal="left"/>
    </xf>
    <xf numFmtId="0" fontId="3" fillId="0" borderId="31" xfId="301" applyBorder="1" applyAlignment="1">
      <alignment horizontal="center"/>
    </xf>
    <xf numFmtId="175" fontId="3" fillId="0" borderId="0" xfId="172" applyNumberFormat="1" applyFont="1" applyFill="1" applyBorder="1" applyAlignment="1">
      <alignment horizontal="center"/>
    </xf>
    <xf numFmtId="0" fontId="49" fillId="56" borderId="34" xfId="301" applyFont="1" applyFill="1" applyBorder="1" applyAlignment="1">
      <alignment horizontal="center" wrapText="1"/>
    </xf>
    <xf numFmtId="175" fontId="28" fillId="0" borderId="0" xfId="172" applyNumberFormat="1" applyFont="1" applyBorder="1" applyAlignment="1"/>
    <xf numFmtId="175" fontId="3" fillId="0" borderId="0" xfId="172" applyNumberFormat="1" applyFont="1" applyBorder="1"/>
    <xf numFmtId="175" fontId="45" fillId="0" borderId="0" xfId="172" applyNumberFormat="1" applyFont="1" applyBorder="1" applyAlignment="1"/>
    <xf numFmtId="0" fontId="3" fillId="0" borderId="13" xfId="301" applyBorder="1" applyAlignment="1">
      <alignment horizontal="center"/>
    </xf>
    <xf numFmtId="175" fontId="3" fillId="0" borderId="0" xfId="172" applyNumberFormat="1" applyFont="1" applyFill="1" applyBorder="1" applyAlignment="1">
      <alignment horizontal="left"/>
    </xf>
    <xf numFmtId="0" fontId="28" fillId="0" borderId="0" xfId="301" applyFont="1" applyAlignment="1">
      <alignment horizontal="center"/>
    </xf>
    <xf numFmtId="3" fontId="3" fillId="0" borderId="0" xfId="301" applyNumberFormat="1"/>
    <xf numFmtId="3" fontId="51" fillId="0" borderId="0" xfId="301" applyNumberFormat="1" applyFont="1" applyAlignment="1">
      <alignment horizontal="center"/>
    </xf>
    <xf numFmtId="0" fontId="28" fillId="0" borderId="0" xfId="301" applyFont="1"/>
    <xf numFmtId="0" fontId="28" fillId="0" borderId="0" xfId="301" applyFont="1" applyAlignment="1">
      <alignment horizontal="left"/>
    </xf>
    <xf numFmtId="0" fontId="3" fillId="56" borderId="34" xfId="301" applyFill="1" applyBorder="1"/>
    <xf numFmtId="0" fontId="49" fillId="56" borderId="35" xfId="301" applyFont="1" applyFill="1" applyBorder="1" applyAlignment="1">
      <alignment horizontal="left"/>
    </xf>
    <xf numFmtId="0" fontId="46" fillId="0" borderId="13" xfId="301" applyFont="1" applyBorder="1"/>
    <xf numFmtId="0" fontId="49" fillId="56" borderId="35" xfId="301" applyFont="1" applyFill="1" applyBorder="1" applyAlignment="1">
      <alignment horizontal="center" wrapText="1"/>
    </xf>
    <xf numFmtId="0" fontId="49" fillId="0" borderId="0" xfId="301" applyFont="1"/>
    <xf numFmtId="0" fontId="51" fillId="0" borderId="0" xfId="301" applyFont="1" applyAlignment="1">
      <alignment horizontal="center"/>
    </xf>
    <xf numFmtId="0" fontId="49" fillId="0" borderId="13" xfId="301" applyFont="1" applyBorder="1"/>
    <xf numFmtId="0" fontId="3" fillId="0" borderId="31" xfId="301" applyBorder="1"/>
    <xf numFmtId="3" fontId="28" fillId="0" borderId="0" xfId="301" applyNumberFormat="1" applyFont="1"/>
    <xf numFmtId="3" fontId="28" fillId="0" borderId="0" xfId="301" applyNumberFormat="1" applyFont="1" applyAlignment="1">
      <alignment horizontal="center"/>
    </xf>
    <xf numFmtId="0" fontId="51" fillId="0" borderId="13" xfId="301" applyFont="1" applyBorder="1" applyAlignment="1">
      <alignment horizontal="center"/>
    </xf>
    <xf numFmtId="42" fontId="3" fillId="0" borderId="0" xfId="301" applyNumberFormat="1"/>
    <xf numFmtId="171" fontId="3" fillId="0" borderId="32" xfId="327" applyNumberFormat="1" applyFont="1" applyFill="1" applyBorder="1" applyAlignment="1">
      <alignment horizontal="center"/>
    </xf>
    <xf numFmtId="0" fontId="3" fillId="0" borderId="32" xfId="301" applyBorder="1" applyAlignment="1">
      <alignment horizontal="left"/>
    </xf>
    <xf numFmtId="174" fontId="3" fillId="0" borderId="13" xfId="301" applyNumberFormat="1" applyBorder="1"/>
    <xf numFmtId="0" fontId="28" fillId="0" borderId="29" xfId="301" applyFont="1" applyBorder="1" applyAlignment="1">
      <alignment horizontal="center"/>
    </xf>
    <xf numFmtId="3" fontId="3" fillId="0" borderId="29" xfId="301" applyNumberFormat="1" applyBorder="1"/>
    <xf numFmtId="164" fontId="28" fillId="0" borderId="0" xfId="301" applyNumberFormat="1" applyFont="1" applyAlignment="1">
      <alignment horizontal="left"/>
    </xf>
    <xf numFmtId="0" fontId="3" fillId="0" borderId="0" xfId="301" applyAlignment="1">
      <alignment horizontal="left" indent="1"/>
    </xf>
    <xf numFmtId="0" fontId="3" fillId="0" borderId="13" xfId="301" applyBorder="1" applyAlignment="1">
      <alignment horizontal="left"/>
    </xf>
    <xf numFmtId="0" fontId="51" fillId="0" borderId="0" xfId="301" applyFont="1"/>
    <xf numFmtId="175" fontId="28" fillId="0" borderId="13" xfId="172" applyNumberFormat="1" applyFont="1" applyFill="1" applyBorder="1"/>
    <xf numFmtId="0" fontId="49" fillId="0" borderId="0" xfId="301" applyFont="1" applyAlignment="1">
      <alignment horizontal="center" wrapText="1"/>
    </xf>
    <xf numFmtId="175" fontId="28" fillId="0" borderId="0" xfId="172" applyNumberFormat="1" applyFont="1" applyFill="1" applyBorder="1"/>
    <xf numFmtId="0" fontId="3" fillId="0" borderId="0" xfId="301" applyAlignment="1">
      <alignment horizontal="left" wrapText="1"/>
    </xf>
    <xf numFmtId="0" fontId="49" fillId="0" borderId="0" xfId="301" applyFont="1" applyAlignment="1">
      <alignment horizontal="center"/>
    </xf>
    <xf numFmtId="175" fontId="3" fillId="0" borderId="13" xfId="172" applyNumberFormat="1" applyFont="1" applyFill="1" applyBorder="1" applyAlignment="1">
      <alignment horizontal="center"/>
    </xf>
    <xf numFmtId="3" fontId="3" fillId="0" borderId="0" xfId="313" applyNumberFormat="1" applyFont="1" applyAlignment="1">
      <alignment horizontal="right"/>
    </xf>
    <xf numFmtId="3" fontId="3" fillId="0" borderId="0" xfId="313" applyNumberFormat="1" applyFont="1"/>
    <xf numFmtId="165" fontId="3" fillId="0" borderId="0" xfId="313" applyNumberFormat="1" applyFont="1"/>
    <xf numFmtId="3" fontId="3" fillId="0" borderId="31" xfId="313" applyNumberFormat="1" applyFont="1" applyBorder="1"/>
    <xf numFmtId="0" fontId="3" fillId="0" borderId="0" xfId="313" applyFont="1"/>
    <xf numFmtId="0" fontId="3" fillId="0" borderId="31" xfId="313" applyFont="1" applyBorder="1" applyAlignment="1" applyProtection="1">
      <alignment horizontal="center"/>
      <protection locked="0"/>
    </xf>
    <xf numFmtId="0" fontId="49" fillId="0" borderId="34" xfId="301" applyFont="1" applyBorder="1" applyAlignment="1">
      <alignment horizontal="center" wrapText="1"/>
    </xf>
    <xf numFmtId="175" fontId="28" fillId="0" borderId="34" xfId="172" applyNumberFormat="1" applyFont="1" applyFill="1" applyBorder="1"/>
    <xf numFmtId="175" fontId="3" fillId="0" borderId="34" xfId="172" applyNumberFormat="1" applyFont="1" applyFill="1" applyBorder="1" applyAlignment="1">
      <alignment horizontal="center"/>
    </xf>
    <xf numFmtId="175" fontId="3" fillId="0" borderId="35" xfId="172" applyNumberFormat="1" applyFont="1" applyFill="1" applyBorder="1"/>
    <xf numFmtId="0" fontId="3" fillId="0" borderId="34" xfId="301" applyBorder="1" applyAlignment="1">
      <alignment horizontal="center"/>
    </xf>
    <xf numFmtId="0" fontId="51" fillId="0" borderId="34" xfId="301" applyFont="1" applyBorder="1"/>
    <xf numFmtId="0" fontId="28" fillId="0" borderId="34" xfId="301" applyFont="1" applyBorder="1" applyAlignment="1">
      <alignment horizontal="left"/>
    </xf>
    <xf numFmtId="0" fontId="49" fillId="56" borderId="12" xfId="301" applyFont="1" applyFill="1" applyBorder="1" applyAlignment="1">
      <alignment horizontal="center" wrapText="1"/>
    </xf>
    <xf numFmtId="3" fontId="3" fillId="0" borderId="0" xfId="301" applyNumberFormat="1" applyAlignment="1">
      <alignment horizontal="right"/>
    </xf>
    <xf numFmtId="175" fontId="3" fillId="0" borderId="0" xfId="172" applyNumberFormat="1" applyFont="1" applyBorder="1" applyAlignment="1"/>
    <xf numFmtId="0" fontId="10" fillId="21" borderId="0" xfId="313" quotePrefix="1" applyFont="1" applyFill="1" applyAlignment="1" applyProtection="1">
      <alignment horizontal="right"/>
      <protection locked="0"/>
    </xf>
    <xf numFmtId="0" fontId="10" fillId="21" borderId="0" xfId="313" applyFont="1" applyFill="1"/>
    <xf numFmtId="0" fontId="23" fillId="21" borderId="0" xfId="313" applyFill="1"/>
    <xf numFmtId="174" fontId="5" fillId="0" borderId="0" xfId="0" applyFont="1" applyAlignment="1">
      <alignment horizontal="center"/>
    </xf>
    <xf numFmtId="174" fontId="59" fillId="0" borderId="0" xfId="0" applyFont="1"/>
    <xf numFmtId="175" fontId="59" fillId="0" borderId="0" xfId="0" applyNumberFormat="1" applyFont="1" applyProtection="1">
      <protection locked="0"/>
    </xf>
    <xf numFmtId="175" fontId="0" fillId="0" borderId="0" xfId="0" applyNumberFormat="1"/>
    <xf numFmtId="179" fontId="0" fillId="0" borderId="0" xfId="0" applyNumberFormat="1"/>
    <xf numFmtId="176" fontId="0" fillId="0" borderId="0" xfId="190" applyNumberFormat="1" applyFont="1"/>
    <xf numFmtId="176" fontId="0" fillId="0" borderId="0" xfId="0" applyNumberFormat="1"/>
    <xf numFmtId="174" fontId="10" fillId="0" borderId="0" xfId="0" applyFont="1" applyProtection="1">
      <protection locked="0"/>
    </xf>
    <xf numFmtId="174" fontId="46" fillId="0" borderId="0" xfId="0" applyFont="1" applyAlignment="1" applyProtection="1">
      <alignment horizontal="center"/>
      <protection locked="0"/>
    </xf>
    <xf numFmtId="175" fontId="46" fillId="0" borderId="0" xfId="0" applyNumberFormat="1" applyFont="1" applyProtection="1">
      <protection locked="0"/>
    </xf>
    <xf numFmtId="174" fontId="45" fillId="0" borderId="0" xfId="0" applyFont="1" applyAlignment="1" applyProtection="1">
      <alignment horizontal="center"/>
      <protection locked="0"/>
    </xf>
    <xf numFmtId="175" fontId="46" fillId="0" borderId="13" xfId="0" applyNumberFormat="1" applyFont="1" applyBorder="1" applyProtection="1">
      <protection locked="0"/>
    </xf>
    <xf numFmtId="174" fontId="46" fillId="0" borderId="13" xfId="0" applyFont="1" applyBorder="1" applyAlignment="1" applyProtection="1">
      <alignment horizontal="center"/>
      <protection locked="0"/>
    </xf>
    <xf numFmtId="174" fontId="10" fillId="0" borderId="13" xfId="0" applyFont="1" applyBorder="1" applyProtection="1">
      <protection locked="0"/>
    </xf>
    <xf numFmtId="0" fontId="45" fillId="0" borderId="0" xfId="0" applyNumberFormat="1" applyFont="1" applyAlignment="1" applyProtection="1">
      <alignment horizontal="left"/>
      <protection locked="0"/>
    </xf>
    <xf numFmtId="174" fontId="45" fillId="0" borderId="0" xfId="0" applyFont="1" applyAlignment="1" applyProtection="1">
      <alignment horizontal="center" wrapText="1"/>
      <protection locked="0"/>
    </xf>
    <xf numFmtId="175" fontId="45" fillId="0" borderId="0" xfId="0" applyNumberFormat="1" applyFont="1" applyAlignment="1" applyProtection="1">
      <alignment horizontal="center" wrapText="1"/>
      <protection locked="0"/>
    </xf>
    <xf numFmtId="175" fontId="45" fillId="0" borderId="0" xfId="0" applyNumberFormat="1" applyFont="1" applyAlignment="1" applyProtection="1">
      <alignment horizontal="center"/>
      <protection locked="0"/>
    </xf>
    <xf numFmtId="179" fontId="46" fillId="0" borderId="0" xfId="327" applyNumberFormat="1" applyFont="1" applyFill="1" applyProtection="1">
      <protection locked="0"/>
    </xf>
    <xf numFmtId="175" fontId="46" fillId="0" borderId="3" xfId="154" applyNumberFormat="1" applyFont="1" applyFill="1" applyBorder="1" applyProtection="1">
      <protection locked="0"/>
    </xf>
    <xf numFmtId="174" fontId="46" fillId="0" borderId="0" xfId="0" applyFont="1"/>
    <xf numFmtId="43" fontId="3" fillId="0" borderId="0" xfId="154" applyFill="1"/>
    <xf numFmtId="0" fontId="28" fillId="0" borderId="0" xfId="301" applyFont="1" applyAlignment="1">
      <alignment horizontal="center" wrapText="1"/>
    </xf>
    <xf numFmtId="174" fontId="59" fillId="0" borderId="0" xfId="0" applyFont="1" applyProtection="1">
      <protection locked="0"/>
    </xf>
    <xf numFmtId="174" fontId="0" fillId="0" borderId="0" xfId="0" applyProtection="1">
      <protection locked="0"/>
    </xf>
    <xf numFmtId="174" fontId="46" fillId="0" borderId="0" xfId="0" applyFont="1" applyProtection="1">
      <protection locked="0"/>
    </xf>
    <xf numFmtId="174" fontId="46" fillId="0" borderId="36" xfId="0" applyFont="1" applyBorder="1" applyAlignment="1" applyProtection="1">
      <alignment horizontal="center" wrapText="1"/>
      <protection locked="0"/>
    </xf>
    <xf numFmtId="174" fontId="46" fillId="0" borderId="37" xfId="0" applyFont="1" applyBorder="1" applyAlignment="1" applyProtection="1">
      <alignment horizontal="center" wrapText="1"/>
      <protection locked="0"/>
    </xf>
    <xf numFmtId="174" fontId="46" fillId="0" borderId="37" xfId="0" applyFont="1" applyBorder="1" applyProtection="1">
      <protection locked="0"/>
    </xf>
    <xf numFmtId="5" fontId="46" fillId="0" borderId="38" xfId="0" applyNumberFormat="1" applyFont="1" applyBorder="1" applyAlignment="1" applyProtection="1">
      <alignment horizontal="center"/>
      <protection locked="0"/>
    </xf>
    <xf numFmtId="175" fontId="46" fillId="0" borderId="0" xfId="0" applyNumberFormat="1" applyFont="1" applyAlignment="1" applyProtection="1">
      <alignment horizontal="left"/>
      <protection locked="0"/>
    </xf>
    <xf numFmtId="174" fontId="53" fillId="0" borderId="0" xfId="0" applyFont="1" applyAlignment="1" applyProtection="1">
      <alignment horizontal="center"/>
      <protection locked="0"/>
    </xf>
    <xf numFmtId="175" fontId="46" fillId="0" borderId="0" xfId="154" applyNumberFormat="1" applyFont="1" applyFill="1" applyProtection="1">
      <protection locked="0"/>
    </xf>
    <xf numFmtId="179" fontId="46" fillId="0" borderId="0" xfId="0" applyNumberFormat="1" applyFont="1" applyProtection="1">
      <protection locked="0"/>
    </xf>
    <xf numFmtId="175" fontId="45" fillId="0" borderId="0" xfId="154" applyNumberFormat="1" applyFont="1" applyFill="1" applyProtection="1">
      <protection locked="0"/>
    </xf>
    <xf numFmtId="175" fontId="45" fillId="0" borderId="0" xfId="154" applyNumberFormat="1" applyFont="1" applyFill="1" applyAlignment="1" applyProtection="1">
      <alignment horizontal="center"/>
      <protection locked="0"/>
    </xf>
    <xf numFmtId="174" fontId="53" fillId="0" borderId="0" xfId="0" applyFont="1" applyProtection="1">
      <protection locked="0"/>
    </xf>
    <xf numFmtId="175" fontId="45" fillId="0" borderId="0" xfId="0" applyNumberFormat="1" applyFont="1" applyProtection="1">
      <protection locked="0"/>
    </xf>
    <xf numFmtId="176" fontId="59" fillId="0" borderId="0" xfId="190" applyNumberFormat="1" applyFont="1" applyFill="1"/>
    <xf numFmtId="0" fontId="5" fillId="0" borderId="0" xfId="301" applyFont="1"/>
    <xf numFmtId="0" fontId="27" fillId="0" borderId="0" xfId="301" applyFont="1"/>
    <xf numFmtId="43" fontId="11" fillId="0" borderId="0" xfId="301" applyNumberFormat="1" applyFont="1"/>
    <xf numFmtId="0" fontId="6" fillId="0" borderId="35" xfId="301" applyFont="1" applyBorder="1"/>
    <xf numFmtId="0" fontId="32" fillId="0" borderId="34" xfId="301" applyFont="1" applyBorder="1"/>
    <xf numFmtId="0" fontId="32" fillId="0" borderId="39" xfId="301" applyFont="1" applyBorder="1"/>
    <xf numFmtId="0" fontId="6" fillId="0" borderId="33" xfId="301" applyFont="1" applyBorder="1"/>
    <xf numFmtId="0" fontId="32" fillId="0" borderId="13" xfId="301" applyFont="1" applyBorder="1"/>
    <xf numFmtId="0" fontId="32" fillId="0" borderId="0" xfId="301" applyFont="1"/>
    <xf numFmtId="176" fontId="6" fillId="0" borderId="0" xfId="194" applyNumberFormat="1" applyFont="1" applyFill="1" applyBorder="1"/>
    <xf numFmtId="164" fontId="11" fillId="0" borderId="0" xfId="301" applyNumberFormat="1" applyFont="1"/>
    <xf numFmtId="179" fontId="58" fillId="0" borderId="0" xfId="327" applyNumberFormat="1" applyFont="1" applyFill="1" applyBorder="1"/>
    <xf numFmtId="0" fontId="6" fillId="0" borderId="31" xfId="301" applyFont="1" applyBorder="1"/>
    <xf numFmtId="9" fontId="6" fillId="0" borderId="29" xfId="327" applyFont="1" applyFill="1" applyBorder="1"/>
    <xf numFmtId="0" fontId="27" fillId="0" borderId="31" xfId="301" applyFont="1" applyBorder="1"/>
    <xf numFmtId="10" fontId="27" fillId="0" borderId="29" xfId="330" applyNumberFormat="1" applyFont="1" applyFill="1" applyBorder="1"/>
    <xf numFmtId="0" fontId="19" fillId="0" borderId="31" xfId="301" applyFont="1" applyBorder="1"/>
    <xf numFmtId="0" fontId="55" fillId="0" borderId="0" xfId="301" applyFont="1"/>
    <xf numFmtId="176" fontId="11" fillId="0" borderId="0" xfId="190" applyNumberFormat="1" applyFont="1" applyFill="1" applyBorder="1"/>
    <xf numFmtId="0" fontId="56" fillId="0" borderId="0" xfId="301" applyFont="1" applyAlignment="1">
      <alignment horizontal="center"/>
    </xf>
    <xf numFmtId="0" fontId="27" fillId="0" borderId="33" xfId="301" applyFont="1" applyBorder="1"/>
    <xf numFmtId="0" fontId="11" fillId="0" borderId="13" xfId="301" applyFont="1" applyBorder="1"/>
    <xf numFmtId="10" fontId="27" fillId="0" borderId="32" xfId="330" applyNumberFormat="1" applyFont="1" applyFill="1" applyBorder="1"/>
    <xf numFmtId="10" fontId="27" fillId="0" borderId="0" xfId="330" applyNumberFormat="1" applyFont="1" applyFill="1" applyBorder="1"/>
    <xf numFmtId="176" fontId="11" fillId="0" borderId="0" xfId="194" applyNumberFormat="1" applyFont="1" applyFill="1" applyBorder="1"/>
    <xf numFmtId="0" fontId="11" fillId="0" borderId="35" xfId="301" applyFont="1" applyBorder="1"/>
    <xf numFmtId="0" fontId="3" fillId="0" borderId="34" xfId="301" applyBorder="1"/>
    <xf numFmtId="0" fontId="11" fillId="0" borderId="34" xfId="301" applyFont="1" applyBorder="1"/>
    <xf numFmtId="176" fontId="11" fillId="0" borderId="39" xfId="194" applyNumberFormat="1" applyFont="1" applyFill="1" applyBorder="1"/>
    <xf numFmtId="176" fontId="11" fillId="0" borderId="29" xfId="194" applyNumberFormat="1" applyFont="1" applyFill="1" applyBorder="1"/>
    <xf numFmtId="0" fontId="11" fillId="0" borderId="31" xfId="301" applyFont="1" applyBorder="1"/>
    <xf numFmtId="175" fontId="11" fillId="0" borderId="0" xfId="172" applyNumberFormat="1" applyFont="1" applyFill="1" applyBorder="1"/>
    <xf numFmtId="175" fontId="27" fillId="0" borderId="40" xfId="172" applyNumberFormat="1" applyFont="1" applyFill="1" applyBorder="1"/>
    <xf numFmtId="0" fontId="11" fillId="0" borderId="41" xfId="301" applyFont="1" applyBorder="1"/>
    <xf numFmtId="175" fontId="11" fillId="0" borderId="3" xfId="172" applyNumberFormat="1" applyFont="1" applyFill="1" applyBorder="1"/>
    <xf numFmtId="0" fontId="11" fillId="0" borderId="3" xfId="301" applyFont="1" applyBorder="1"/>
    <xf numFmtId="175" fontId="11" fillId="0" borderId="42" xfId="172" applyNumberFormat="1" applyFont="1" applyFill="1" applyBorder="1"/>
    <xf numFmtId="175" fontId="11" fillId="0" borderId="34" xfId="172" applyNumberFormat="1" applyFont="1" applyFill="1" applyBorder="1"/>
    <xf numFmtId="175" fontId="11" fillId="0" borderId="39" xfId="172" applyNumberFormat="1" applyFont="1" applyFill="1" applyBorder="1"/>
    <xf numFmtId="164" fontId="11" fillId="0" borderId="0" xfId="327" applyNumberFormat="1" applyFont="1" applyFill="1" applyBorder="1"/>
    <xf numFmtId="175" fontId="11" fillId="0" borderId="13" xfId="172" applyNumberFormat="1" applyFont="1" applyFill="1" applyBorder="1"/>
    <xf numFmtId="181" fontId="11" fillId="0" borderId="0" xfId="301" applyNumberFormat="1" applyFont="1"/>
    <xf numFmtId="0" fontId="3" fillId="0" borderId="43" xfId="301" applyBorder="1"/>
    <xf numFmtId="0" fontId="28" fillId="0" borderId="6" xfId="301" applyFont="1" applyBorder="1"/>
    <xf numFmtId="0" fontId="28" fillId="0" borderId="33" xfId="301" applyFont="1" applyBorder="1"/>
    <xf numFmtId="10" fontId="3" fillId="0" borderId="38" xfId="301" applyNumberFormat="1" applyBorder="1"/>
    <xf numFmtId="0" fontId="3" fillId="0" borderId="35" xfId="301" applyBorder="1" applyAlignment="1">
      <alignment horizontal="center"/>
    </xf>
    <xf numFmtId="0" fontId="3" fillId="0" borderId="39" xfId="301" applyBorder="1" applyAlignment="1">
      <alignment horizontal="center"/>
    </xf>
    <xf numFmtId="0" fontId="28" fillId="0" borderId="29" xfId="301" applyFont="1" applyBorder="1" applyAlignment="1">
      <alignment horizontal="center" wrapText="1"/>
    </xf>
    <xf numFmtId="0" fontId="28" fillId="0" borderId="33" xfId="301" applyFont="1" applyBorder="1" applyAlignment="1">
      <alignment horizontal="center"/>
    </xf>
    <xf numFmtId="0" fontId="3" fillId="0" borderId="39" xfId="301" applyBorder="1"/>
    <xf numFmtId="175" fontId="0" fillId="0" borderId="0" xfId="172" applyNumberFormat="1" applyFont="1" applyFill="1" applyBorder="1"/>
    <xf numFmtId="175" fontId="0" fillId="0" borderId="0" xfId="154" applyNumberFormat="1" applyFont="1" applyFill="1" applyBorder="1"/>
    <xf numFmtId="175" fontId="0" fillId="0" borderId="29" xfId="172" applyNumberFormat="1" applyFont="1" applyFill="1" applyBorder="1"/>
    <xf numFmtId="175" fontId="0" fillId="0" borderId="13" xfId="172" applyNumberFormat="1" applyFont="1" applyFill="1" applyBorder="1"/>
    <xf numFmtId="175" fontId="0" fillId="0" borderId="13" xfId="154" applyNumberFormat="1" applyFont="1" applyFill="1" applyBorder="1"/>
    <xf numFmtId="175" fontId="0" fillId="0" borderId="32" xfId="172" applyNumberFormat="1" applyFont="1" applyFill="1" applyBorder="1"/>
    <xf numFmtId="174" fontId="13" fillId="0" borderId="0" xfId="0" applyFont="1"/>
    <xf numFmtId="0" fontId="13" fillId="0" borderId="0" xfId="301" applyFont="1"/>
    <xf numFmtId="3" fontId="13" fillId="0" borderId="0" xfId="301" applyNumberFormat="1" applyFont="1" applyAlignment="1">
      <alignment horizontal="center"/>
    </xf>
    <xf numFmtId="174" fontId="13" fillId="0" borderId="29" xfId="0" applyFont="1" applyBorder="1"/>
    <xf numFmtId="0" fontId="57" fillId="0" borderId="31" xfId="301" applyFont="1" applyBorder="1" applyAlignment="1">
      <alignment horizontal="center"/>
    </xf>
    <xf numFmtId="0" fontId="57" fillId="0" borderId="0" xfId="301" applyFont="1"/>
    <xf numFmtId="3" fontId="57" fillId="0" borderId="0" xfId="301" applyNumberFormat="1" applyFont="1" applyAlignment="1">
      <alignment horizontal="center"/>
    </xf>
    <xf numFmtId="0" fontId="57" fillId="0" borderId="31" xfId="301" applyFont="1" applyBorder="1"/>
    <xf numFmtId="0" fontId="57" fillId="0" borderId="29" xfId="301" applyFont="1" applyBorder="1"/>
    <xf numFmtId="175" fontId="23" fillId="0" borderId="0" xfId="154" applyNumberFormat="1" applyFont="1" applyFill="1" applyAlignment="1"/>
    <xf numFmtId="0" fontId="13" fillId="0" borderId="0" xfId="301" applyFont="1" applyAlignment="1">
      <alignment horizontal="left"/>
    </xf>
    <xf numFmtId="0" fontId="10" fillId="0" borderId="3" xfId="313" applyFont="1" applyBorder="1"/>
    <xf numFmtId="3" fontId="10" fillId="0" borderId="3" xfId="313" applyNumberFormat="1" applyFont="1" applyBorder="1"/>
    <xf numFmtId="175" fontId="10" fillId="0" borderId="3" xfId="154" applyNumberFormat="1" applyFont="1" applyFill="1" applyBorder="1" applyAlignment="1"/>
    <xf numFmtId="175" fontId="10" fillId="0" borderId="3" xfId="154" applyNumberFormat="1" applyFont="1" applyBorder="1" applyAlignment="1"/>
    <xf numFmtId="175" fontId="23" fillId="0" borderId="3" xfId="154" applyNumberFormat="1" applyFont="1" applyBorder="1" applyAlignment="1"/>
    <xf numFmtId="0" fontId="23" fillId="0" borderId="3" xfId="313" applyBorder="1"/>
    <xf numFmtId="10" fontId="10" fillId="0" borderId="3" xfId="313" applyNumberFormat="1" applyFont="1" applyBorder="1" applyAlignment="1">
      <alignment horizontal="left"/>
    </xf>
    <xf numFmtId="0" fontId="10" fillId="21" borderId="0" xfId="313" applyFont="1" applyFill="1" applyAlignment="1">
      <alignment horizontal="left"/>
    </xf>
    <xf numFmtId="3" fontId="0" fillId="0" borderId="0" xfId="313" applyNumberFormat="1" applyFont="1" applyAlignment="1">
      <alignment horizontal="right"/>
    </xf>
    <xf numFmtId="43" fontId="13" fillId="0" borderId="0" xfId="301" applyNumberFormat="1" applyFont="1" applyAlignment="1">
      <alignment horizontal="center"/>
    </xf>
    <xf numFmtId="175" fontId="10" fillId="0" borderId="0" xfId="154" applyNumberFormat="1" applyFont="1" applyFill="1"/>
    <xf numFmtId="0" fontId="3" fillId="21" borderId="0" xfId="301" applyFill="1" applyAlignment="1">
      <alignment horizontal="center"/>
    </xf>
    <xf numFmtId="0" fontId="46" fillId="0" borderId="0" xfId="301" applyFont="1" applyAlignment="1">
      <alignment vertical="top"/>
    </xf>
    <xf numFmtId="180" fontId="10" fillId="0" borderId="0" xfId="154" applyNumberFormat="1" applyFont="1" applyFill="1" applyAlignment="1">
      <alignment horizontal="right"/>
    </xf>
    <xf numFmtId="10" fontId="10" fillId="0" borderId="0" xfId="327" applyNumberFormat="1" applyFont="1" applyBorder="1" applyAlignment="1"/>
    <xf numFmtId="0" fontId="46" fillId="21" borderId="0" xfId="0" applyNumberFormat="1" applyFont="1" applyFill="1" applyAlignment="1" applyProtection="1">
      <alignment horizontal="center"/>
      <protection locked="0"/>
    </xf>
    <xf numFmtId="0" fontId="46" fillId="0" borderId="0" xfId="0" applyNumberFormat="1" applyFont="1" applyAlignment="1" applyProtection="1">
      <alignment horizontal="center"/>
      <protection locked="0"/>
    </xf>
    <xf numFmtId="175" fontId="46" fillId="0" borderId="0" xfId="154" applyNumberFormat="1" applyFont="1" applyFill="1"/>
    <xf numFmtId="179" fontId="46" fillId="21" borderId="0" xfId="327" applyNumberFormat="1" applyFont="1" applyFill="1" applyProtection="1">
      <protection locked="0"/>
    </xf>
    <xf numFmtId="0" fontId="0" fillId="0" borderId="0" xfId="0" applyNumberFormat="1" applyAlignment="1">
      <alignment horizontal="center"/>
    </xf>
    <xf numFmtId="0" fontId="58" fillId="0" borderId="0" xfId="301" applyFont="1"/>
    <xf numFmtId="0" fontId="28" fillId="0" borderId="43" xfId="301" applyFont="1" applyBorder="1"/>
    <xf numFmtId="175" fontId="58" fillId="0" borderId="0" xfId="301" applyNumberFormat="1" applyFont="1"/>
    <xf numFmtId="9" fontId="3" fillId="21" borderId="0" xfId="330" applyFont="1" applyFill="1" applyBorder="1" applyAlignment="1">
      <alignment horizontal="center"/>
    </xf>
    <xf numFmtId="0" fontId="3" fillId="0" borderId="0" xfId="0" applyNumberFormat="1" applyFont="1" applyAlignment="1">
      <alignment horizontal="center"/>
    </xf>
    <xf numFmtId="174" fontId="5" fillId="0" borderId="0" xfId="0" applyFont="1" applyProtection="1">
      <protection locked="0"/>
    </xf>
    <xf numFmtId="174" fontId="3" fillId="0" borderId="0" xfId="0" applyFont="1"/>
    <xf numFmtId="174" fontId="3" fillId="0" borderId="0" xfId="0" applyFont="1" applyAlignment="1">
      <alignment horizontal="centerContinuous"/>
    </xf>
    <xf numFmtId="0" fontId="66" fillId="0" borderId="0" xfId="299" applyFont="1"/>
    <xf numFmtId="0" fontId="10" fillId="0" borderId="0" xfId="299" applyFont="1"/>
    <xf numFmtId="0" fontId="10" fillId="0" borderId="0" xfId="299" applyFont="1" applyAlignment="1">
      <alignment horizontal="center"/>
    </xf>
    <xf numFmtId="41" fontId="5" fillId="0" borderId="0" xfId="299" applyNumberFormat="1" applyFont="1" applyAlignment="1">
      <alignment horizontal="center"/>
    </xf>
    <xf numFmtId="0" fontId="10" fillId="0" borderId="0" xfId="299" applyFont="1" applyAlignment="1">
      <alignment horizontal="left"/>
    </xf>
    <xf numFmtId="0" fontId="46" fillId="0" borderId="0" xfId="299" applyFont="1" applyAlignment="1">
      <alignment horizontal="left"/>
    </xf>
    <xf numFmtId="0" fontId="46" fillId="0" borderId="0" xfId="299" applyFont="1"/>
    <xf numFmtId="0" fontId="46" fillId="0" borderId="0" xfId="299" applyFont="1" applyAlignment="1">
      <alignment horizontal="right"/>
    </xf>
    <xf numFmtId="37" fontId="46" fillId="0" borderId="0" xfId="299" applyNumberFormat="1" applyFont="1"/>
    <xf numFmtId="37" fontId="46" fillId="0" borderId="0" xfId="299" applyNumberFormat="1" applyFont="1" applyAlignment="1">
      <alignment horizontal="left"/>
    </xf>
    <xf numFmtId="43" fontId="46" fillId="0" borderId="0" xfId="299" applyNumberFormat="1" applyFont="1"/>
    <xf numFmtId="41" fontId="46" fillId="21" borderId="2" xfId="299" applyNumberFormat="1" applyFont="1" applyFill="1" applyBorder="1"/>
    <xf numFmtId="41" fontId="46" fillId="21" borderId="2" xfId="164" applyFont="1" applyFill="1" applyBorder="1"/>
    <xf numFmtId="0" fontId="46" fillId="21" borderId="44" xfId="299" applyFont="1" applyFill="1" applyBorder="1" applyAlignment="1">
      <alignment wrapText="1"/>
    </xf>
    <xf numFmtId="0" fontId="46" fillId="21" borderId="45" xfId="299" applyFont="1" applyFill="1" applyBorder="1" applyAlignment="1">
      <alignment wrapText="1"/>
    </xf>
    <xf numFmtId="0" fontId="46" fillId="21" borderId="2" xfId="299" applyFont="1" applyFill="1" applyBorder="1"/>
    <xf numFmtId="37" fontId="46" fillId="0" borderId="44" xfId="299" applyNumberFormat="1" applyFont="1" applyBorder="1" applyAlignment="1">
      <alignment wrapText="1"/>
    </xf>
    <xf numFmtId="175" fontId="46" fillId="21" borderId="2" xfId="154" applyNumberFormat="1" applyFont="1" applyFill="1" applyBorder="1"/>
    <xf numFmtId="175" fontId="46" fillId="21" borderId="2" xfId="154" applyNumberFormat="1" applyFont="1" applyFill="1" applyBorder="1" applyAlignment="1">
      <alignment horizontal="right"/>
    </xf>
    <xf numFmtId="175" fontId="46" fillId="21" borderId="2" xfId="154" applyNumberFormat="1" applyFont="1" applyFill="1" applyBorder="1" applyAlignment="1">
      <alignment horizontal="center"/>
    </xf>
    <xf numFmtId="175" fontId="46" fillId="21" borderId="46" xfId="154" applyNumberFormat="1" applyFont="1" applyFill="1" applyBorder="1"/>
    <xf numFmtId="0" fontId="46" fillId="21" borderId="47" xfId="299" applyFont="1" applyFill="1" applyBorder="1" applyAlignment="1">
      <alignment wrapText="1"/>
    </xf>
    <xf numFmtId="0" fontId="46" fillId="0" borderId="0" xfId="299" applyFont="1" applyAlignment="1">
      <alignment wrapText="1"/>
    </xf>
    <xf numFmtId="37" fontId="46" fillId="21" borderId="48" xfId="299" applyNumberFormat="1" applyFont="1" applyFill="1" applyBorder="1" applyAlignment="1">
      <alignment horizontal="center"/>
    </xf>
    <xf numFmtId="37" fontId="46" fillId="21" borderId="2" xfId="299" applyNumberFormat="1" applyFont="1" applyFill="1" applyBorder="1"/>
    <xf numFmtId="0" fontId="46" fillId="21" borderId="48" xfId="299" applyFont="1" applyFill="1" applyBorder="1" applyAlignment="1">
      <alignment horizontal="center"/>
    </xf>
    <xf numFmtId="175" fontId="46" fillId="0" borderId="2" xfId="154" applyNumberFormat="1" applyFont="1" applyFill="1" applyBorder="1"/>
    <xf numFmtId="0" fontId="46" fillId="0" borderId="0" xfId="299" applyFont="1" applyAlignment="1">
      <alignment horizontal="center"/>
    </xf>
    <xf numFmtId="37" fontId="46" fillId="0" borderId="0" xfId="299" applyNumberFormat="1" applyFont="1" applyAlignment="1">
      <alignment horizontal="center"/>
    </xf>
    <xf numFmtId="175" fontId="46" fillId="21" borderId="46" xfId="154" applyNumberFormat="1" applyFont="1" applyFill="1" applyBorder="1" applyAlignment="1">
      <alignment horizontal="right"/>
    </xf>
    <xf numFmtId="175" fontId="46" fillId="0" borderId="0" xfId="299" applyNumberFormat="1" applyFont="1" applyAlignment="1">
      <alignment wrapText="1"/>
    </xf>
    <xf numFmtId="0" fontId="46" fillId="0" borderId="0" xfId="299" applyFont="1" applyAlignment="1">
      <alignment horizontal="centerContinuous"/>
    </xf>
    <xf numFmtId="0" fontId="68" fillId="0" borderId="0" xfId="299" applyFont="1" applyAlignment="1">
      <alignment horizontal="center"/>
    </xf>
    <xf numFmtId="0" fontId="46" fillId="0" borderId="48" xfId="299" applyFont="1" applyBorder="1"/>
    <xf numFmtId="175" fontId="46" fillId="0" borderId="2" xfId="154" applyNumberFormat="1" applyFont="1" applyBorder="1"/>
    <xf numFmtId="0" fontId="46" fillId="0" borderId="49" xfId="299" applyFont="1" applyBorder="1"/>
    <xf numFmtId="0" fontId="46" fillId="0" borderId="50" xfId="299" applyFont="1" applyBorder="1"/>
    <xf numFmtId="0" fontId="46" fillId="0" borderId="51" xfId="299" applyFont="1" applyBorder="1"/>
    <xf numFmtId="175" fontId="46" fillId="0" borderId="52" xfId="154" applyNumberFormat="1" applyFont="1" applyFill="1" applyBorder="1"/>
    <xf numFmtId="0" fontId="46" fillId="0" borderId="53" xfId="299" applyFont="1" applyBorder="1" applyAlignment="1">
      <alignment wrapText="1"/>
    </xf>
    <xf numFmtId="37" fontId="46" fillId="0" borderId="0" xfId="299" applyNumberFormat="1" applyFont="1" applyAlignment="1">
      <alignment wrapText="1"/>
    </xf>
    <xf numFmtId="0" fontId="46" fillId="0" borderId="45" xfId="299" applyFont="1" applyBorder="1"/>
    <xf numFmtId="0" fontId="46" fillId="0" borderId="54" xfId="299" applyFont="1" applyBorder="1"/>
    <xf numFmtId="0" fontId="46" fillId="0" borderId="55" xfId="299" applyFont="1" applyBorder="1"/>
    <xf numFmtId="175" fontId="46" fillId="0" borderId="52" xfId="154" applyNumberFormat="1" applyFont="1" applyFill="1" applyBorder="1" applyAlignment="1">
      <alignment horizontal="right"/>
    </xf>
    <xf numFmtId="0" fontId="44" fillId="0" borderId="0" xfId="299" applyFont="1"/>
    <xf numFmtId="41" fontId="46" fillId="0" borderId="0" xfId="299" applyNumberFormat="1" applyFont="1" applyAlignment="1">
      <alignment horizontal="center"/>
    </xf>
    <xf numFmtId="0" fontId="68" fillId="0" borderId="0" xfId="299" applyFont="1" applyAlignment="1">
      <alignment horizontal="left"/>
    </xf>
    <xf numFmtId="0" fontId="68" fillId="0" borderId="0" xfId="299" applyFont="1"/>
    <xf numFmtId="175" fontId="68" fillId="0" borderId="0" xfId="154" applyNumberFormat="1" applyFont="1" applyFill="1"/>
    <xf numFmtId="37" fontId="68" fillId="0" borderId="0" xfId="299" applyNumberFormat="1" applyFont="1"/>
    <xf numFmtId="37" fontId="68" fillId="0" borderId="0" xfId="299" applyNumberFormat="1" applyFont="1" applyAlignment="1">
      <alignment horizontal="left"/>
    </xf>
    <xf numFmtId="43" fontId="68" fillId="0" borderId="0" xfId="299" applyNumberFormat="1" applyFont="1"/>
    <xf numFmtId="41" fontId="68" fillId="21" borderId="2" xfId="299" applyNumberFormat="1" applyFont="1" applyFill="1" applyBorder="1"/>
    <xf numFmtId="41" fontId="68" fillId="21" borderId="2" xfId="164" applyFont="1" applyFill="1" applyBorder="1"/>
    <xf numFmtId="0" fontId="68" fillId="21" borderId="44" xfId="299" applyFont="1" applyFill="1" applyBorder="1" applyAlignment="1">
      <alignment wrapText="1"/>
    </xf>
    <xf numFmtId="0" fontId="68" fillId="21" borderId="45" xfId="299" applyFont="1" applyFill="1" applyBorder="1" applyAlignment="1">
      <alignment wrapText="1"/>
    </xf>
    <xf numFmtId="0" fontId="68" fillId="21" borderId="2" xfId="299" applyFont="1" applyFill="1" applyBorder="1"/>
    <xf numFmtId="37" fontId="68" fillId="0" borderId="44" xfId="299" applyNumberFormat="1" applyFont="1" applyBorder="1" applyAlignment="1">
      <alignment wrapText="1"/>
    </xf>
    <xf numFmtId="175" fontId="68" fillId="21" borderId="2" xfId="154" applyNumberFormat="1" applyFont="1" applyFill="1" applyBorder="1"/>
    <xf numFmtId="175" fontId="68" fillId="21" borderId="2" xfId="154" applyNumberFormat="1" applyFont="1" applyFill="1" applyBorder="1" applyAlignment="1">
      <alignment horizontal="right"/>
    </xf>
    <xf numFmtId="175" fontId="68" fillId="21" borderId="2" xfId="154" applyNumberFormat="1" applyFont="1" applyFill="1" applyBorder="1" applyAlignment="1">
      <alignment horizontal="center"/>
    </xf>
    <xf numFmtId="175" fontId="68" fillId="21" borderId="46" xfId="154" applyNumberFormat="1" applyFont="1" applyFill="1" applyBorder="1"/>
    <xf numFmtId="0" fontId="68" fillId="21" borderId="47" xfId="299" applyFont="1" applyFill="1" applyBorder="1" applyAlignment="1">
      <alignment wrapText="1"/>
    </xf>
    <xf numFmtId="0" fontId="68" fillId="0" borderId="0" xfId="299" applyFont="1" applyAlignment="1">
      <alignment wrapText="1"/>
    </xf>
    <xf numFmtId="37" fontId="68" fillId="21" borderId="48" xfId="299" applyNumberFormat="1" applyFont="1" applyFill="1" applyBorder="1" applyAlignment="1">
      <alignment horizontal="center"/>
    </xf>
    <xf numFmtId="37" fontId="68" fillId="21" borderId="2" xfId="299" applyNumberFormat="1" applyFont="1" applyFill="1" applyBorder="1"/>
    <xf numFmtId="0" fontId="68" fillId="21" borderId="48" xfId="299" applyFont="1" applyFill="1" applyBorder="1" applyAlignment="1">
      <alignment horizontal="center"/>
    </xf>
    <xf numFmtId="175" fontId="68" fillId="0" borderId="2" xfId="154" applyNumberFormat="1" applyFont="1" applyFill="1" applyBorder="1"/>
    <xf numFmtId="37" fontId="68" fillId="0" borderId="0" xfId="299" applyNumberFormat="1" applyFont="1" applyAlignment="1">
      <alignment horizontal="center"/>
    </xf>
    <xf numFmtId="175" fontId="68" fillId="21" borderId="46" xfId="154" applyNumberFormat="1" applyFont="1" applyFill="1" applyBorder="1" applyAlignment="1">
      <alignment horizontal="right"/>
    </xf>
    <xf numFmtId="175" fontId="68" fillId="0" borderId="0" xfId="299" applyNumberFormat="1" applyFont="1" applyAlignment="1">
      <alignment wrapText="1"/>
    </xf>
    <xf numFmtId="0" fontId="68" fillId="0" borderId="0" xfId="299" applyFont="1" applyAlignment="1">
      <alignment horizontal="centerContinuous"/>
    </xf>
    <xf numFmtId="175" fontId="68" fillId="0" borderId="0" xfId="154" applyNumberFormat="1" applyFont="1" applyFill="1" applyBorder="1"/>
    <xf numFmtId="0" fontId="68" fillId="0" borderId="48" xfId="299" applyFont="1" applyBorder="1"/>
    <xf numFmtId="175" fontId="68" fillId="0" borderId="2" xfId="154" applyNumberFormat="1" applyFont="1" applyBorder="1"/>
    <xf numFmtId="0" fontId="68" fillId="0" borderId="49" xfId="299" applyFont="1" applyBorder="1"/>
    <xf numFmtId="0" fontId="68" fillId="0" borderId="50" xfId="299" applyFont="1" applyBorder="1"/>
    <xf numFmtId="0" fontId="68" fillId="0" borderId="51" xfId="299" applyFont="1" applyBorder="1"/>
    <xf numFmtId="175" fontId="68" fillId="0" borderId="52" xfId="154" applyNumberFormat="1" applyFont="1" applyFill="1" applyBorder="1"/>
    <xf numFmtId="0" fontId="68" fillId="0" borderId="53" xfId="299" applyFont="1" applyBorder="1" applyAlignment="1">
      <alignment wrapText="1"/>
    </xf>
    <xf numFmtId="37" fontId="68" fillId="0" borderId="0" xfId="299" applyNumberFormat="1" applyFont="1" applyAlignment="1">
      <alignment wrapText="1"/>
    </xf>
    <xf numFmtId="0" fontId="68" fillId="0" borderId="45" xfId="299" applyFont="1" applyBorder="1"/>
    <xf numFmtId="0" fontId="68" fillId="0" borderId="54" xfId="299" applyFont="1" applyBorder="1"/>
    <xf numFmtId="0" fontId="68" fillId="0" borderId="55" xfId="299" applyFont="1" applyBorder="1"/>
    <xf numFmtId="175" fontId="68" fillId="0" borderId="52" xfId="154" applyNumberFormat="1" applyFont="1" applyFill="1" applyBorder="1" applyAlignment="1">
      <alignment horizontal="right"/>
    </xf>
    <xf numFmtId="41" fontId="68" fillId="0" borderId="0" xfId="299" applyNumberFormat="1" applyFont="1" applyAlignment="1">
      <alignment horizontal="center"/>
    </xf>
    <xf numFmtId="0" fontId="68" fillId="0" borderId="0" xfId="299" applyFont="1" applyAlignment="1">
      <alignment horizontal="right"/>
    </xf>
    <xf numFmtId="0" fontId="68" fillId="0" borderId="0" xfId="313" applyFont="1" applyProtection="1">
      <protection locked="0"/>
    </xf>
    <xf numFmtId="0" fontId="68" fillId="0" borderId="0" xfId="313" applyFont="1"/>
    <xf numFmtId="0" fontId="5" fillId="0" borderId="0" xfId="0" applyNumberFormat="1" applyFont="1" applyAlignment="1">
      <alignment horizontal="left"/>
    </xf>
    <xf numFmtId="2" fontId="0" fillId="0" borderId="0" xfId="0" applyNumberFormat="1" applyAlignment="1">
      <alignment horizontal="center" wrapText="1"/>
    </xf>
    <xf numFmtId="2" fontId="0" fillId="0" borderId="0" xfId="0" applyNumberFormat="1"/>
    <xf numFmtId="0" fontId="10" fillId="0" borderId="0" xfId="0" applyNumberFormat="1" applyFont="1" applyAlignment="1">
      <alignment horizontal="left"/>
    </xf>
    <xf numFmtId="0" fontId="10" fillId="0" borderId="0" xfId="0" applyNumberFormat="1" applyFont="1"/>
    <xf numFmtId="0" fontId="69" fillId="0" borderId="0" xfId="0" applyNumberFormat="1" applyFont="1"/>
    <xf numFmtId="175" fontId="3" fillId="0" borderId="31" xfId="154" applyNumberFormat="1" applyFont="1" applyFill="1" applyBorder="1" applyAlignment="1"/>
    <xf numFmtId="175" fontId="10" fillId="0" borderId="31" xfId="154" applyNumberFormat="1" applyFont="1" applyFill="1" applyBorder="1" applyAlignment="1"/>
    <xf numFmtId="3" fontId="46" fillId="0" borderId="0" xfId="301" applyNumberFormat="1" applyFont="1"/>
    <xf numFmtId="0" fontId="46" fillId="0" borderId="0" xfId="301" applyFont="1" applyAlignment="1">
      <alignment horizontal="center"/>
    </xf>
    <xf numFmtId="0" fontId="47" fillId="0" borderId="0" xfId="301" applyFont="1" applyAlignment="1">
      <alignment horizontal="left"/>
    </xf>
    <xf numFmtId="0" fontId="46" fillId="0" borderId="31" xfId="301" applyFont="1" applyBorder="1" applyAlignment="1">
      <alignment horizontal="center"/>
    </xf>
    <xf numFmtId="0" fontId="53" fillId="0" borderId="0" xfId="301" applyFont="1" applyAlignment="1">
      <alignment horizontal="left"/>
    </xf>
    <xf numFmtId="0" fontId="46" fillId="0" borderId="0" xfId="301" applyFont="1" applyAlignment="1">
      <alignment horizontal="center" wrapText="1"/>
    </xf>
    <xf numFmtId="0" fontId="46" fillId="0" borderId="29" xfId="301" applyFont="1" applyBorder="1"/>
    <xf numFmtId="176" fontId="23" fillId="0" borderId="0" xfId="190" applyNumberFormat="1" applyFont="1" applyFill="1"/>
    <xf numFmtId="3" fontId="10" fillId="0" borderId="0" xfId="313" applyNumberFormat="1" applyFont="1" applyAlignment="1">
      <alignment horizontal="center" wrapText="1"/>
    </xf>
    <xf numFmtId="164" fontId="72" fillId="0" borderId="39" xfId="327" applyNumberFormat="1" applyFont="1" applyBorder="1" applyAlignment="1"/>
    <xf numFmtId="0" fontId="28" fillId="0" borderId="0" xfId="0" applyNumberFormat="1" applyFont="1" applyAlignment="1">
      <alignment horizontal="center"/>
    </xf>
    <xf numFmtId="0" fontId="0" fillId="0" borderId="0" xfId="0" applyNumberFormat="1" applyAlignment="1">
      <alignment horizontal="left"/>
    </xf>
    <xf numFmtId="37" fontId="0" fillId="0" borderId="0" xfId="0" applyNumberFormat="1"/>
    <xf numFmtId="0" fontId="49" fillId="56" borderId="0" xfId="301" applyFont="1" applyFill="1" applyAlignment="1">
      <alignment horizontal="center" wrapText="1"/>
    </xf>
    <xf numFmtId="43" fontId="3" fillId="0" borderId="0" xfId="301" applyNumberFormat="1" applyAlignment="1">
      <alignment horizontal="center"/>
    </xf>
    <xf numFmtId="0" fontId="161" fillId="0" borderId="0" xfId="301" applyFont="1"/>
    <xf numFmtId="0" fontId="49" fillId="0" borderId="35" xfId="301" applyFont="1" applyBorder="1" applyAlignment="1">
      <alignment horizontal="left"/>
    </xf>
    <xf numFmtId="0" fontId="3" fillId="62" borderId="0" xfId="301" applyFill="1"/>
    <xf numFmtId="0" fontId="49" fillId="0" borderId="35" xfId="301" applyFont="1" applyBorder="1" applyAlignment="1">
      <alignment horizontal="center" wrapText="1"/>
    </xf>
    <xf numFmtId="0" fontId="49" fillId="63" borderId="0" xfId="301" applyFont="1" applyFill="1" applyAlignment="1">
      <alignment horizontal="left"/>
    </xf>
    <xf numFmtId="0" fontId="3" fillId="63" borderId="0" xfId="301" applyFill="1"/>
    <xf numFmtId="174" fontId="161" fillId="0" borderId="0" xfId="0" applyFont="1"/>
    <xf numFmtId="0" fontId="161" fillId="0" borderId="13" xfId="301" applyFont="1" applyBorder="1"/>
    <xf numFmtId="0" fontId="68" fillId="0" borderId="0" xfId="0" applyNumberFormat="1" applyFont="1"/>
    <xf numFmtId="0" fontId="162" fillId="0" borderId="0" xfId="301" applyFont="1" applyAlignment="1">
      <alignment horizontal="left"/>
    </xf>
    <xf numFmtId="174" fontId="163" fillId="0" borderId="0" xfId="0" applyFont="1"/>
    <xf numFmtId="175" fontId="3" fillId="64" borderId="31" xfId="172" applyNumberFormat="1" applyFont="1" applyFill="1" applyBorder="1" applyAlignment="1">
      <alignment horizontal="right"/>
    </xf>
    <xf numFmtId="43" fontId="10" fillId="0" borderId="0" xfId="154" applyFont="1" applyAlignment="1"/>
    <xf numFmtId="180" fontId="10" fillId="0" borderId="0" xfId="154" applyNumberFormat="1" applyFont="1" applyAlignment="1"/>
    <xf numFmtId="43" fontId="10" fillId="0" borderId="0" xfId="154" applyFont="1" applyFill="1" applyAlignment="1"/>
    <xf numFmtId="180" fontId="10" fillId="0" borderId="0" xfId="154" applyNumberFormat="1" applyFont="1" applyFill="1" applyAlignment="1"/>
    <xf numFmtId="43" fontId="10" fillId="0" borderId="13" xfId="154" applyFont="1" applyBorder="1" applyAlignment="1"/>
    <xf numFmtId="43" fontId="10" fillId="0" borderId="0" xfId="154" quotePrefix="1" applyFont="1" applyFill="1" applyAlignment="1">
      <alignment horizontal="right"/>
    </xf>
    <xf numFmtId="43" fontId="10" fillId="0" borderId="13" xfId="154" quotePrefix="1" applyFont="1" applyBorder="1" applyAlignment="1">
      <alignment horizontal="right"/>
    </xf>
    <xf numFmtId="43" fontId="68" fillId="21" borderId="0" xfId="154" applyFont="1" applyFill="1" applyProtection="1">
      <protection locked="0"/>
    </xf>
    <xf numFmtId="180" fontId="10" fillId="0" borderId="0" xfId="154" applyNumberFormat="1" applyFont="1" applyAlignment="1">
      <alignment horizontal="center"/>
    </xf>
    <xf numFmtId="180" fontId="23" fillId="0" borderId="0" xfId="154" applyNumberFormat="1" applyFont="1" applyFill="1" applyAlignment="1"/>
    <xf numFmtId="43" fontId="23" fillId="0" borderId="0" xfId="154" applyFont="1" applyFill="1" applyBorder="1" applyAlignment="1"/>
    <xf numFmtId="43" fontId="10" fillId="0" borderId="31" xfId="154" applyFont="1" applyFill="1" applyBorder="1" applyAlignment="1"/>
    <xf numFmtId="43" fontId="46" fillId="0" borderId="0" xfId="154" applyFont="1" applyFill="1"/>
    <xf numFmtId="174" fontId="68" fillId="0" borderId="0" xfId="0" applyFont="1"/>
    <xf numFmtId="0" fontId="68" fillId="0" borderId="0" xfId="0" applyNumberFormat="1" applyFont="1" applyAlignment="1">
      <alignment horizontal="left"/>
    </xf>
    <xf numFmtId="0" fontId="0" fillId="0" borderId="0" xfId="313" applyFont="1" applyAlignment="1">
      <alignment horizontal="left"/>
    </xf>
    <xf numFmtId="175" fontId="10" fillId="0" borderId="0" xfId="154" applyNumberFormat="1" applyFont="1" applyFill="1" applyAlignment="1">
      <alignment horizontal="center"/>
    </xf>
    <xf numFmtId="49" fontId="10" fillId="0" borderId="0" xfId="154" applyNumberFormat="1" applyFont="1" applyFill="1" applyAlignment="1">
      <alignment horizontal="center"/>
    </xf>
    <xf numFmtId="0" fontId="0" fillId="0" borderId="0" xfId="313" applyFont="1" applyAlignment="1">
      <alignment horizontal="center"/>
    </xf>
    <xf numFmtId="174" fontId="40" fillId="0" borderId="0" xfId="0" applyFont="1"/>
    <xf numFmtId="175" fontId="0" fillId="0" borderId="0" xfId="154" applyNumberFormat="1" applyFont="1" applyAlignment="1"/>
    <xf numFmtId="0" fontId="10" fillId="0" borderId="0" xfId="309" applyNumberFormat="1" applyFont="1" applyProtection="1">
      <protection locked="0"/>
    </xf>
    <xf numFmtId="0" fontId="10" fillId="0" borderId="0" xfId="309" applyNumberFormat="1" applyFont="1" applyAlignment="1" applyProtection="1">
      <alignment horizontal="center"/>
      <protection locked="0"/>
    </xf>
    <xf numFmtId="3" fontId="10" fillId="0" borderId="0" xfId="309" applyNumberFormat="1" applyFont="1"/>
    <xf numFmtId="3" fontId="10" fillId="0" borderId="0" xfId="309" applyNumberFormat="1" applyFont="1" applyAlignment="1">
      <alignment horizontal="center"/>
    </xf>
    <xf numFmtId="0" fontId="10" fillId="0" borderId="0" xfId="309" applyNumberFormat="1" applyFont="1"/>
    <xf numFmtId="0" fontId="40" fillId="0" borderId="0" xfId="314" applyNumberFormat="1" applyFont="1" applyAlignment="1">
      <alignment horizontal="center"/>
    </xf>
    <xf numFmtId="170" fontId="40" fillId="0" borderId="0" xfId="0" applyNumberFormat="1" applyFont="1"/>
    <xf numFmtId="43" fontId="40" fillId="0" borderId="0" xfId="154" applyFont="1" applyAlignment="1"/>
    <xf numFmtId="0" fontId="40" fillId="0" borderId="0" xfId="314" applyNumberFormat="1" applyFont="1" applyProtection="1">
      <protection locked="0"/>
    </xf>
    <xf numFmtId="3" fontId="40" fillId="0" borderId="0" xfId="314" applyNumberFormat="1" applyFont="1"/>
    <xf numFmtId="0" fontId="40" fillId="0" borderId="0" xfId="314" applyNumberFormat="1" applyFont="1"/>
    <xf numFmtId="3" fontId="40" fillId="0" borderId="0" xfId="314" applyNumberFormat="1" applyFont="1" applyAlignment="1">
      <alignment horizontal="center"/>
    </xf>
    <xf numFmtId="0" fontId="40" fillId="0" borderId="13" xfId="314" applyNumberFormat="1" applyFont="1" applyBorder="1" applyAlignment="1" applyProtection="1">
      <alignment horizontal="center"/>
      <protection locked="0"/>
    </xf>
    <xf numFmtId="174" fontId="40" fillId="0" borderId="0" xfId="314" applyFont="1"/>
    <xf numFmtId="169" fontId="40" fillId="0" borderId="0" xfId="314" applyNumberFormat="1" applyFont="1"/>
    <xf numFmtId="43" fontId="40" fillId="0" borderId="13" xfId="154" applyFont="1" applyBorder="1" applyAlignment="1">
      <alignment horizontal="center"/>
    </xf>
    <xf numFmtId="43" fontId="40" fillId="0" borderId="0" xfId="154" applyFont="1" applyFill="1" applyAlignment="1">
      <alignment horizontal="center"/>
    </xf>
    <xf numFmtId="166" fontId="40" fillId="0" borderId="0" xfId="314" applyNumberFormat="1" applyFont="1" applyAlignment="1">
      <alignment horizontal="center"/>
    </xf>
    <xf numFmtId="175" fontId="40" fillId="0" borderId="0" xfId="154" applyNumberFormat="1" applyFont="1" applyBorder="1" applyAlignment="1"/>
    <xf numFmtId="10" fontId="40" fillId="0" borderId="0" xfId="314" applyNumberFormat="1" applyFont="1" applyAlignment="1">
      <alignment horizontal="left"/>
    </xf>
    <xf numFmtId="3" fontId="40" fillId="0" borderId="0" xfId="302" applyNumberFormat="1" applyFont="1"/>
    <xf numFmtId="166" fontId="40" fillId="0" borderId="0" xfId="302" applyNumberFormat="1" applyFont="1"/>
    <xf numFmtId="43" fontId="40" fillId="0" borderId="0" xfId="154" applyFont="1" applyBorder="1" applyAlignment="1"/>
    <xf numFmtId="0" fontId="40" fillId="0" borderId="0" xfId="302" applyFont="1"/>
    <xf numFmtId="164" fontId="40" fillId="0" borderId="0" xfId="314" applyNumberFormat="1" applyFont="1" applyAlignment="1" applyProtection="1">
      <alignment horizontal="left"/>
      <protection locked="0"/>
    </xf>
    <xf numFmtId="43" fontId="40" fillId="0" borderId="0" xfId="154" applyFont="1" applyFill="1" applyBorder="1" applyAlignment="1">
      <alignment horizontal="right"/>
    </xf>
    <xf numFmtId="175" fontId="40" fillId="0" borderId="0" xfId="154" applyNumberFormat="1" applyFont="1" applyAlignment="1"/>
    <xf numFmtId="175" fontId="10" fillId="0" borderId="0" xfId="313" applyNumberFormat="1" applyFont="1"/>
    <xf numFmtId="0" fontId="10" fillId="64" borderId="0" xfId="313" applyFont="1" applyFill="1"/>
    <xf numFmtId="0" fontId="10" fillId="64" borderId="0" xfId="313" applyFont="1" applyFill="1" applyAlignment="1">
      <alignment horizontal="right"/>
    </xf>
    <xf numFmtId="0" fontId="10" fillId="64" borderId="0" xfId="313" applyFont="1" applyFill="1" applyProtection="1">
      <protection locked="0"/>
    </xf>
    <xf numFmtId="0" fontId="23" fillId="64" borderId="0" xfId="313" applyFill="1"/>
    <xf numFmtId="175" fontId="23" fillId="64" borderId="0" xfId="172" applyNumberFormat="1" applyFont="1" applyFill="1" applyBorder="1"/>
    <xf numFmtId="176" fontId="6" fillId="64" borderId="32" xfId="194" applyNumberFormat="1" applyFont="1" applyFill="1" applyBorder="1"/>
    <xf numFmtId="175" fontId="11" fillId="64" borderId="29" xfId="172" applyNumberFormat="1" applyFont="1" applyFill="1" applyBorder="1"/>
    <xf numFmtId="175" fontId="11" fillId="64" borderId="29" xfId="154" applyNumberFormat="1" applyFont="1" applyFill="1" applyBorder="1"/>
    <xf numFmtId="164" fontId="11" fillId="64" borderId="32" xfId="330" applyNumberFormat="1" applyFont="1" applyFill="1" applyBorder="1"/>
    <xf numFmtId="10" fontId="3" fillId="64" borderId="38" xfId="327" applyNumberFormat="1" applyFont="1" applyFill="1" applyBorder="1"/>
    <xf numFmtId="14" fontId="3" fillId="64" borderId="31" xfId="301" applyNumberFormat="1" applyFill="1" applyBorder="1" applyAlignment="1">
      <alignment horizontal="center"/>
    </xf>
    <xf numFmtId="0" fontId="3" fillId="64" borderId="0" xfId="301" applyFill="1"/>
    <xf numFmtId="43" fontId="0" fillId="0" borderId="0" xfId="154" applyFont="1" applyFill="1" applyAlignment="1">
      <alignment horizontal="center"/>
    </xf>
    <xf numFmtId="0" fontId="3" fillId="64" borderId="0" xfId="301" applyFill="1" applyAlignment="1">
      <alignment horizontal="center"/>
    </xf>
    <xf numFmtId="43" fontId="68" fillId="0" borderId="0" xfId="154" applyFont="1" applyFill="1"/>
    <xf numFmtId="174" fontId="0" fillId="0" borderId="0" xfId="313" applyNumberFormat="1" applyFont="1"/>
    <xf numFmtId="175" fontId="3" fillId="0" borderId="0" xfId="301" applyNumberFormat="1" applyAlignment="1">
      <alignment horizontal="right"/>
    </xf>
    <xf numFmtId="0" fontId="2" fillId="0" borderId="0" xfId="301" applyFont="1"/>
    <xf numFmtId="0" fontId="3" fillId="0" borderId="0" xfId="315" applyAlignment="1">
      <alignment horizontal="center"/>
    </xf>
    <xf numFmtId="0" fontId="28" fillId="0" borderId="0" xfId="315" applyFont="1" applyAlignment="1">
      <alignment horizontal="left"/>
    </xf>
    <xf numFmtId="0" fontId="3" fillId="0" borderId="0" xfId="315" applyAlignment="1">
      <alignment horizontal="left"/>
    </xf>
    <xf numFmtId="0" fontId="3" fillId="0" borderId="0" xfId="315" applyAlignment="1">
      <alignment wrapText="1"/>
    </xf>
    <xf numFmtId="0" fontId="3" fillId="0" borderId="0" xfId="315"/>
    <xf numFmtId="0" fontId="3" fillId="0" borderId="3" xfId="315" applyBorder="1"/>
    <xf numFmtId="0" fontId="28" fillId="0" borderId="0" xfId="315" applyFont="1" applyAlignment="1">
      <alignment horizontal="center" wrapText="1"/>
    </xf>
    <xf numFmtId="179" fontId="3" fillId="0" borderId="0" xfId="327" applyNumberFormat="1" applyFont="1" applyFill="1" applyBorder="1" applyAlignment="1">
      <alignment wrapText="1"/>
    </xf>
    <xf numFmtId="179" fontId="3" fillId="0" borderId="0" xfId="315" applyNumberFormat="1" applyAlignment="1">
      <alignment wrapText="1"/>
    </xf>
    <xf numFmtId="179" fontId="3" fillId="0" borderId="0" xfId="327" applyNumberFormat="1" applyFont="1" applyAlignment="1">
      <alignment wrapText="1"/>
    </xf>
    <xf numFmtId="0" fontId="28" fillId="0" borderId="0" xfId="315" applyFont="1" applyAlignment="1">
      <alignment horizontal="center"/>
    </xf>
    <xf numFmtId="174" fontId="73" fillId="0" borderId="0" xfId="0" applyFont="1"/>
    <xf numFmtId="43" fontId="3" fillId="0" borderId="0" xfId="154" applyFont="1" applyAlignment="1">
      <alignment wrapText="1"/>
    </xf>
    <xf numFmtId="0" fontId="3" fillId="0" borderId="0" xfId="315" applyAlignment="1">
      <alignment horizontal="center" vertical="center"/>
    </xf>
    <xf numFmtId="0" fontId="28" fillId="0" borderId="3" xfId="315" applyFont="1" applyBorder="1" applyAlignment="1">
      <alignment horizontal="left"/>
    </xf>
    <xf numFmtId="0" fontId="3" fillId="0" borderId="3" xfId="315" applyBorder="1" applyAlignment="1">
      <alignment wrapText="1"/>
    </xf>
    <xf numFmtId="175" fontId="10" fillId="0" borderId="0" xfId="154" applyNumberFormat="1" applyFont="1" applyBorder="1" applyAlignment="1"/>
    <xf numFmtId="9" fontId="10" fillId="0" borderId="0" xfId="327" applyFont="1" applyAlignment="1">
      <alignment horizontal="center"/>
    </xf>
    <xf numFmtId="0" fontId="51" fillId="0" borderId="13" xfId="301" applyFont="1" applyBorder="1"/>
    <xf numFmtId="175" fontId="3" fillId="0" borderId="33" xfId="172" applyNumberFormat="1" applyFont="1" applyFill="1" applyBorder="1"/>
    <xf numFmtId="0" fontId="49" fillId="0" borderId="13" xfId="301" applyFont="1" applyBorder="1" applyAlignment="1">
      <alignment horizontal="center" wrapText="1"/>
    </xf>
    <xf numFmtId="0" fontId="3" fillId="0" borderId="13" xfId="301" applyBorder="1" applyAlignment="1">
      <alignment horizontal="center" wrapText="1"/>
    </xf>
    <xf numFmtId="0" fontId="3" fillId="0" borderId="32" xfId="301" applyBorder="1" applyAlignment="1">
      <alignment horizontal="center" wrapText="1"/>
    </xf>
    <xf numFmtId="175" fontId="10" fillId="21" borderId="0" xfId="172" applyNumberFormat="1" applyFont="1" applyFill="1" applyBorder="1" applyAlignment="1"/>
    <xf numFmtId="174" fontId="68" fillId="0" borderId="0" xfId="0" applyFont="1" applyAlignment="1">
      <alignment wrapText="1"/>
    </xf>
    <xf numFmtId="0" fontId="49" fillId="56" borderId="34" xfId="301" applyFont="1" applyFill="1" applyBorder="1" applyAlignment="1">
      <alignment horizontal="center"/>
    </xf>
    <xf numFmtId="0" fontId="50" fillId="56" borderId="39" xfId="301" applyFont="1" applyFill="1" applyBorder="1" applyAlignment="1">
      <alignment horizontal="center" wrapText="1"/>
    </xf>
    <xf numFmtId="175" fontId="10" fillId="0" borderId="0" xfId="172" applyNumberFormat="1" applyFont="1" applyFill="1" applyBorder="1" applyAlignment="1"/>
    <xf numFmtId="175" fontId="10" fillId="64" borderId="0" xfId="172" applyNumberFormat="1" applyFont="1" applyFill="1" applyBorder="1" applyAlignment="1"/>
    <xf numFmtId="175" fontId="3" fillId="0" borderId="13" xfId="172" applyNumberFormat="1" applyFont="1" applyBorder="1"/>
    <xf numFmtId="43" fontId="10" fillId="0" borderId="0" xfId="154" applyFont="1" applyBorder="1" applyAlignment="1"/>
    <xf numFmtId="178" fontId="68" fillId="21" borderId="0" xfId="154" applyNumberFormat="1" applyFont="1" applyFill="1" applyProtection="1">
      <protection locked="0"/>
    </xf>
    <xf numFmtId="43" fontId="0" fillId="0" borderId="0" xfId="154" applyFont="1"/>
    <xf numFmtId="43" fontId="23" fillId="63" borderId="0" xfId="154" applyFont="1" applyFill="1"/>
    <xf numFmtId="43" fontId="0" fillId="0" borderId="0" xfId="0" applyNumberFormat="1"/>
    <xf numFmtId="43" fontId="161" fillId="0" borderId="0" xfId="154" applyFont="1" applyFill="1" applyBorder="1" applyAlignment="1" applyProtection="1"/>
    <xf numFmtId="0" fontId="161" fillId="0" borderId="0" xfId="0" applyNumberFormat="1" applyFont="1" applyProtection="1"/>
    <xf numFmtId="43" fontId="0" fillId="0" borderId="0" xfId="154" applyFont="1" applyFill="1"/>
    <xf numFmtId="43" fontId="23" fillId="65" borderId="0" xfId="154" applyFont="1" applyFill="1"/>
    <xf numFmtId="43" fontId="23" fillId="66" borderId="0" xfId="154" applyFont="1" applyFill="1"/>
    <xf numFmtId="43" fontId="161" fillId="66" borderId="0" xfId="154" applyFont="1" applyFill="1" applyBorder="1" applyAlignment="1" applyProtection="1"/>
    <xf numFmtId="43" fontId="161" fillId="63" borderId="0" xfId="154" applyFont="1" applyFill="1" applyBorder="1" applyAlignment="1" applyProtection="1"/>
    <xf numFmtId="175" fontId="0" fillId="0" borderId="0" xfId="154" applyNumberFormat="1" applyFont="1"/>
    <xf numFmtId="175" fontId="23" fillId="63" borderId="0" xfId="154" applyNumberFormat="1" applyFont="1" applyFill="1"/>
    <xf numFmtId="175" fontId="165" fillId="0" borderId="0" xfId="154" applyNumberFormat="1" applyFont="1"/>
    <xf numFmtId="174" fontId="0" fillId="63" borderId="0" xfId="0" applyFill="1"/>
    <xf numFmtId="43" fontId="161" fillId="0" borderId="0" xfId="154" applyFont="1"/>
    <xf numFmtId="180" fontId="0" fillId="0" borderId="0" xfId="154" applyNumberFormat="1" applyFont="1"/>
    <xf numFmtId="175" fontId="40" fillId="0" borderId="0" xfId="154" applyNumberFormat="1" applyFont="1" applyFill="1" applyBorder="1" applyAlignment="1"/>
    <xf numFmtId="43" fontId="40" fillId="0" borderId="0" xfId="154" applyFont="1" applyFill="1" applyBorder="1" applyAlignment="1"/>
    <xf numFmtId="175" fontId="40" fillId="0" borderId="0" xfId="154" applyNumberFormat="1" applyFont="1" applyFill="1" applyBorder="1" applyAlignment="1" applyProtection="1">
      <alignment horizontal="left"/>
      <protection locked="0"/>
    </xf>
    <xf numFmtId="175" fontId="23" fillId="64" borderId="0" xfId="154" applyNumberFormat="1" applyFont="1" applyFill="1" applyBorder="1" applyAlignment="1"/>
    <xf numFmtId="174" fontId="0" fillId="64" borderId="0" xfId="0" applyFill="1"/>
    <xf numFmtId="43" fontId="40" fillId="64" borderId="0" xfId="154" applyFont="1" applyFill="1" applyBorder="1" applyAlignment="1">
      <alignment horizontal="center"/>
    </xf>
    <xf numFmtId="3" fontId="40" fillId="64" borderId="0" xfId="314" applyNumberFormat="1" applyFont="1" applyFill="1"/>
    <xf numFmtId="3" fontId="10" fillId="64" borderId="0" xfId="313" applyNumberFormat="1" applyFont="1" applyFill="1"/>
    <xf numFmtId="180" fontId="10" fillId="64" borderId="0" xfId="154" applyNumberFormat="1" applyFont="1" applyFill="1" applyBorder="1" applyAlignment="1">
      <alignment horizontal="right"/>
    </xf>
    <xf numFmtId="175" fontId="10" fillId="64" borderId="0" xfId="154" applyNumberFormat="1" applyFont="1" applyFill="1" applyBorder="1" applyAlignment="1"/>
    <xf numFmtId="175" fontId="40" fillId="64" borderId="0" xfId="154" applyNumberFormat="1" applyFont="1" applyFill="1" applyBorder="1" applyAlignment="1"/>
    <xf numFmtId="175" fontId="10" fillId="0" borderId="0" xfId="313" applyNumberFormat="1" applyFont="1" applyAlignment="1">
      <alignment horizontal="center"/>
    </xf>
    <xf numFmtId="0" fontId="70" fillId="56" borderId="34" xfId="301" applyFont="1" applyFill="1" applyBorder="1" applyAlignment="1">
      <alignment horizontal="center" wrapText="1"/>
    </xf>
    <xf numFmtId="0" fontId="11" fillId="0" borderId="0" xfId="301" applyFont="1" applyAlignment="1">
      <alignment horizontal="center"/>
    </xf>
    <xf numFmtId="0" fontId="27" fillId="0" borderId="0" xfId="301" applyFont="1" applyAlignment="1">
      <alignment horizontal="center"/>
    </xf>
    <xf numFmtId="0" fontId="65" fillId="0" borderId="13" xfId="301" applyFont="1" applyBorder="1" applyAlignment="1">
      <alignment horizontal="center" wrapText="1"/>
    </xf>
    <xf numFmtId="0" fontId="65" fillId="0" borderId="32" xfId="301" applyFont="1" applyBorder="1" applyAlignment="1">
      <alignment horizontal="center" wrapText="1"/>
    </xf>
    <xf numFmtId="175" fontId="23" fillId="0" borderId="29" xfId="172" applyNumberFormat="1" applyFont="1" applyFill="1" applyBorder="1"/>
    <xf numFmtId="175" fontId="23" fillId="0" borderId="0" xfId="172" applyNumberFormat="1" applyFont="1" applyFill="1" applyBorder="1"/>
    <xf numFmtId="43" fontId="23" fillId="0" borderId="0" xfId="172" applyFont="1" applyFill="1" applyBorder="1"/>
    <xf numFmtId="175" fontId="23" fillId="0" borderId="0" xfId="154" applyNumberFormat="1" applyFont="1" applyFill="1" applyBorder="1"/>
    <xf numFmtId="174" fontId="166" fillId="0" borderId="0" xfId="0" applyFont="1" applyAlignment="1">
      <alignment horizontal="left" vertical="center"/>
    </xf>
    <xf numFmtId="174" fontId="0" fillId="0" borderId="0" xfId="0" applyAlignment="1">
      <alignment horizontal="left" vertical="center"/>
    </xf>
    <xf numFmtId="174" fontId="160" fillId="0" borderId="0" xfId="259" applyAlignment="1">
      <alignment horizontal="left" vertical="center"/>
    </xf>
    <xf numFmtId="0" fontId="167" fillId="0" borderId="0" xfId="301" applyFont="1" applyAlignment="1">
      <alignment horizontal="center"/>
    </xf>
    <xf numFmtId="0" fontId="167" fillId="0" borderId="0" xfId="301" applyFont="1"/>
    <xf numFmtId="0" fontId="0" fillId="0" borderId="0" xfId="313" applyFont="1" applyAlignment="1" applyProtection="1">
      <alignment horizontal="center"/>
      <protection locked="0"/>
    </xf>
    <xf numFmtId="175" fontId="10" fillId="64" borderId="0" xfId="154" applyNumberFormat="1" applyFont="1" applyFill="1" applyAlignment="1"/>
    <xf numFmtId="10" fontId="40" fillId="0" borderId="0" xfId="327" applyNumberFormat="1" applyFont="1" applyFill="1" applyBorder="1" applyAlignment="1">
      <alignment horizontal="right"/>
    </xf>
    <xf numFmtId="0" fontId="168" fillId="0" borderId="0" xfId="313" applyFont="1" applyAlignment="1">
      <alignment horizontal="left"/>
    </xf>
    <xf numFmtId="3" fontId="169" fillId="0" borderId="0" xfId="313" applyNumberFormat="1" applyFont="1"/>
    <xf numFmtId="0" fontId="170" fillId="0" borderId="0" xfId="301" applyFont="1"/>
    <xf numFmtId="0" fontId="171" fillId="0" borderId="0" xfId="301" applyFont="1"/>
    <xf numFmtId="0" fontId="171" fillId="0" borderId="0" xfId="301" applyFont="1" applyAlignment="1">
      <alignment horizontal="center"/>
    </xf>
    <xf numFmtId="175" fontId="171" fillId="0" borderId="0" xfId="301" applyNumberFormat="1" applyFont="1"/>
    <xf numFmtId="175" fontId="171" fillId="0" borderId="0" xfId="172" applyNumberFormat="1" applyFont="1" applyBorder="1" applyAlignment="1"/>
    <xf numFmtId="0" fontId="172" fillId="0" borderId="0" xfId="301" applyFont="1"/>
    <xf numFmtId="10" fontId="173" fillId="0" borderId="0" xfId="154" applyNumberFormat="1" applyFont="1" applyFill="1" applyAlignment="1"/>
    <xf numFmtId="0" fontId="169" fillId="0" borderId="0" xfId="301" applyFont="1"/>
    <xf numFmtId="0" fontId="174" fillId="0" borderId="0" xfId="301" applyFont="1"/>
    <xf numFmtId="174" fontId="65" fillId="0" borderId="0" xfId="0" applyFont="1" applyAlignment="1">
      <alignment horizontal="center"/>
    </xf>
    <xf numFmtId="3" fontId="65" fillId="0" borderId="0" xfId="301" applyNumberFormat="1" applyFont="1" applyAlignment="1">
      <alignment horizontal="center" wrapText="1"/>
    </xf>
    <xf numFmtId="0" fontId="65" fillId="0" borderId="0" xfId="301" applyFont="1" applyAlignment="1">
      <alignment horizontal="center" wrapText="1"/>
    </xf>
    <xf numFmtId="0" fontId="65" fillId="64" borderId="0" xfId="301" applyFont="1" applyFill="1"/>
    <xf numFmtId="175" fontId="65" fillId="64" borderId="0" xfId="154" applyNumberFormat="1" applyFont="1" applyFill="1" applyBorder="1" applyAlignment="1">
      <alignment horizontal="center"/>
    </xf>
    <xf numFmtId="175" fontId="65" fillId="0" borderId="0" xfId="154" applyNumberFormat="1" applyFont="1" applyFill="1" applyBorder="1" applyAlignment="1">
      <alignment horizontal="center" wrapText="1"/>
    </xf>
    <xf numFmtId="175" fontId="65" fillId="64" borderId="0" xfId="154" applyNumberFormat="1" applyFont="1" applyFill="1" applyBorder="1"/>
    <xf numFmtId="0" fontId="65" fillId="64" borderId="3" xfId="301" applyFont="1" applyFill="1" applyBorder="1"/>
    <xf numFmtId="175" fontId="65" fillId="64" borderId="3" xfId="154" applyNumberFormat="1" applyFont="1" applyFill="1" applyBorder="1"/>
    <xf numFmtId="175" fontId="65" fillId="0" borderId="3" xfId="154" applyNumberFormat="1" applyFont="1" applyFill="1" applyBorder="1" applyAlignment="1">
      <alignment horizontal="center" wrapText="1"/>
    </xf>
    <xf numFmtId="0" fontId="65" fillId="0" borderId="0" xfId="301" applyFont="1"/>
    <xf numFmtId="175" fontId="65" fillId="0" borderId="0" xfId="154" applyNumberFormat="1" applyFont="1" applyFill="1" applyBorder="1"/>
    <xf numFmtId="175" fontId="65" fillId="0" borderId="0" xfId="154" applyNumberFormat="1" applyFont="1" applyFill="1" applyBorder="1" applyAlignment="1">
      <alignment horizontal="center"/>
    </xf>
    <xf numFmtId="174" fontId="154" fillId="0" borderId="0" xfId="0" applyFont="1"/>
    <xf numFmtId="0" fontId="44" fillId="0" borderId="0" xfId="308" applyFont="1"/>
    <xf numFmtId="174" fontId="44" fillId="0" borderId="5" xfId="306" applyFont="1" applyBorder="1"/>
    <xf numFmtId="1" fontId="44" fillId="0" borderId="5" xfId="306" applyNumberFormat="1" applyFont="1" applyBorder="1" applyAlignment="1">
      <alignment horizontal="center"/>
    </xf>
    <xf numFmtId="174" fontId="44" fillId="0" borderId="3" xfId="306" applyFont="1" applyBorder="1" applyAlignment="1">
      <alignment horizontal="center" wrapText="1"/>
    </xf>
    <xf numFmtId="175" fontId="44" fillId="64" borderId="5" xfId="154" applyNumberFormat="1" applyFont="1" applyFill="1" applyBorder="1" applyAlignment="1">
      <alignment wrapText="1"/>
    </xf>
    <xf numFmtId="175" fontId="44" fillId="64" borderId="0" xfId="154" applyNumberFormat="1" applyFont="1" applyFill="1" applyBorder="1"/>
    <xf numFmtId="175" fontId="44" fillId="64" borderId="3" xfId="154" applyNumberFormat="1" applyFont="1" applyFill="1" applyBorder="1"/>
    <xf numFmtId="0" fontId="44" fillId="0" borderId="0" xfId="154" applyNumberFormat="1" applyFont="1" applyAlignment="1">
      <alignment horizontal="center"/>
    </xf>
    <xf numFmtId="174" fontId="44" fillId="0" borderId="0" xfId="0" applyFont="1"/>
    <xf numFmtId="0" fontId="44" fillId="0" borderId="0" xfId="305" applyFont="1"/>
    <xf numFmtId="0" fontId="48" fillId="0" borderId="0" xfId="305" applyFont="1"/>
    <xf numFmtId="0" fontId="44" fillId="0" borderId="0" xfId="305" applyFont="1" applyAlignment="1">
      <alignment horizontal="center"/>
    </xf>
    <xf numFmtId="0" fontId="44" fillId="0" borderId="0" xfId="305" quotePrefix="1" applyFont="1" applyAlignment="1">
      <alignment horizontal="center"/>
    </xf>
    <xf numFmtId="0" fontId="44" fillId="0" borderId="2" xfId="305" applyFont="1" applyBorder="1" applyAlignment="1">
      <alignment horizontal="center" wrapText="1"/>
    </xf>
    <xf numFmtId="0" fontId="44" fillId="0" borderId="17" xfId="305" applyFont="1" applyBorder="1"/>
    <xf numFmtId="0" fontId="44" fillId="64" borderId="60" xfId="305" applyFont="1" applyFill="1" applyBorder="1"/>
    <xf numFmtId="0" fontId="44" fillId="64" borderId="5" xfId="305" applyFont="1" applyFill="1" applyBorder="1"/>
    <xf numFmtId="0" fontId="44" fillId="0" borderId="5" xfId="305" applyFont="1" applyBorder="1"/>
    <xf numFmtId="0" fontId="44" fillId="64" borderId="5" xfId="305" applyFont="1" applyFill="1" applyBorder="1" applyAlignment="1">
      <alignment horizontal="center"/>
    </xf>
    <xf numFmtId="0" fontId="44" fillId="64" borderId="56" xfId="305" applyFont="1" applyFill="1" applyBorder="1"/>
    <xf numFmtId="0" fontId="44" fillId="64" borderId="27" xfId="305" applyFont="1" applyFill="1" applyBorder="1"/>
    <xf numFmtId="0" fontId="44" fillId="64" borderId="0" xfId="305" applyFont="1" applyFill="1"/>
    <xf numFmtId="0" fontId="44" fillId="64" borderId="0" xfId="305" applyFont="1" applyFill="1" applyAlignment="1">
      <alignment horizontal="center"/>
    </xf>
    <xf numFmtId="0" fontId="44" fillId="64" borderId="59" xfId="305" applyFont="1" applyFill="1" applyBorder="1"/>
    <xf numFmtId="0" fontId="44" fillId="0" borderId="57" xfId="305" applyFont="1" applyBorder="1" applyAlignment="1">
      <alignment horizontal="left"/>
    </xf>
    <xf numFmtId="0" fontId="44" fillId="64" borderId="61" xfId="305" applyFont="1" applyFill="1" applyBorder="1"/>
    <xf numFmtId="0" fontId="44" fillId="64" borderId="3" xfId="305" applyFont="1" applyFill="1" applyBorder="1"/>
    <xf numFmtId="0" fontId="44" fillId="64" borderId="3" xfId="305" applyFont="1" applyFill="1" applyBorder="1" applyAlignment="1">
      <alignment horizontal="center"/>
    </xf>
    <xf numFmtId="0" fontId="44" fillId="64" borderId="58" xfId="305" applyFont="1" applyFill="1" applyBorder="1" applyAlignment="1">
      <alignment horizontal="center"/>
    </xf>
    <xf numFmtId="0" fontId="44" fillId="0" borderId="5" xfId="305" applyFont="1" applyBorder="1" applyAlignment="1">
      <alignment horizontal="left"/>
    </xf>
    <xf numFmtId="174" fontId="44" fillId="0" borderId="0" xfId="306" applyFont="1"/>
    <xf numFmtId="1" fontId="44" fillId="0" borderId="0" xfId="306" applyNumberFormat="1" applyFont="1" applyAlignment="1">
      <alignment horizontal="center"/>
    </xf>
    <xf numFmtId="49" fontId="44" fillId="0" borderId="0" xfId="310" applyNumberFormat="1" applyFont="1" applyAlignment="1">
      <alignment horizontal="center" wrapText="1"/>
    </xf>
    <xf numFmtId="49" fontId="44" fillId="0" borderId="0" xfId="180" applyNumberFormat="1" applyFont="1" applyBorder="1" applyAlignment="1">
      <alignment horizontal="center" wrapText="1"/>
    </xf>
    <xf numFmtId="0" fontId="44" fillId="0" borderId="0" xfId="310" applyFont="1"/>
    <xf numFmtId="49" fontId="44" fillId="0" borderId="0" xfId="310" applyNumberFormat="1" applyFont="1"/>
    <xf numFmtId="175" fontId="44" fillId="0" borderId="0" xfId="180" applyNumberFormat="1" applyFont="1"/>
    <xf numFmtId="0" fontId="44" fillId="0" borderId="0" xfId="310" applyFont="1" applyAlignment="1">
      <alignment horizontal="center"/>
    </xf>
    <xf numFmtId="49" fontId="44" fillId="0" borderId="0" xfId="310" applyNumberFormat="1" applyFont="1" applyAlignment="1">
      <alignment horizontal="center"/>
    </xf>
    <xf numFmtId="175" fontId="44" fillId="0" borderId="0" xfId="180" applyNumberFormat="1" applyFont="1" applyAlignment="1">
      <alignment horizontal="center"/>
    </xf>
    <xf numFmtId="10" fontId="44" fillId="0" borderId="0" xfId="335" applyNumberFormat="1" applyFont="1" applyAlignment="1">
      <alignment horizontal="center"/>
    </xf>
    <xf numFmtId="49" fontId="44" fillId="0" borderId="5" xfId="310" applyNumberFormat="1" applyFont="1" applyBorder="1" applyAlignment="1">
      <alignment horizontal="center" wrapText="1"/>
    </xf>
    <xf numFmtId="49" fontId="44" fillId="64" borderId="3" xfId="310" applyNumberFormat="1" applyFont="1" applyFill="1" applyBorder="1" applyAlignment="1">
      <alignment horizontal="center" wrapText="1"/>
    </xf>
    <xf numFmtId="175" fontId="44" fillId="64" borderId="0" xfId="180" applyNumberFormat="1" applyFont="1" applyFill="1" applyBorder="1"/>
    <xf numFmtId="175" fontId="44" fillId="64" borderId="3" xfId="180" applyNumberFormat="1" applyFont="1" applyFill="1" applyBorder="1"/>
    <xf numFmtId="175" fontId="44" fillId="0" borderId="0" xfId="180" applyNumberFormat="1" applyFont="1" applyBorder="1" applyAlignment="1">
      <alignment horizontal="right"/>
    </xf>
    <xf numFmtId="175" fontId="44" fillId="0" borderId="0" xfId="180" applyNumberFormat="1" applyFont="1" applyBorder="1" applyAlignment="1"/>
    <xf numFmtId="0" fontId="44" fillId="0" borderId="46" xfId="305" applyFont="1" applyBorder="1"/>
    <xf numFmtId="0" fontId="44" fillId="0" borderId="57" xfId="305" applyFont="1" applyBorder="1" applyAlignment="1">
      <alignment horizontal="center" wrapText="1"/>
    </xf>
    <xf numFmtId="174" fontId="48" fillId="0" borderId="0" xfId="0" applyFont="1"/>
    <xf numFmtId="174" fontId="44" fillId="0" borderId="0" xfId="306" applyFont="1" applyAlignment="1">
      <alignment horizontal="center"/>
    </xf>
    <xf numFmtId="174" fontId="44" fillId="0" borderId="0" xfId="306" applyFont="1" applyAlignment="1">
      <alignment horizontal="center" wrapText="1"/>
    </xf>
    <xf numFmtId="175" fontId="44" fillId="0" borderId="0" xfId="154" applyNumberFormat="1" applyFont="1" applyFill="1" applyBorder="1" applyAlignment="1">
      <alignment wrapText="1"/>
    </xf>
    <xf numFmtId="175" fontId="44" fillId="0" borderId="0" xfId="154" applyNumberFormat="1" applyFont="1" applyFill="1" applyBorder="1"/>
    <xf numFmtId="0" fontId="44" fillId="0" borderId="0" xfId="310" applyFont="1" applyAlignment="1">
      <alignment horizontal="left"/>
    </xf>
    <xf numFmtId="0" fontId="44" fillId="0" borderId="17" xfId="154" applyNumberFormat="1" applyFont="1" applyBorder="1" applyAlignment="1">
      <alignment horizontal="left"/>
    </xf>
    <xf numFmtId="0" fontId="44" fillId="0" borderId="57" xfId="154" applyNumberFormat="1" applyFont="1" applyBorder="1" applyAlignment="1">
      <alignment horizontal="left"/>
    </xf>
    <xf numFmtId="0" fontId="44" fillId="0" borderId="0" xfId="154" applyNumberFormat="1" applyFont="1" applyAlignment="1">
      <alignment horizontal="left"/>
    </xf>
    <xf numFmtId="49" fontId="44" fillId="0" borderId="0" xfId="310" applyNumberFormat="1" applyFont="1" applyAlignment="1">
      <alignment horizontal="left"/>
    </xf>
    <xf numFmtId="0" fontId="44" fillId="0" borderId="0" xfId="154" applyNumberFormat="1" applyFont="1" applyBorder="1" applyAlignment="1">
      <alignment horizontal="center"/>
    </xf>
    <xf numFmtId="174" fontId="0" fillId="0" borderId="0" xfId="0" applyAlignment="1">
      <alignment horizontal="left"/>
    </xf>
    <xf numFmtId="0" fontId="44" fillId="0" borderId="2" xfId="154" applyNumberFormat="1" applyFont="1" applyBorder="1" applyAlignment="1">
      <alignment horizontal="center"/>
    </xf>
    <xf numFmtId="174" fontId="44" fillId="64" borderId="60" xfId="306" applyFont="1" applyFill="1" applyBorder="1"/>
    <xf numFmtId="175" fontId="44" fillId="64" borderId="56" xfId="154" applyNumberFormat="1" applyFont="1" applyFill="1" applyBorder="1" applyAlignment="1">
      <alignment wrapText="1"/>
    </xf>
    <xf numFmtId="174" fontId="44" fillId="64" borderId="27" xfId="306" applyFont="1" applyFill="1" applyBorder="1"/>
    <xf numFmtId="175" fontId="44" fillId="64" borderId="59" xfId="154" applyNumberFormat="1" applyFont="1" applyFill="1" applyBorder="1"/>
    <xf numFmtId="174" fontId="44" fillId="64" borderId="61" xfId="306" applyFont="1" applyFill="1" applyBorder="1"/>
    <xf numFmtId="175" fontId="44" fillId="64" borderId="58" xfId="154" applyNumberFormat="1" applyFont="1" applyFill="1" applyBorder="1"/>
    <xf numFmtId="10" fontId="10" fillId="0" borderId="0" xfId="327" applyNumberFormat="1" applyFont="1" applyFill="1" applyAlignment="1"/>
    <xf numFmtId="14" fontId="3" fillId="64" borderId="33" xfId="301" applyNumberFormat="1" applyFill="1" applyBorder="1" applyAlignment="1">
      <alignment horizontal="center"/>
    </xf>
    <xf numFmtId="0" fontId="3" fillId="64" borderId="13" xfId="301" applyFill="1" applyBorder="1" applyAlignment="1">
      <alignment horizontal="center"/>
    </xf>
    <xf numFmtId="175" fontId="23" fillId="64" borderId="13" xfId="172" applyNumberFormat="1" applyFont="1" applyFill="1" applyBorder="1"/>
    <xf numFmtId="0" fontId="65" fillId="0" borderId="0" xfId="301" applyFont="1" applyAlignment="1">
      <alignment horizontal="left"/>
    </xf>
    <xf numFmtId="175" fontId="65" fillId="0" borderId="0" xfId="172" applyNumberFormat="1" applyFont="1" applyFill="1"/>
    <xf numFmtId="0" fontId="65" fillId="0" borderId="0" xfId="301" applyFont="1" applyAlignment="1">
      <alignment horizontal="right"/>
    </xf>
    <xf numFmtId="0" fontId="175" fillId="0" borderId="0" xfId="301" applyFont="1"/>
    <xf numFmtId="174" fontId="0" fillId="0" borderId="0" xfId="0" applyAlignment="1">
      <alignment horizontal="center"/>
    </xf>
    <xf numFmtId="174" fontId="46" fillId="0" borderId="0" xfId="0" applyFont="1" applyAlignment="1">
      <alignment horizontal="center"/>
    </xf>
    <xf numFmtId="175" fontId="46" fillId="0" borderId="0" xfId="154" applyNumberFormat="1" applyFont="1" applyBorder="1" applyAlignment="1">
      <alignment horizontal="center"/>
    </xf>
    <xf numFmtId="175" fontId="46" fillId="0" borderId="29" xfId="154" applyNumberFormat="1" applyFont="1" applyBorder="1" applyAlignment="1">
      <alignment horizontal="center"/>
    </xf>
    <xf numFmtId="0" fontId="46" fillId="0" borderId="31" xfId="154" applyNumberFormat="1" applyFont="1" applyBorder="1" applyAlignment="1">
      <alignment horizontal="center"/>
    </xf>
    <xf numFmtId="175" fontId="46" fillId="0" borderId="0" xfId="154" applyNumberFormat="1" applyFont="1" applyFill="1" applyBorder="1" applyAlignment="1">
      <alignment horizontal="center"/>
    </xf>
    <xf numFmtId="175" fontId="46" fillId="0" borderId="29" xfId="154" applyNumberFormat="1" applyFont="1" applyFill="1" applyBorder="1" applyAlignment="1">
      <alignment horizontal="center"/>
    </xf>
    <xf numFmtId="175" fontId="46" fillId="0" borderId="0" xfId="154" applyNumberFormat="1" applyFont="1" applyBorder="1"/>
    <xf numFmtId="175" fontId="46" fillId="0" borderId="29" xfId="154" applyNumberFormat="1" applyFont="1" applyBorder="1"/>
    <xf numFmtId="174" fontId="46" fillId="0" borderId="0" xfId="0" applyFont="1" applyAlignment="1">
      <alignment horizontal="left" indent="1"/>
    </xf>
    <xf numFmtId="174" fontId="46" fillId="0" borderId="0" xfId="0" applyFont="1" applyAlignment="1">
      <alignment horizontal="left" indent="2"/>
    </xf>
    <xf numFmtId="174" fontId="46" fillId="0" borderId="0" xfId="0" applyFont="1" applyAlignment="1">
      <alignment horizontal="left"/>
    </xf>
    <xf numFmtId="175" fontId="46" fillId="21" borderId="16" xfId="154" applyNumberFormat="1" applyFont="1" applyFill="1" applyBorder="1"/>
    <xf numFmtId="175" fontId="46" fillId="21" borderId="62" xfId="154" applyNumberFormat="1" applyFont="1" applyFill="1" applyBorder="1"/>
    <xf numFmtId="175" fontId="46" fillId="21" borderId="63" xfId="154" applyNumberFormat="1" applyFont="1" applyFill="1" applyBorder="1"/>
    <xf numFmtId="175" fontId="46" fillId="0" borderId="6" xfId="154" applyNumberFormat="1" applyFont="1" applyBorder="1"/>
    <xf numFmtId="174" fontId="46" fillId="0" borderId="0" xfId="0" applyFont="1" applyAlignment="1">
      <alignment horizontal="left" wrapText="1" indent="1"/>
    </xf>
    <xf numFmtId="0" fontId="46" fillId="0" borderId="33" xfId="154" applyNumberFormat="1" applyFont="1" applyBorder="1" applyAlignment="1">
      <alignment horizontal="center"/>
    </xf>
    <xf numFmtId="174" fontId="46" fillId="0" borderId="13" xfId="0" applyFont="1" applyBorder="1"/>
    <xf numFmtId="175" fontId="46" fillId="0" borderId="13" xfId="154" applyNumberFormat="1" applyFont="1" applyBorder="1"/>
    <xf numFmtId="175" fontId="46" fillId="0" borderId="32" xfId="154" applyNumberFormat="1" applyFont="1" applyBorder="1"/>
    <xf numFmtId="175" fontId="47" fillId="56" borderId="0" xfId="154" applyNumberFormat="1" applyFont="1" applyFill="1" applyBorder="1" applyAlignment="1">
      <alignment horizontal="center" wrapText="1"/>
    </xf>
    <xf numFmtId="175" fontId="46" fillId="0" borderId="0" xfId="154" applyNumberFormat="1" applyFont="1"/>
    <xf numFmtId="0" fontId="46" fillId="0" borderId="35" xfId="154" applyNumberFormat="1" applyFont="1" applyFill="1" applyBorder="1" applyAlignment="1">
      <alignment horizontal="center"/>
    </xf>
    <xf numFmtId="3" fontId="45" fillId="0" borderId="34" xfId="301" applyNumberFormat="1" applyFont="1" applyBorder="1" applyAlignment="1">
      <alignment horizontal="left"/>
    </xf>
    <xf numFmtId="0" fontId="46" fillId="0" borderId="34" xfId="301" applyFont="1" applyBorder="1"/>
    <xf numFmtId="175" fontId="46" fillId="0" borderId="34" xfId="154" applyNumberFormat="1" applyFont="1" applyFill="1" applyBorder="1"/>
    <xf numFmtId="175" fontId="46" fillId="0" borderId="34" xfId="154" applyNumberFormat="1" applyFont="1" applyFill="1" applyBorder="1" applyAlignment="1">
      <alignment horizontal="center"/>
    </xf>
    <xf numFmtId="175" fontId="46" fillId="0" borderId="34" xfId="154" applyNumberFormat="1" applyFont="1" applyBorder="1"/>
    <xf numFmtId="175" fontId="46" fillId="0" borderId="39" xfId="154" applyNumberFormat="1" applyFont="1" applyBorder="1"/>
    <xf numFmtId="0" fontId="45" fillId="0" borderId="31" xfId="154" applyNumberFormat="1" applyFont="1" applyBorder="1" applyAlignment="1">
      <alignment horizontal="center"/>
    </xf>
    <xf numFmtId="174" fontId="45" fillId="0" borderId="0" xfId="0" applyFont="1" applyAlignment="1">
      <alignment horizontal="center"/>
    </xf>
    <xf numFmtId="0" fontId="45" fillId="0" borderId="41" xfId="154" applyNumberFormat="1" applyFont="1" applyBorder="1" applyAlignment="1">
      <alignment horizontal="center"/>
    </xf>
    <xf numFmtId="174" fontId="45" fillId="0" borderId="3" xfId="0" applyFont="1" applyBorder="1" applyAlignment="1">
      <alignment horizontal="center"/>
    </xf>
    <xf numFmtId="175" fontId="45" fillId="0" borderId="3" xfId="154" applyNumberFormat="1" applyFont="1" applyFill="1" applyBorder="1" applyAlignment="1">
      <alignment horizontal="center"/>
    </xf>
    <xf numFmtId="175" fontId="45" fillId="0" borderId="42" xfId="154" applyNumberFormat="1" applyFont="1" applyFill="1" applyBorder="1" applyAlignment="1">
      <alignment horizontal="center"/>
    </xf>
    <xf numFmtId="175" fontId="46" fillId="21" borderId="64" xfId="154" applyNumberFormat="1" applyFont="1" applyFill="1" applyBorder="1"/>
    <xf numFmtId="175" fontId="46" fillId="0" borderId="65" xfId="154" applyNumberFormat="1" applyFont="1" applyBorder="1"/>
    <xf numFmtId="175" fontId="46" fillId="0" borderId="29" xfId="154" applyNumberFormat="1" applyFont="1" applyFill="1" applyBorder="1"/>
    <xf numFmtId="175" fontId="45" fillId="0" borderId="0" xfId="154" applyNumberFormat="1" applyFont="1" applyBorder="1"/>
    <xf numFmtId="175" fontId="45" fillId="0" borderId="29" xfId="154" applyNumberFormat="1" applyFont="1" applyBorder="1"/>
    <xf numFmtId="174" fontId="46" fillId="0" borderId="0" xfId="0" applyFont="1" applyAlignment="1">
      <alignment horizontal="left" wrapText="1" indent="2"/>
    </xf>
    <xf numFmtId="175" fontId="46" fillId="21" borderId="66" xfId="154" applyNumberFormat="1" applyFont="1" applyFill="1" applyBorder="1"/>
    <xf numFmtId="43" fontId="10" fillId="64" borderId="0" xfId="154" applyFont="1" applyFill="1" applyAlignment="1"/>
    <xf numFmtId="0" fontId="68" fillId="0" borderId="0" xfId="313" applyFont="1" applyAlignment="1" applyProtection="1">
      <alignment horizontal="center"/>
      <protection locked="0"/>
    </xf>
    <xf numFmtId="0" fontId="164" fillId="0" borderId="0" xfId="313" applyFont="1" applyAlignment="1" applyProtection="1">
      <alignment horizontal="center"/>
      <protection locked="0"/>
    </xf>
    <xf numFmtId="177" fontId="68" fillId="0" borderId="0" xfId="327" applyNumberFormat="1" applyFont="1" applyFill="1"/>
    <xf numFmtId="43" fontId="68" fillId="0" borderId="0" xfId="0" applyNumberFormat="1" applyFont="1"/>
    <xf numFmtId="174" fontId="66" fillId="0" borderId="0" xfId="313" applyNumberFormat="1" applyFont="1" applyProtection="1">
      <protection locked="0"/>
    </xf>
    <xf numFmtId="3" fontId="66" fillId="0" borderId="0" xfId="313" applyNumberFormat="1" applyFont="1"/>
    <xf numFmtId="0" fontId="66" fillId="0" borderId="0" xfId="313" applyFont="1" applyProtection="1">
      <protection locked="0"/>
    </xf>
    <xf numFmtId="170" fontId="39" fillId="0" borderId="0" xfId="313" applyNumberFormat="1" applyFont="1" applyProtection="1">
      <protection locked="0"/>
    </xf>
    <xf numFmtId="0" fontId="39" fillId="0" borderId="0" xfId="313" applyFont="1" applyProtection="1"/>
    <xf numFmtId="3" fontId="39" fillId="0" borderId="0" xfId="313" applyNumberFormat="1" applyFont="1" applyProtection="1"/>
    <xf numFmtId="0" fontId="66" fillId="0" borderId="0" xfId="313" applyFont="1" applyAlignment="1" applyProtection="1">
      <alignment horizontal="center"/>
      <protection locked="0"/>
    </xf>
    <xf numFmtId="3" fontId="176" fillId="0" borderId="0" xfId="313" applyNumberFormat="1" applyFont="1"/>
    <xf numFmtId="0" fontId="155" fillId="0" borderId="0" xfId="313" applyFont="1" applyAlignment="1" applyProtection="1">
      <alignment horizontal="left"/>
      <protection locked="0"/>
    </xf>
    <xf numFmtId="0" fontId="66" fillId="0" borderId="0" xfId="0" applyNumberFormat="1" applyFont="1"/>
    <xf numFmtId="0" fontId="156" fillId="0" borderId="0" xfId="0" applyNumberFormat="1" applyFont="1"/>
    <xf numFmtId="0" fontId="68" fillId="0" borderId="0" xfId="0" applyNumberFormat="1" applyFont="1" applyAlignment="1">
      <alignment horizontal="center" vertical="top"/>
    </xf>
    <xf numFmtId="0" fontId="68" fillId="0" borderId="0" xfId="0" applyNumberFormat="1" applyFont="1" applyAlignment="1">
      <alignment horizontal="center"/>
    </xf>
    <xf numFmtId="175" fontId="46" fillId="0" borderId="0" xfId="172" applyNumberFormat="1" applyFont="1" applyBorder="1" applyAlignment="1"/>
    <xf numFmtId="175" fontId="46" fillId="40" borderId="0" xfId="172" applyNumberFormat="1" applyFont="1" applyFill="1" applyAlignment="1"/>
    <xf numFmtId="175" fontId="46" fillId="0" borderId="0" xfId="301" applyNumberFormat="1" applyFont="1"/>
    <xf numFmtId="0" fontId="70" fillId="0" borderId="0" xfId="301" applyFont="1"/>
    <xf numFmtId="174" fontId="46" fillId="0" borderId="3" xfId="0" applyFont="1" applyBorder="1"/>
    <xf numFmtId="174" fontId="46" fillId="0" borderId="0" xfId="0" applyFont="1" applyAlignment="1">
      <alignment horizontal="centerContinuous"/>
    </xf>
    <xf numFmtId="0" fontId="46" fillId="0" borderId="0" xfId="0" applyNumberFormat="1" applyFont="1" applyAlignment="1">
      <alignment horizontal="center"/>
    </xf>
    <xf numFmtId="174" fontId="157" fillId="0" borderId="0" xfId="0" applyFont="1" applyAlignment="1">
      <alignment horizontal="right"/>
    </xf>
    <xf numFmtId="0" fontId="46" fillId="64" borderId="0" xfId="0" applyNumberFormat="1" applyFont="1" applyFill="1" applyAlignment="1">
      <alignment horizontal="center"/>
    </xf>
    <xf numFmtId="170" fontId="46" fillId="64" borderId="0" xfId="0" applyNumberFormat="1" applyFont="1" applyFill="1"/>
    <xf numFmtId="175" fontId="46" fillId="64" borderId="0" xfId="154" applyNumberFormat="1" applyFont="1" applyFill="1"/>
    <xf numFmtId="170" fontId="46" fillId="0" borderId="0" xfId="0" applyNumberFormat="1" applyFont="1"/>
    <xf numFmtId="175" fontId="46" fillId="0" borderId="8" xfId="154" applyNumberFormat="1" applyFont="1" applyBorder="1"/>
    <xf numFmtId="170" fontId="45" fillId="0" borderId="0" xfId="0" applyNumberFormat="1" applyFont="1"/>
    <xf numFmtId="175" fontId="46" fillId="0" borderId="0" xfId="172" applyNumberFormat="1" applyFont="1" applyFill="1" applyAlignment="1">
      <alignment horizontal="right"/>
    </xf>
    <xf numFmtId="0" fontId="46" fillId="64" borderId="0" xfId="301" applyFont="1" applyFill="1"/>
    <xf numFmtId="175" fontId="46" fillId="21" borderId="0" xfId="172" applyNumberFormat="1" applyFont="1" applyFill="1"/>
    <xf numFmtId="0" fontId="46" fillId="0" borderId="29" xfId="301" applyFont="1" applyBorder="1" applyAlignment="1">
      <alignment horizontal="right"/>
    </xf>
    <xf numFmtId="175" fontId="46" fillId="21" borderId="29" xfId="172" applyNumberFormat="1" applyFont="1" applyFill="1" applyBorder="1" applyAlignment="1">
      <alignment horizontal="right"/>
    </xf>
    <xf numFmtId="0" fontId="46" fillId="0" borderId="0" xfId="301" applyFont="1" applyAlignment="1">
      <alignment horizontal="left"/>
    </xf>
    <xf numFmtId="0" fontId="45" fillId="0" borderId="0" xfId="301" applyFont="1" applyAlignment="1">
      <alignment horizontal="left"/>
    </xf>
    <xf numFmtId="3" fontId="71" fillId="0" borderId="0" xfId="301" applyNumberFormat="1" applyFont="1" applyAlignment="1">
      <alignment horizontal="center"/>
    </xf>
    <xf numFmtId="175" fontId="46" fillId="0" borderId="29" xfId="172" applyNumberFormat="1" applyFont="1" applyFill="1" applyBorder="1" applyAlignment="1">
      <alignment horizontal="right"/>
    </xf>
    <xf numFmtId="0" fontId="71" fillId="0" borderId="0" xfId="301" applyFont="1" applyAlignment="1">
      <alignment horizontal="center"/>
    </xf>
    <xf numFmtId="0" fontId="46" fillId="0" borderId="29" xfId="301" applyFont="1" applyBorder="1" applyAlignment="1">
      <alignment horizontal="left"/>
    </xf>
    <xf numFmtId="175" fontId="71" fillId="0" borderId="0" xfId="154" applyNumberFormat="1" applyFont="1" applyFill="1" applyBorder="1" applyAlignment="1">
      <alignment horizontal="center"/>
    </xf>
    <xf numFmtId="175" fontId="71" fillId="0" borderId="0" xfId="154" applyNumberFormat="1" applyFont="1" applyBorder="1" applyAlignment="1">
      <alignment horizontal="center"/>
    </xf>
    <xf numFmtId="3" fontId="46" fillId="0" borderId="29" xfId="301" applyNumberFormat="1" applyFont="1" applyBorder="1" applyAlignment="1">
      <alignment horizontal="left"/>
    </xf>
    <xf numFmtId="175" fontId="46" fillId="0" borderId="29" xfId="172" applyNumberFormat="1" applyFont="1" applyBorder="1" applyAlignment="1">
      <alignment horizontal="right"/>
    </xf>
    <xf numFmtId="0" fontId="46" fillId="0" borderId="33" xfId="301" applyFont="1" applyBorder="1" applyAlignment="1">
      <alignment horizontal="center"/>
    </xf>
    <xf numFmtId="0" fontId="46" fillId="0" borderId="13" xfId="301" applyFont="1" applyBorder="1" applyAlignment="1">
      <alignment horizontal="center"/>
    </xf>
    <xf numFmtId="0" fontId="46" fillId="0" borderId="13" xfId="301" applyFont="1" applyBorder="1" applyAlignment="1">
      <alignment horizontal="left"/>
    </xf>
    <xf numFmtId="0" fontId="71" fillId="0" borderId="13" xfId="301" applyFont="1" applyBorder="1" applyAlignment="1">
      <alignment horizontal="center"/>
    </xf>
    <xf numFmtId="0" fontId="46" fillId="0" borderId="32" xfId="301" applyFont="1" applyBorder="1" applyAlignment="1">
      <alignment horizontal="left"/>
    </xf>
    <xf numFmtId="0" fontId="47" fillId="0" borderId="31" xfId="301" applyFont="1" applyBorder="1" applyAlignment="1">
      <alignment horizontal="left"/>
    </xf>
    <xf numFmtId="174" fontId="23" fillId="0" borderId="0" xfId="0" applyFont="1"/>
    <xf numFmtId="9" fontId="23" fillId="0" borderId="0" xfId="313" applyNumberFormat="1"/>
    <xf numFmtId="0" fontId="3" fillId="0" borderId="34" xfId="301" applyBorder="1" applyAlignment="1">
      <alignment horizontal="center" wrapText="1"/>
    </xf>
    <xf numFmtId="0" fontId="3" fillId="0" borderId="39" xfId="301" applyBorder="1" applyAlignment="1">
      <alignment horizontal="center" wrapText="1"/>
    </xf>
    <xf numFmtId="175" fontId="10" fillId="0" borderId="0" xfId="309" applyNumberFormat="1" applyFont="1" applyProtection="1">
      <protection locked="0"/>
    </xf>
    <xf numFmtId="10" fontId="40" fillId="0" borderId="0" xfId="327" applyNumberFormat="1" applyFont="1" applyFill="1" applyAlignment="1"/>
    <xf numFmtId="10" fontId="40" fillId="0" borderId="0" xfId="327" applyNumberFormat="1" applyFont="1" applyAlignment="1"/>
    <xf numFmtId="10" fontId="40" fillId="0" borderId="13" xfId="327" applyNumberFormat="1" applyFont="1" applyBorder="1" applyAlignment="1"/>
    <xf numFmtId="0" fontId="57" fillId="0" borderId="0" xfId="301" applyFont="1" applyAlignment="1">
      <alignment horizontal="right"/>
    </xf>
    <xf numFmtId="0" fontId="57" fillId="0" borderId="0" xfId="301" applyFont="1" applyAlignment="1">
      <alignment horizontal="left"/>
    </xf>
    <xf numFmtId="0" fontId="57" fillId="0" borderId="0" xfId="301" applyFont="1" applyAlignment="1">
      <alignment horizontal="center"/>
    </xf>
    <xf numFmtId="175" fontId="57" fillId="64" borderId="31" xfId="172" applyNumberFormat="1" applyFont="1" applyFill="1" applyBorder="1" applyAlignment="1">
      <alignment horizontal="right"/>
    </xf>
    <xf numFmtId="175" fontId="57" fillId="64" borderId="0" xfId="172" applyNumberFormat="1" applyFont="1" applyFill="1" applyBorder="1" applyAlignment="1">
      <alignment horizontal="right"/>
    </xf>
    <xf numFmtId="175" fontId="57" fillId="0" borderId="0" xfId="301" applyNumberFormat="1" applyFont="1" applyAlignment="1">
      <alignment horizontal="center"/>
    </xf>
    <xf numFmtId="43" fontId="3" fillId="0" borderId="0" xfId="154" applyFont="1" applyFill="1" applyBorder="1" applyAlignment="1">
      <alignment horizontal="right"/>
    </xf>
    <xf numFmtId="43" fontId="44" fillId="0" borderId="5" xfId="154" applyFont="1" applyBorder="1" applyAlignment="1">
      <alignment horizontal="center"/>
    </xf>
    <xf numFmtId="0" fontId="64" fillId="0" borderId="13" xfId="301" applyFont="1" applyBorder="1" applyAlignment="1">
      <alignment horizontal="left"/>
    </xf>
    <xf numFmtId="175" fontId="3" fillId="0" borderId="29" xfId="301" applyNumberFormat="1" applyBorder="1"/>
    <xf numFmtId="43" fontId="44" fillId="0" borderId="0" xfId="154" applyFont="1" applyBorder="1" applyAlignment="1"/>
    <xf numFmtId="17" fontId="44" fillId="0" borderId="5" xfId="305" applyNumberFormat="1" applyFont="1" applyBorder="1" applyAlignment="1">
      <alignment horizontal="center" wrapText="1"/>
    </xf>
    <xf numFmtId="17" fontId="44" fillId="0" borderId="56" xfId="305" applyNumberFormat="1" applyFont="1" applyBorder="1" applyAlignment="1">
      <alignment horizontal="center" wrapText="1"/>
    </xf>
    <xf numFmtId="0" fontId="44" fillId="0" borderId="60" xfId="305" applyFont="1" applyBorder="1" applyAlignment="1">
      <alignment horizontal="center" wrapText="1"/>
    </xf>
    <xf numFmtId="0" fontId="44" fillId="0" borderId="5" xfId="305" applyFont="1" applyBorder="1" applyAlignment="1">
      <alignment horizontal="center" wrapText="1"/>
    </xf>
    <xf numFmtId="43" fontId="3" fillId="0" borderId="0" xfId="154" applyFont="1" applyFill="1" applyBorder="1" applyAlignment="1"/>
    <xf numFmtId="0" fontId="23" fillId="0" borderId="31" xfId="313" applyBorder="1"/>
    <xf numFmtId="3" fontId="3" fillId="0" borderId="33" xfId="313" applyNumberFormat="1" applyFont="1" applyBorder="1"/>
    <xf numFmtId="165" fontId="3" fillId="0" borderId="13" xfId="313" applyNumberFormat="1" applyFont="1" applyBorder="1"/>
    <xf numFmtId="3" fontId="3" fillId="0" borderId="13" xfId="313" applyNumberFormat="1" applyFont="1" applyBorder="1"/>
    <xf numFmtId="3" fontId="3" fillId="0" borderId="13" xfId="313" applyNumberFormat="1" applyFont="1" applyBorder="1" applyAlignment="1">
      <alignment horizontal="right"/>
    </xf>
    <xf numFmtId="0" fontId="51" fillId="0" borderId="32" xfId="313" applyFont="1" applyBorder="1"/>
    <xf numFmtId="170" fontId="40" fillId="0" borderId="0" xfId="0" applyNumberFormat="1" applyFont="1" applyAlignment="1">
      <alignment horizontal="center"/>
    </xf>
    <xf numFmtId="174" fontId="40" fillId="0" borderId="0" xfId="0" applyFont="1" applyAlignment="1">
      <alignment horizontal="center"/>
    </xf>
    <xf numFmtId="175" fontId="40" fillId="0" borderId="3" xfId="154" applyNumberFormat="1" applyFont="1" applyBorder="1" applyAlignment="1"/>
    <xf numFmtId="175" fontId="10" fillId="0" borderId="0" xfId="309" applyNumberFormat="1" applyFont="1" applyAlignment="1" applyProtection="1">
      <alignment horizontal="center"/>
      <protection locked="0"/>
    </xf>
    <xf numFmtId="175" fontId="0" fillId="0" borderId="0" xfId="154" applyNumberFormat="1" applyFont="1" applyAlignment="1">
      <alignment horizontal="right"/>
    </xf>
    <xf numFmtId="175" fontId="40" fillId="0" borderId="0" xfId="154" applyNumberFormat="1" applyFont="1" applyAlignment="1" applyProtection="1">
      <alignment horizontal="right"/>
      <protection locked="0"/>
    </xf>
    <xf numFmtId="175" fontId="40" fillId="0" borderId="0" xfId="154" applyNumberFormat="1" applyFont="1" applyFill="1" applyAlignment="1" applyProtection="1">
      <alignment horizontal="right"/>
      <protection locked="0"/>
    </xf>
    <xf numFmtId="174" fontId="40" fillId="0" borderId="0" xfId="0" applyFont="1" applyAlignment="1">
      <alignment horizontal="right"/>
    </xf>
    <xf numFmtId="174" fontId="67" fillId="0" borderId="0" xfId="0" applyFont="1" applyAlignment="1">
      <alignment horizontal="right"/>
    </xf>
    <xf numFmtId="175" fontId="0" fillId="0" borderId="0" xfId="154" applyNumberFormat="1" applyFont="1" applyFill="1" applyAlignment="1">
      <alignment horizontal="right"/>
    </xf>
    <xf numFmtId="174" fontId="0" fillId="0" borderId="0" xfId="0" applyAlignment="1">
      <alignment horizontal="right"/>
    </xf>
    <xf numFmtId="174" fontId="23" fillId="0" borderId="0" xfId="0" applyFont="1" applyAlignment="1">
      <alignment horizontal="right"/>
    </xf>
    <xf numFmtId="175" fontId="67" fillId="0" borderId="0" xfId="154" applyNumberFormat="1" applyFont="1" applyFill="1" applyBorder="1" applyAlignment="1" applyProtection="1">
      <alignment horizontal="right"/>
      <protection locked="0"/>
    </xf>
    <xf numFmtId="175" fontId="40" fillId="0" borderId="0" xfId="154" applyNumberFormat="1" applyFont="1" applyFill="1" applyBorder="1" applyAlignment="1" applyProtection="1">
      <alignment horizontal="right"/>
      <protection locked="0"/>
    </xf>
    <xf numFmtId="174" fontId="67" fillId="0" borderId="0" xfId="0" applyFont="1" applyAlignment="1">
      <alignment horizontal="left"/>
    </xf>
    <xf numFmtId="175" fontId="62" fillId="0" borderId="0" xfId="154" applyNumberFormat="1" applyFont="1" applyAlignment="1">
      <alignment horizontal="left"/>
    </xf>
    <xf numFmtId="49" fontId="10" fillId="0" borderId="0" xfId="299" applyNumberFormat="1" applyFont="1" applyAlignment="1">
      <alignment horizontal="center"/>
    </xf>
    <xf numFmtId="49" fontId="66" fillId="0" borderId="0" xfId="299" applyNumberFormat="1" applyFont="1" applyAlignment="1">
      <alignment horizontal="center"/>
    </xf>
    <xf numFmtId="0" fontId="162" fillId="63" borderId="34" xfId="301" applyFont="1" applyFill="1" applyBorder="1" applyAlignment="1">
      <alignment wrapText="1"/>
    </xf>
    <xf numFmtId="43" fontId="3" fillId="64" borderId="0" xfId="154" applyFont="1" applyFill="1" applyBorder="1"/>
    <xf numFmtId="42" fontId="0" fillId="0" borderId="0" xfId="313" applyNumberFormat="1" applyFont="1" applyAlignment="1">
      <alignment horizontal="center" wrapText="1"/>
    </xf>
    <xf numFmtId="175" fontId="44" fillId="0" borderId="5" xfId="154" applyNumberFormat="1" applyFont="1" applyBorder="1"/>
    <xf numFmtId="175" fontId="44" fillId="0" borderId="0" xfId="154" applyNumberFormat="1" applyFont="1" applyBorder="1"/>
    <xf numFmtId="182" fontId="44" fillId="0" borderId="0" xfId="154" applyNumberFormat="1" applyFont="1" applyBorder="1"/>
    <xf numFmtId="175" fontId="44" fillId="0" borderId="5" xfId="154" applyNumberFormat="1" applyFont="1" applyBorder="1" applyAlignment="1">
      <alignment horizontal="center"/>
    </xf>
    <xf numFmtId="175" fontId="44" fillId="0" borderId="0" xfId="154" applyNumberFormat="1" applyFont="1" applyBorder="1" applyAlignment="1">
      <alignment horizontal="center"/>
    </xf>
    <xf numFmtId="175" fontId="44" fillId="0" borderId="5" xfId="305" applyNumberFormat="1" applyFont="1" applyBorder="1"/>
    <xf numFmtId="175" fontId="44" fillId="0" borderId="0" xfId="305" applyNumberFormat="1" applyFont="1"/>
    <xf numFmtId="49" fontId="44" fillId="64" borderId="5" xfId="310" applyNumberFormat="1" applyFont="1" applyFill="1" applyBorder="1" applyAlignment="1">
      <alignment horizontal="center" wrapText="1"/>
    </xf>
    <xf numFmtId="49" fontId="44" fillId="64" borderId="5" xfId="180" applyNumberFormat="1" applyFont="1" applyFill="1" applyBorder="1" applyAlignment="1">
      <alignment horizontal="center" wrapText="1"/>
    </xf>
    <xf numFmtId="175" fontId="44" fillId="0" borderId="3" xfId="154" applyNumberFormat="1" applyFont="1" applyBorder="1"/>
    <xf numFmtId="175" fontId="44" fillId="0" borderId="3" xfId="154" applyNumberFormat="1" applyFont="1" applyBorder="1" applyAlignment="1">
      <alignment horizontal="center"/>
    </xf>
    <xf numFmtId="175" fontId="44" fillId="0" borderId="3" xfId="305" applyNumberFormat="1" applyFont="1" applyBorder="1"/>
    <xf numFmtId="182" fontId="44" fillId="0" borderId="0" xfId="154" applyNumberFormat="1" applyFont="1" applyBorder="1" applyAlignment="1">
      <alignment horizontal="center"/>
    </xf>
    <xf numFmtId="0" fontId="44" fillId="0" borderId="60" xfId="310" applyFont="1" applyBorder="1"/>
    <xf numFmtId="0" fontId="44" fillId="0" borderId="27" xfId="310" applyFont="1" applyBorder="1"/>
    <xf numFmtId="0" fontId="44" fillId="0" borderId="61" xfId="310" applyFont="1" applyBorder="1"/>
    <xf numFmtId="49" fontId="44" fillId="64" borderId="27" xfId="180" applyNumberFormat="1" applyFont="1" applyFill="1" applyBorder="1" applyAlignment="1">
      <alignment horizontal="left"/>
    </xf>
    <xf numFmtId="175" fontId="44" fillId="0" borderId="59" xfId="180" applyNumberFormat="1" applyFont="1" applyBorder="1"/>
    <xf numFmtId="49" fontId="44" fillId="64" borderId="27" xfId="180" applyNumberFormat="1" applyFont="1" applyFill="1" applyBorder="1"/>
    <xf numFmtId="49" fontId="44" fillId="64" borderId="61" xfId="180" applyNumberFormat="1" applyFont="1" applyFill="1" applyBorder="1"/>
    <xf numFmtId="175" fontId="44" fillId="0" borderId="58" xfId="180" applyNumberFormat="1" applyFont="1" applyBorder="1"/>
    <xf numFmtId="0" fontId="3" fillId="0" borderId="35" xfId="301" applyBorder="1" applyAlignment="1">
      <alignment horizontal="left"/>
    </xf>
    <xf numFmtId="175" fontId="3" fillId="0" borderId="0" xfId="154" applyNumberFormat="1" applyFont="1" applyFill="1" applyAlignment="1">
      <alignment horizontal="center" wrapText="1"/>
    </xf>
    <xf numFmtId="174" fontId="48" fillId="0" borderId="0" xfId="306" applyFont="1"/>
    <xf numFmtId="174" fontId="44" fillId="0" borderId="5" xfId="306" applyFont="1" applyBorder="1" applyAlignment="1">
      <alignment horizontal="center" wrapText="1"/>
    </xf>
    <xf numFmtId="174" fontId="0" fillId="0" borderId="5" xfId="0" applyBorder="1"/>
    <xf numFmtId="174" fontId="44" fillId="0" borderId="56" xfId="306" applyFont="1" applyBorder="1" applyAlignment="1">
      <alignment horizontal="center" wrapText="1"/>
    </xf>
    <xf numFmtId="0" fontId="162" fillId="63" borderId="35" xfId="301" applyFont="1" applyFill="1" applyBorder="1" applyAlignment="1">
      <alignment horizontal="center" wrapText="1"/>
    </xf>
    <xf numFmtId="0" fontId="162" fillId="63" borderId="34" xfId="300" applyFont="1" applyFill="1" applyBorder="1" applyAlignment="1">
      <alignment horizontal="center" wrapText="1"/>
    </xf>
    <xf numFmtId="0" fontId="49" fillId="63" borderId="0" xfId="301" applyFont="1" applyFill="1" applyAlignment="1">
      <alignment horizontal="center" wrapText="1"/>
    </xf>
    <xf numFmtId="0" fontId="162" fillId="63" borderId="0" xfId="301" applyFont="1" applyFill="1" applyAlignment="1">
      <alignment horizontal="left"/>
    </xf>
    <xf numFmtId="175" fontId="40" fillId="64" borderId="0" xfId="154" applyNumberFormat="1" applyFont="1" applyFill="1" applyBorder="1" applyAlignment="1">
      <alignment horizontal="right"/>
    </xf>
    <xf numFmtId="175" fontId="0" fillId="0" borderId="0" xfId="154" applyNumberFormat="1" applyFont="1" applyFill="1" applyBorder="1" applyAlignment="1"/>
    <xf numFmtId="175" fontId="23" fillId="64" borderId="0" xfId="154" applyNumberFormat="1" applyFont="1" applyFill="1" applyBorder="1" applyAlignment="1">
      <alignment horizontal="left"/>
    </xf>
    <xf numFmtId="175" fontId="40" fillId="64" borderId="35" xfId="154" applyNumberFormat="1" applyFont="1" applyFill="1" applyBorder="1" applyAlignment="1" applyProtection="1">
      <alignment horizontal="right"/>
      <protection locked="0"/>
    </xf>
    <xf numFmtId="175" fontId="23" fillId="64" borderId="34" xfId="154" applyNumberFormat="1" applyFont="1" applyFill="1" applyBorder="1" applyAlignment="1"/>
    <xf numFmtId="10" fontId="40" fillId="0" borderId="34" xfId="314" applyNumberFormat="1" applyFont="1" applyBorder="1" applyAlignment="1" applyProtection="1">
      <alignment horizontal="right"/>
      <protection locked="0"/>
    </xf>
    <xf numFmtId="175" fontId="0" fillId="0" borderId="34" xfId="154" applyNumberFormat="1" applyFont="1" applyBorder="1" applyAlignment="1"/>
    <xf numFmtId="175" fontId="40" fillId="0" borderId="34" xfId="154" applyNumberFormat="1" applyFont="1" applyFill="1" applyBorder="1" applyAlignment="1"/>
    <xf numFmtId="175" fontId="0" fillId="0" borderId="39" xfId="154" applyNumberFormat="1" applyFont="1" applyBorder="1" applyAlignment="1"/>
    <xf numFmtId="175" fontId="40" fillId="64" borderId="31" xfId="154" applyNumberFormat="1" applyFont="1" applyFill="1" applyBorder="1" applyAlignment="1" applyProtection="1">
      <alignment horizontal="right"/>
      <protection locked="0"/>
    </xf>
    <xf numFmtId="175" fontId="0" fillId="0" borderId="0" xfId="154" applyNumberFormat="1" applyFont="1" applyBorder="1" applyAlignment="1"/>
    <xf numFmtId="175" fontId="0" fillId="0" borderId="29" xfId="154" applyNumberFormat="1" applyFont="1" applyBorder="1" applyAlignment="1"/>
    <xf numFmtId="175" fontId="0" fillId="0" borderId="13" xfId="154" applyNumberFormat="1" applyFont="1" applyFill="1" applyBorder="1" applyAlignment="1"/>
    <xf numFmtId="175" fontId="0" fillId="0" borderId="13" xfId="154" applyNumberFormat="1" applyFont="1" applyBorder="1" applyAlignment="1"/>
    <xf numFmtId="175" fontId="40" fillId="64" borderId="33" xfId="154" applyNumberFormat="1" applyFont="1" applyFill="1" applyBorder="1" applyAlignment="1" applyProtection="1">
      <alignment horizontal="right"/>
      <protection locked="0"/>
    </xf>
    <xf numFmtId="164" fontId="10" fillId="64" borderId="13" xfId="313" applyNumberFormat="1" applyFont="1" applyFill="1" applyBorder="1" applyAlignment="1" applyProtection="1">
      <alignment horizontal="left"/>
      <protection locked="0"/>
    </xf>
    <xf numFmtId="0" fontId="23" fillId="64" borderId="13" xfId="313" applyFill="1" applyBorder="1"/>
    <xf numFmtId="175" fontId="10" fillId="64" borderId="13" xfId="154" applyNumberFormat="1" applyFont="1" applyFill="1" applyBorder="1" applyAlignment="1">
      <alignment horizontal="right"/>
    </xf>
    <xf numFmtId="10" fontId="40" fillId="0" borderId="13" xfId="327" applyNumberFormat="1" applyFont="1" applyFill="1" applyBorder="1" applyAlignment="1"/>
    <xf numFmtId="175" fontId="23" fillId="64" borderId="13" xfId="154" applyNumberFormat="1" applyFont="1" applyFill="1" applyBorder="1" applyAlignment="1"/>
    <xf numFmtId="175" fontId="40" fillId="0" borderId="13" xfId="154" applyNumberFormat="1" applyFont="1" applyFill="1" applyBorder="1" applyAlignment="1"/>
    <xf numFmtId="175" fontId="0" fillId="0" borderId="32" xfId="154" applyNumberFormat="1" applyFont="1" applyBorder="1" applyAlignment="1"/>
    <xf numFmtId="175" fontId="40" fillId="0" borderId="67" xfId="154" applyNumberFormat="1" applyFont="1" applyFill="1" applyBorder="1" applyAlignment="1" applyProtection="1">
      <alignment horizontal="right"/>
      <protection locked="0"/>
    </xf>
    <xf numFmtId="174" fontId="0" fillId="0" borderId="68" xfId="0" applyBorder="1"/>
    <xf numFmtId="3" fontId="40" fillId="0" borderId="68" xfId="314" applyNumberFormat="1" applyFont="1" applyBorder="1" applyAlignment="1">
      <alignment horizontal="center" wrapText="1"/>
    </xf>
    <xf numFmtId="174" fontId="0" fillId="0" borderId="68" xfId="0" applyBorder="1" applyAlignment="1">
      <alignment horizontal="center" wrapText="1"/>
    </xf>
    <xf numFmtId="170" fontId="40" fillId="0" borderId="68" xfId="0" applyNumberFormat="1" applyFont="1" applyBorder="1" applyAlignment="1">
      <alignment horizontal="center" wrapText="1"/>
    </xf>
    <xf numFmtId="174" fontId="0" fillId="0" borderId="69" xfId="0" applyBorder="1" applyAlignment="1">
      <alignment horizontal="center" wrapText="1"/>
    </xf>
    <xf numFmtId="3" fontId="10" fillId="64" borderId="0" xfId="0" applyNumberFormat="1" applyFont="1" applyFill="1"/>
    <xf numFmtId="0" fontId="62" fillId="0" borderId="0" xfId="0" applyNumberFormat="1" applyFont="1"/>
    <xf numFmtId="175" fontId="23" fillId="64" borderId="0" xfId="313" applyNumberFormat="1" applyFill="1"/>
    <xf numFmtId="175" fontId="23" fillId="64" borderId="0" xfId="154" applyNumberFormat="1" applyFont="1" applyFill="1" applyAlignment="1"/>
    <xf numFmtId="0" fontId="0" fillId="0" borderId="0" xfId="313" applyFont="1" applyAlignment="1">
      <alignment wrapText="1"/>
    </xf>
    <xf numFmtId="0" fontId="10" fillId="0" borderId="0" xfId="313" quotePrefix="1" applyFont="1" applyAlignment="1" applyProtection="1">
      <alignment horizontal="center"/>
      <protection locked="0"/>
    </xf>
    <xf numFmtId="175" fontId="44" fillId="0" borderId="5" xfId="305" applyNumberFormat="1" applyFont="1" applyBorder="1" applyAlignment="1">
      <alignment horizontal="center"/>
    </xf>
    <xf numFmtId="175" fontId="44" fillId="0" borderId="0" xfId="305" applyNumberFormat="1" applyFont="1" applyAlignment="1">
      <alignment horizontal="center"/>
    </xf>
    <xf numFmtId="175" fontId="44" fillId="0" borderId="3" xfId="305" applyNumberFormat="1" applyFont="1" applyBorder="1" applyAlignment="1">
      <alignment horizontal="center"/>
    </xf>
    <xf numFmtId="171" fontId="44" fillId="64" borderId="5" xfId="305" applyNumberFormat="1" applyFont="1" applyFill="1" applyBorder="1" applyAlignment="1">
      <alignment horizontal="center"/>
    </xf>
    <xf numFmtId="171" fontId="44" fillId="64" borderId="0" xfId="305" applyNumberFormat="1" applyFont="1" applyFill="1" applyAlignment="1">
      <alignment horizontal="center"/>
    </xf>
    <xf numFmtId="171" fontId="44" fillId="64" borderId="3" xfId="327" applyNumberFormat="1" applyFont="1" applyFill="1" applyBorder="1" applyAlignment="1">
      <alignment horizontal="center"/>
    </xf>
    <xf numFmtId="255" fontId="44" fillId="0" borderId="56" xfId="305" applyNumberFormat="1" applyFont="1" applyBorder="1" applyAlignment="1">
      <alignment horizontal="center"/>
    </xf>
    <xf numFmtId="175" fontId="44" fillId="0" borderId="59" xfId="305" applyNumberFormat="1" applyFont="1" applyBorder="1" applyAlignment="1">
      <alignment horizontal="center"/>
    </xf>
    <xf numFmtId="175" fontId="44" fillId="0" borderId="58" xfId="305" applyNumberFormat="1" applyFont="1" applyBorder="1" applyAlignment="1">
      <alignment horizontal="center"/>
    </xf>
    <xf numFmtId="175" fontId="40" fillId="0" borderId="34" xfId="154" applyNumberFormat="1" applyFont="1" applyFill="1" applyBorder="1" applyAlignment="1" applyProtection="1">
      <alignment horizontal="center"/>
      <protection locked="0"/>
    </xf>
    <xf numFmtId="175" fontId="40" fillId="0" borderId="0" xfId="154" applyNumberFormat="1" applyFont="1" applyFill="1" applyBorder="1" applyAlignment="1">
      <alignment horizontal="center"/>
    </xf>
    <xf numFmtId="1" fontId="71" fillId="21" borderId="0" xfId="154" applyNumberFormat="1" applyFont="1" applyFill="1" applyBorder="1" applyAlignment="1">
      <alignment horizontal="center"/>
    </xf>
    <xf numFmtId="3" fontId="44" fillId="64" borderId="5" xfId="305" applyNumberFormat="1" applyFont="1" applyFill="1" applyBorder="1"/>
    <xf numFmtId="171" fontId="40" fillId="64" borderId="34" xfId="327" applyNumberFormat="1" applyFont="1" applyFill="1" applyBorder="1" applyAlignment="1" applyProtection="1">
      <protection locked="0"/>
    </xf>
    <xf numFmtId="178" fontId="40" fillId="64" borderId="34" xfId="154" applyNumberFormat="1" applyFont="1" applyFill="1" applyBorder="1" applyAlignment="1">
      <alignment horizontal="right"/>
    </xf>
    <xf numFmtId="256" fontId="40" fillId="0" borderId="34" xfId="154" applyNumberFormat="1" applyFont="1" applyFill="1" applyBorder="1" applyAlignment="1"/>
    <xf numFmtId="171" fontId="40" fillId="64" borderId="0" xfId="327" applyNumberFormat="1" applyFont="1" applyFill="1" applyBorder="1" applyAlignment="1"/>
    <xf numFmtId="180" fontId="40" fillId="0" borderId="0" xfId="154" applyNumberFormat="1" applyFont="1" applyFill="1" applyBorder="1" applyAlignment="1"/>
    <xf numFmtId="180" fontId="0" fillId="0" borderId="34" xfId="154" applyNumberFormat="1" applyFont="1" applyBorder="1" applyAlignment="1"/>
    <xf numFmtId="180" fontId="0" fillId="0" borderId="0" xfId="154" applyNumberFormat="1" applyFont="1" applyBorder="1" applyAlignment="1"/>
    <xf numFmtId="10" fontId="3" fillId="0" borderId="0" xfId="327" applyNumberFormat="1" applyFont="1" applyFill="1" applyAlignment="1">
      <alignment wrapText="1"/>
    </xf>
    <xf numFmtId="256" fontId="40" fillId="0" borderId="0" xfId="154" applyNumberFormat="1" applyFont="1" applyFill="1" applyBorder="1" applyAlignment="1"/>
    <xf numFmtId="175" fontId="40" fillId="0" borderId="0" xfId="154" applyNumberFormat="1" applyFont="1" applyFill="1" applyBorder="1" applyAlignment="1" applyProtection="1">
      <alignment horizontal="center"/>
      <protection locked="0"/>
    </xf>
    <xf numFmtId="0" fontId="23" fillId="0" borderId="0" xfId="313" quotePrefix="1"/>
    <xf numFmtId="0" fontId="51" fillId="21" borderId="0" xfId="154" applyNumberFormat="1" applyFont="1" applyFill="1" applyBorder="1" applyAlignment="1">
      <alignment horizontal="center"/>
    </xf>
    <xf numFmtId="0" fontId="51" fillId="21" borderId="3" xfId="154" applyNumberFormat="1" applyFont="1" applyFill="1" applyBorder="1" applyAlignment="1">
      <alignment horizontal="center"/>
    </xf>
    <xf numFmtId="173" fontId="46" fillId="0" borderId="0" xfId="0" applyNumberFormat="1" applyFont="1" applyAlignment="1">
      <alignment horizontal="left" indent="1"/>
    </xf>
    <xf numFmtId="172" fontId="10" fillId="0" borderId="0" xfId="313" applyNumberFormat="1" applyFont="1"/>
    <xf numFmtId="10" fontId="3" fillId="21" borderId="0" xfId="330" applyNumberFormat="1" applyFont="1" applyFill="1" applyBorder="1" applyAlignment="1">
      <alignment horizontal="center"/>
    </xf>
    <xf numFmtId="175" fontId="10" fillId="21" borderId="3" xfId="172" applyNumberFormat="1" applyFont="1" applyFill="1" applyBorder="1" applyAlignment="1"/>
    <xf numFmtId="4" fontId="23" fillId="0" borderId="0" xfId="313" applyNumberFormat="1"/>
    <xf numFmtId="175" fontId="46" fillId="64" borderId="42" xfId="172" applyNumberFormat="1" applyFont="1" applyFill="1" applyBorder="1" applyAlignment="1">
      <alignment horizontal="right"/>
    </xf>
    <xf numFmtId="174" fontId="45" fillId="0" borderId="0" xfId="0" applyFont="1"/>
    <xf numFmtId="10" fontId="3" fillId="64" borderId="0" xfId="327" applyNumberFormat="1" applyFont="1" applyFill="1" applyBorder="1" applyAlignment="1"/>
    <xf numFmtId="10" fontId="3" fillId="0" borderId="29" xfId="327" applyNumberFormat="1" applyFont="1" applyFill="1" applyBorder="1" applyAlignment="1">
      <alignment horizontal="center"/>
    </xf>
    <xf numFmtId="174" fontId="0" fillId="0" borderId="3" xfId="0" applyBorder="1"/>
    <xf numFmtId="0" fontId="65" fillId="0" borderId="3" xfId="301" applyFont="1" applyBorder="1"/>
    <xf numFmtId="175" fontId="65" fillId="0" borderId="3" xfId="154" applyNumberFormat="1" applyFont="1" applyFill="1" applyBorder="1"/>
    <xf numFmtId="175" fontId="65" fillId="0" borderId="3" xfId="154" applyNumberFormat="1" applyFont="1" applyFill="1" applyBorder="1" applyAlignment="1">
      <alignment horizontal="center"/>
    </xf>
    <xf numFmtId="174" fontId="154" fillId="0" borderId="3" xfId="0" applyFont="1" applyBorder="1"/>
    <xf numFmtId="174" fontId="13" fillId="0" borderId="3" xfId="0" applyFont="1" applyBorder="1"/>
    <xf numFmtId="174" fontId="13" fillId="0" borderId="32" xfId="0" applyFont="1" applyBorder="1"/>
    <xf numFmtId="175" fontId="10" fillId="0" borderId="0" xfId="172" applyNumberFormat="1" applyFont="1" applyFill="1" applyBorder="1" applyAlignment="1">
      <alignment horizontal="right"/>
    </xf>
    <xf numFmtId="0" fontId="44" fillId="0" borderId="3" xfId="305" applyFont="1" applyBorder="1" applyAlignment="1">
      <alignment horizontal="center" wrapText="1"/>
    </xf>
    <xf numFmtId="175" fontId="46" fillId="0" borderId="62" xfId="154" applyNumberFormat="1" applyFont="1" applyFill="1" applyBorder="1"/>
    <xf numFmtId="175" fontId="40" fillId="0" borderId="0" xfId="154" applyNumberFormat="1" applyFont="1" applyFill="1" applyAlignment="1">
      <alignment horizontal="center"/>
    </xf>
    <xf numFmtId="175" fontId="40" fillId="0" borderId="3" xfId="154" applyNumberFormat="1" applyFont="1" applyFill="1" applyBorder="1" applyAlignment="1">
      <alignment horizontal="center"/>
    </xf>
    <xf numFmtId="10" fontId="46" fillId="0" borderId="0" xfId="327" applyNumberFormat="1" applyFont="1" applyBorder="1"/>
    <xf numFmtId="0" fontId="44" fillId="0" borderId="27" xfId="305" applyFont="1" applyBorder="1"/>
    <xf numFmtId="0" fontId="44" fillId="0" borderId="71" xfId="305" applyFont="1" applyBorder="1" applyAlignment="1">
      <alignment horizontal="center" wrapText="1"/>
    </xf>
    <xf numFmtId="17" fontId="46" fillId="0" borderId="0" xfId="301" applyNumberFormat="1" applyFont="1" applyAlignment="1">
      <alignment horizontal="left"/>
    </xf>
    <xf numFmtId="174" fontId="158" fillId="0" borderId="0" xfId="0" applyFont="1"/>
    <xf numFmtId="175" fontId="181" fillId="0" borderId="0" xfId="154" applyNumberFormat="1" applyFont="1" applyAlignment="1"/>
    <xf numFmtId="10" fontId="10" fillId="0" borderId="0" xfId="327" applyNumberFormat="1" applyFont="1" applyFill="1" applyAlignment="1">
      <alignment horizontal="right"/>
    </xf>
    <xf numFmtId="10" fontId="23" fillId="0" borderId="0" xfId="327" applyNumberFormat="1" applyFont="1" applyAlignment="1"/>
    <xf numFmtId="10" fontId="68" fillId="21" borderId="0" xfId="327" applyNumberFormat="1" applyFont="1" applyFill="1" applyProtection="1">
      <protection locked="0"/>
    </xf>
    <xf numFmtId="175" fontId="3" fillId="64" borderId="0" xfId="172" applyNumberFormat="1" applyFont="1" applyFill="1" applyBorder="1" applyAlignment="1">
      <alignment horizontal="right"/>
    </xf>
    <xf numFmtId="175" fontId="28" fillId="0" borderId="31" xfId="154" applyNumberFormat="1" applyFont="1" applyFill="1" applyBorder="1"/>
    <xf numFmtId="49" fontId="45" fillId="64" borderId="3" xfId="154" applyNumberFormat="1" applyFont="1" applyFill="1" applyBorder="1" applyAlignment="1">
      <alignment horizontal="center"/>
    </xf>
    <xf numFmtId="175" fontId="45" fillId="0" borderId="0" xfId="154" applyNumberFormat="1" applyFont="1" applyBorder="1" applyAlignment="1">
      <alignment horizontal="center"/>
    </xf>
    <xf numFmtId="170" fontId="46" fillId="64" borderId="38" xfId="0" applyNumberFormat="1" applyFont="1" applyFill="1" applyBorder="1" applyAlignment="1" applyProtection="1">
      <alignment horizontal="center"/>
      <protection locked="0"/>
    </xf>
    <xf numFmtId="49" fontId="46" fillId="21" borderId="0" xfId="0" applyNumberFormat="1" applyFont="1" applyFill="1" applyProtection="1">
      <protection locked="0"/>
    </xf>
    <xf numFmtId="49" fontId="46" fillId="0" borderId="0" xfId="0" applyNumberFormat="1" applyFont="1" applyProtection="1">
      <protection locked="0"/>
    </xf>
    <xf numFmtId="174" fontId="46" fillId="64" borderId="0" xfId="0" applyFont="1" applyFill="1" applyProtection="1">
      <protection locked="0"/>
    </xf>
    <xf numFmtId="174" fontId="46" fillId="66" borderId="0" xfId="0" applyFont="1" applyFill="1" applyProtection="1">
      <protection locked="0"/>
    </xf>
    <xf numFmtId="174" fontId="0" fillId="66" borderId="0" xfId="0" applyFill="1"/>
    <xf numFmtId="0" fontId="3" fillId="0" borderId="3" xfId="315" applyBorder="1" applyAlignment="1">
      <alignment horizontal="center" wrapText="1"/>
    </xf>
    <xf numFmtId="175" fontId="10" fillId="21" borderId="13" xfId="154" applyNumberFormat="1" applyFont="1" applyFill="1" applyBorder="1" applyAlignment="1"/>
    <xf numFmtId="175" fontId="46" fillId="64" borderId="29" xfId="154" applyNumberFormat="1" applyFont="1" applyFill="1" applyBorder="1"/>
    <xf numFmtId="175" fontId="46" fillId="64" borderId="29" xfId="172" applyNumberFormat="1" applyFont="1" applyFill="1" applyBorder="1" applyAlignment="1">
      <alignment horizontal="right"/>
    </xf>
    <xf numFmtId="164" fontId="10" fillId="0" borderId="0" xfId="327" applyNumberFormat="1" applyFont="1" applyFill="1" applyAlignment="1">
      <alignment horizontal="right"/>
    </xf>
    <xf numFmtId="174" fontId="46" fillId="0" borderId="3" xfId="0" applyFont="1" applyBorder="1" applyAlignment="1">
      <alignment horizontal="center" wrapText="1"/>
    </xf>
    <xf numFmtId="175" fontId="46" fillId="21" borderId="3" xfId="172" applyNumberFormat="1" applyFont="1" applyFill="1" applyBorder="1" applyAlignment="1"/>
    <xf numFmtId="0" fontId="46" fillId="0" borderId="0" xfId="301" applyFont="1" applyAlignment="1">
      <alignment horizontal="right"/>
    </xf>
    <xf numFmtId="10" fontId="3" fillId="0" borderId="0" xfId="301" applyNumberFormat="1"/>
    <xf numFmtId="10" fontId="177" fillId="0" borderId="0" xfId="327" applyNumberFormat="1" applyFont="1" applyFill="1" applyBorder="1"/>
    <xf numFmtId="0" fontId="182" fillId="0" borderId="0" xfId="313" quotePrefix="1" applyFont="1" applyAlignment="1">
      <alignment horizontal="left"/>
    </xf>
    <xf numFmtId="0" fontId="62" fillId="0" borderId="0" xfId="313" applyFont="1"/>
    <xf numFmtId="41" fontId="23" fillId="0" borderId="0" xfId="313" applyNumberFormat="1" applyAlignment="1">
      <alignment horizontal="right"/>
    </xf>
    <xf numFmtId="10" fontId="10" fillId="0" borderId="0" xfId="327" applyNumberFormat="1" applyFont="1" applyAlignment="1"/>
    <xf numFmtId="10" fontId="10" fillId="0" borderId="0" xfId="327" applyNumberFormat="1" applyFont="1" applyFill="1" applyAlignment="1">
      <alignment horizontal="center"/>
    </xf>
    <xf numFmtId="10" fontId="10" fillId="21" borderId="0" xfId="327" applyNumberFormat="1" applyFont="1" applyFill="1" applyAlignment="1"/>
    <xf numFmtId="10" fontId="10" fillId="0" borderId="0" xfId="327" applyNumberFormat="1" applyFont="1" applyFill="1" applyBorder="1" applyAlignment="1"/>
    <xf numFmtId="10" fontId="10" fillId="0" borderId="3" xfId="327" applyNumberFormat="1" applyFont="1" applyBorder="1" applyAlignment="1"/>
    <xf numFmtId="10" fontId="10" fillId="0" borderId="0" xfId="327" applyNumberFormat="1" applyFont="1" applyAlignment="1">
      <alignment horizontal="center"/>
    </xf>
    <xf numFmtId="10" fontId="10" fillId="0" borderId="3" xfId="327" applyNumberFormat="1" applyFont="1" applyFill="1" applyBorder="1" applyAlignment="1"/>
    <xf numFmtId="10" fontId="10" fillId="0" borderId="0" xfId="327" applyNumberFormat="1" applyFont="1"/>
    <xf numFmtId="0" fontId="10" fillId="0" borderId="13" xfId="301" applyFont="1" applyBorder="1"/>
    <xf numFmtId="175" fontId="10" fillId="64" borderId="0" xfId="154" applyNumberFormat="1" applyFont="1" applyFill="1" applyBorder="1" applyAlignment="1">
      <alignment horizontal="center"/>
    </xf>
    <xf numFmtId="175" fontId="10" fillId="21" borderId="0" xfId="154" applyNumberFormat="1" applyFont="1" applyFill="1" applyBorder="1" applyAlignment="1">
      <alignment horizontal="center"/>
    </xf>
    <xf numFmtId="175" fontId="10" fillId="0" borderId="0" xfId="154" applyNumberFormat="1" applyFont="1" applyFill="1" applyBorder="1" applyAlignment="1">
      <alignment horizontal="center"/>
    </xf>
    <xf numFmtId="175" fontId="10" fillId="0" borderId="13" xfId="301" applyNumberFormat="1" applyFont="1" applyBorder="1"/>
    <xf numFmtId="10" fontId="3" fillId="64" borderId="0" xfId="327" applyNumberFormat="1" applyFont="1" applyFill="1" applyAlignment="1">
      <alignment horizontal="right" wrapText="1"/>
    </xf>
    <xf numFmtId="10" fontId="3" fillId="64" borderId="0" xfId="327" applyNumberFormat="1" applyFont="1" applyFill="1" applyAlignment="1">
      <alignment wrapText="1"/>
    </xf>
    <xf numFmtId="9" fontId="0" fillId="0" borderId="0" xfId="327" applyFont="1" applyAlignment="1">
      <alignment horizontal="center"/>
    </xf>
    <xf numFmtId="10" fontId="0" fillId="0" borderId="0" xfId="327" applyNumberFormat="1" applyFont="1"/>
    <xf numFmtId="10" fontId="23" fillId="0" borderId="0" xfId="327" applyNumberFormat="1" applyFont="1" applyFill="1" applyAlignment="1">
      <alignment horizontal="center"/>
    </xf>
    <xf numFmtId="10" fontId="23" fillId="0" borderId="0" xfId="327" applyNumberFormat="1" applyFont="1" applyFill="1" applyAlignment="1">
      <alignment horizontal="right"/>
    </xf>
    <xf numFmtId="10" fontId="0" fillId="0" borderId="0" xfId="327" applyNumberFormat="1" applyFont="1" applyAlignment="1">
      <alignment horizontal="center" wrapText="1"/>
    </xf>
    <xf numFmtId="10" fontId="0" fillId="0" borderId="0" xfId="327" applyNumberFormat="1" applyFont="1" applyAlignment="1">
      <alignment horizontal="center"/>
    </xf>
    <xf numFmtId="10" fontId="0" fillId="0" borderId="0" xfId="327" applyNumberFormat="1" applyFont="1" applyAlignment="1">
      <alignment horizontal="right" wrapText="1"/>
    </xf>
    <xf numFmtId="174" fontId="44" fillId="0" borderId="3" xfId="0" applyFont="1" applyBorder="1" applyAlignment="1">
      <alignment horizontal="center" wrapText="1"/>
    </xf>
    <xf numFmtId="3" fontId="10" fillId="0" borderId="0" xfId="313" applyNumberFormat="1" applyFont="1" applyAlignment="1">
      <alignment wrapText="1"/>
    </xf>
    <xf numFmtId="17" fontId="44" fillId="0" borderId="60" xfId="154" applyNumberFormat="1" applyFont="1" applyBorder="1" applyAlignment="1">
      <alignment horizontal="left"/>
    </xf>
    <xf numFmtId="17" fontId="44" fillId="0" borderId="27" xfId="154" applyNumberFormat="1" applyFont="1" applyBorder="1" applyAlignment="1">
      <alignment horizontal="left"/>
    </xf>
    <xf numFmtId="0" fontId="44" fillId="0" borderId="27" xfId="154" applyNumberFormat="1" applyFont="1" applyBorder="1" applyAlignment="1">
      <alignment horizontal="left"/>
    </xf>
    <xf numFmtId="0" fontId="44" fillId="0" borderId="27" xfId="154" applyNumberFormat="1" applyFont="1" applyBorder="1" applyAlignment="1">
      <alignment horizontal="left" wrapText="1"/>
    </xf>
    <xf numFmtId="175" fontId="44" fillId="64" borderId="0" xfId="154" applyNumberFormat="1" applyFont="1" applyFill="1" applyBorder="1" applyAlignment="1">
      <alignment wrapText="1"/>
    </xf>
    <xf numFmtId="174" fontId="44" fillId="0" borderId="5" xfId="0" applyFont="1" applyBorder="1"/>
    <xf numFmtId="174" fontId="44" fillId="0" borderId="56" xfId="0" applyFont="1" applyBorder="1"/>
    <xf numFmtId="257" fontId="44" fillId="0" borderId="5" xfId="306" applyNumberFormat="1" applyFont="1" applyBorder="1" applyAlignment="1">
      <alignment horizontal="center"/>
    </xf>
    <xf numFmtId="0" fontId="44" fillId="0" borderId="60" xfId="154" applyNumberFormat="1" applyFont="1" applyBorder="1" applyAlignment="1">
      <alignment horizontal="center"/>
    </xf>
    <xf numFmtId="0" fontId="44" fillId="0" borderId="61" xfId="154" applyNumberFormat="1" applyFont="1" applyBorder="1" applyAlignment="1">
      <alignment horizontal="center"/>
    </xf>
    <xf numFmtId="174" fontId="44" fillId="0" borderId="60" xfId="306" applyFont="1" applyBorder="1"/>
    <xf numFmtId="174" fontId="44" fillId="0" borderId="5" xfId="306" applyFont="1" applyBorder="1" applyAlignment="1">
      <alignment horizontal="center"/>
    </xf>
    <xf numFmtId="174" fontId="44" fillId="0" borderId="61" xfId="306" applyFont="1" applyBorder="1"/>
    <xf numFmtId="174" fontId="44" fillId="0" borderId="58" xfId="0" applyFont="1" applyBorder="1" applyAlignment="1">
      <alignment horizontal="center" wrapText="1"/>
    </xf>
    <xf numFmtId="175" fontId="3" fillId="0" borderId="0" xfId="172" applyNumberFormat="1" applyFont="1" applyFill="1" applyBorder="1" applyAlignment="1">
      <alignment wrapText="1"/>
    </xf>
    <xf numFmtId="175" fontId="3" fillId="0" borderId="13" xfId="172" applyNumberFormat="1" applyFont="1" applyBorder="1" applyAlignment="1"/>
    <xf numFmtId="10" fontId="3" fillId="0" borderId="13" xfId="301" applyNumberFormat="1" applyBorder="1" applyAlignment="1">
      <alignment horizontal="center" wrapText="1"/>
    </xf>
    <xf numFmtId="0" fontId="48" fillId="0" borderId="0" xfId="301" applyFont="1"/>
    <xf numFmtId="0" fontId="44" fillId="0" borderId="0" xfId="301" applyFont="1"/>
    <xf numFmtId="17" fontId="46" fillId="64" borderId="0" xfId="301" applyNumberFormat="1" applyFont="1" applyFill="1" applyAlignment="1">
      <alignment horizontal="left"/>
    </xf>
    <xf numFmtId="175" fontId="10" fillId="0" borderId="0" xfId="301" applyNumberFormat="1" applyFont="1"/>
    <xf numFmtId="10" fontId="3" fillId="0" borderId="13" xfId="301" applyNumberFormat="1" applyBorder="1"/>
    <xf numFmtId="175" fontId="3" fillId="0" borderId="32" xfId="301" applyNumberFormat="1" applyBorder="1"/>
    <xf numFmtId="175" fontId="44" fillId="0" borderId="59" xfId="154" applyNumberFormat="1" applyFont="1" applyBorder="1"/>
    <xf numFmtId="175" fontId="44" fillId="0" borderId="58" xfId="154" applyNumberFormat="1" applyFont="1" applyBorder="1"/>
    <xf numFmtId="175" fontId="23" fillId="0" borderId="0" xfId="154" applyNumberFormat="1" applyFont="1"/>
    <xf numFmtId="0" fontId="44" fillId="0" borderId="0" xfId="301" applyFont="1" applyAlignment="1">
      <alignment horizontal="center" wrapText="1"/>
    </xf>
    <xf numFmtId="0" fontId="44" fillId="0" borderId="0" xfId="301" applyFont="1" applyAlignment="1">
      <alignment horizontal="center"/>
    </xf>
    <xf numFmtId="175" fontId="44" fillId="0" borderId="0" xfId="172" applyNumberFormat="1" applyFont="1" applyFill="1" applyBorder="1"/>
    <xf numFmtId="175" fontId="3" fillId="0" borderId="13" xfId="154" applyNumberFormat="1" applyBorder="1" applyAlignment="1">
      <alignment horizontal="center" wrapText="1"/>
    </xf>
    <xf numFmtId="175" fontId="10" fillId="21" borderId="3" xfId="154" applyNumberFormat="1" applyFont="1" applyFill="1" applyBorder="1" applyAlignment="1"/>
    <xf numFmtId="10" fontId="68" fillId="64" borderId="0" xfId="327" applyNumberFormat="1" applyFont="1" applyFill="1" applyAlignment="1" applyProtection="1">
      <protection locked="0"/>
    </xf>
    <xf numFmtId="0" fontId="52" fillId="0" borderId="0" xfId="301" applyFont="1" applyAlignment="1">
      <alignment horizontal="center" wrapText="1"/>
    </xf>
    <xf numFmtId="49" fontId="44" fillId="0" borderId="0" xfId="154" applyNumberFormat="1" applyFont="1"/>
    <xf numFmtId="49" fontId="44" fillId="0" borderId="0" xfId="154" applyNumberFormat="1" applyFont="1" applyAlignment="1">
      <alignment wrapText="1"/>
    </xf>
    <xf numFmtId="174" fontId="44" fillId="0" borderId="3" xfId="0" applyFont="1" applyBorder="1" applyAlignment="1">
      <alignment horizontal="center"/>
    </xf>
    <xf numFmtId="0" fontId="46" fillId="0" borderId="45" xfId="299" applyFont="1" applyBorder="1" applyAlignment="1">
      <alignment wrapText="1"/>
    </xf>
    <xf numFmtId="175" fontId="68" fillId="0" borderId="3" xfId="154" applyNumberFormat="1" applyFont="1" applyFill="1" applyBorder="1"/>
    <xf numFmtId="41" fontId="46" fillId="64" borderId="2" xfId="164" applyFont="1" applyFill="1" applyBorder="1"/>
    <xf numFmtId="175" fontId="46" fillId="0" borderId="3" xfId="154" applyNumberFormat="1" applyFont="1" applyFill="1" applyBorder="1"/>
    <xf numFmtId="0" fontId="46" fillId="0" borderId="0" xfId="154" applyNumberFormat="1" applyFont="1" applyFill="1"/>
    <xf numFmtId="10" fontId="46" fillId="0" borderId="0" xfId="154" applyNumberFormat="1" applyFont="1" applyFill="1"/>
    <xf numFmtId="10" fontId="68" fillId="0" borderId="3" xfId="154" applyNumberFormat="1" applyFont="1" applyFill="1" applyBorder="1"/>
    <xf numFmtId="10" fontId="183" fillId="0" borderId="0" xfId="299" applyNumberFormat="1" applyFont="1"/>
    <xf numFmtId="174" fontId="48" fillId="0" borderId="0" xfId="306" applyFont="1" applyAlignment="1">
      <alignment horizontal="left"/>
    </xf>
    <xf numFmtId="175" fontId="44" fillId="64" borderId="0" xfId="154" applyNumberFormat="1" applyFont="1" applyFill="1"/>
    <xf numFmtId="175" fontId="44" fillId="0" borderId="0" xfId="154" applyNumberFormat="1" applyFont="1"/>
    <xf numFmtId="10" fontId="10" fillId="0" borderId="13" xfId="327" applyNumberFormat="1" applyFont="1" applyBorder="1" applyAlignment="1"/>
    <xf numFmtId="175" fontId="44" fillId="0" borderId="0" xfId="154" applyNumberFormat="1" applyFont="1" applyAlignment="1">
      <alignment horizontal="left" vertical="center"/>
    </xf>
    <xf numFmtId="10" fontId="10" fillId="0" borderId="0" xfId="154" applyNumberFormat="1" applyFont="1" applyFill="1" applyAlignment="1"/>
    <xf numFmtId="0" fontId="50" fillId="0" borderId="0" xfId="301" applyFont="1" applyAlignment="1">
      <alignment horizontal="center" wrapText="1"/>
    </xf>
    <xf numFmtId="0" fontId="171" fillId="0" borderId="0" xfId="301" applyFont="1" applyAlignment="1">
      <alignment horizontal="center" wrapText="1"/>
    </xf>
    <xf numFmtId="1" fontId="71" fillId="0" borderId="0" xfId="154" applyNumberFormat="1" applyFont="1" applyFill="1" applyBorder="1" applyAlignment="1">
      <alignment horizontal="center"/>
    </xf>
    <xf numFmtId="10" fontId="40" fillId="0" borderId="0" xfId="327" applyNumberFormat="1" applyFont="1" applyFill="1" applyAlignment="1">
      <alignment horizontal="right"/>
    </xf>
    <xf numFmtId="3" fontId="40" fillId="0" borderId="0" xfId="313" applyNumberFormat="1" applyFont="1"/>
    <xf numFmtId="180" fontId="40" fillId="0" borderId="0" xfId="154" applyNumberFormat="1" applyFont="1" applyFill="1" applyAlignment="1">
      <alignment horizontal="right"/>
    </xf>
    <xf numFmtId="175" fontId="40" fillId="0" borderId="0" xfId="154" applyNumberFormat="1" applyFont="1" applyFill="1" applyAlignment="1"/>
    <xf numFmtId="175" fontId="40" fillId="0" borderId="0" xfId="154" applyNumberFormat="1" applyFont="1" applyFill="1" applyAlignment="1">
      <alignment horizontal="right"/>
    </xf>
    <xf numFmtId="10" fontId="40" fillId="0" borderId="0" xfId="327" applyNumberFormat="1" applyFont="1"/>
    <xf numFmtId="175" fontId="40" fillId="64" borderId="0" xfId="154" applyNumberFormat="1" applyFont="1" applyFill="1" applyAlignment="1"/>
    <xf numFmtId="0" fontId="10" fillId="64" borderId="0" xfId="309" applyNumberFormat="1" applyFont="1" applyFill="1" applyProtection="1">
      <protection locked="0"/>
    </xf>
    <xf numFmtId="0" fontId="40" fillId="64" borderId="0" xfId="309" applyNumberFormat="1" applyFont="1" applyFill="1" applyAlignment="1">
      <alignment horizontal="right"/>
    </xf>
    <xf numFmtId="164" fontId="40" fillId="0" borderId="0" xfId="313" applyNumberFormat="1" applyFont="1" applyAlignment="1">
      <alignment horizontal="left"/>
    </xf>
    <xf numFmtId="0" fontId="40" fillId="0" borderId="0" xfId="313" applyFont="1"/>
    <xf numFmtId="10" fontId="40" fillId="0" borderId="0" xfId="313" applyNumberFormat="1" applyFont="1" applyAlignment="1">
      <alignment horizontal="left"/>
    </xf>
    <xf numFmtId="0" fontId="40" fillId="0" borderId="3" xfId="313" applyFont="1" applyBorder="1"/>
    <xf numFmtId="10" fontId="40" fillId="0" borderId="3" xfId="313" applyNumberFormat="1" applyFont="1" applyBorder="1" applyAlignment="1">
      <alignment horizontal="left"/>
    </xf>
    <xf numFmtId="164" fontId="40" fillId="0" borderId="0" xfId="313" applyNumberFormat="1" applyFont="1" applyAlignment="1" applyProtection="1">
      <alignment horizontal="left"/>
      <protection locked="0"/>
    </xf>
    <xf numFmtId="180" fontId="40" fillId="64" borderId="34" xfId="154" applyNumberFormat="1" applyFont="1" applyFill="1" applyBorder="1" applyAlignment="1" applyProtection="1">
      <alignment horizontal="center"/>
      <protection locked="0"/>
    </xf>
    <xf numFmtId="180" fontId="40" fillId="64" borderId="0" xfId="154" applyNumberFormat="1" applyFont="1" applyFill="1" applyBorder="1" applyAlignment="1"/>
    <xf numFmtId="174" fontId="40" fillId="0" borderId="68" xfId="0" applyFont="1" applyBorder="1" applyAlignment="1">
      <alignment horizontal="center" wrapText="1"/>
    </xf>
    <xf numFmtId="174" fontId="40" fillId="0" borderId="0" xfId="0" applyFont="1" applyAlignment="1">
      <alignment horizontal="left"/>
    </xf>
    <xf numFmtId="175" fontId="40" fillId="64" borderId="33" xfId="154" applyNumberFormat="1" applyFont="1" applyFill="1" applyBorder="1" applyAlignment="1">
      <alignment horizontal="right"/>
    </xf>
    <xf numFmtId="174" fontId="40" fillId="0" borderId="13" xfId="0" applyFont="1" applyBorder="1"/>
    <xf numFmtId="175" fontId="40" fillId="0" borderId="13" xfId="154" applyNumberFormat="1" applyFont="1" applyBorder="1" applyAlignment="1"/>
    <xf numFmtId="170" fontId="40" fillId="0" borderId="13" xfId="0" applyNumberFormat="1" applyFont="1" applyBorder="1"/>
    <xf numFmtId="175" fontId="40" fillId="0" borderId="32" xfId="154" applyNumberFormat="1" applyFont="1" applyFill="1" applyBorder="1" applyAlignment="1"/>
    <xf numFmtId="175" fontId="0" fillId="64" borderId="0" xfId="154" applyNumberFormat="1" applyFont="1" applyFill="1" applyAlignment="1"/>
    <xf numFmtId="10" fontId="65" fillId="0" borderId="0" xfId="327" applyNumberFormat="1" applyFont="1" applyFill="1" applyBorder="1" applyAlignment="1">
      <alignment horizontal="center"/>
    </xf>
    <xf numFmtId="171" fontId="65" fillId="64" borderId="0" xfId="327" applyNumberFormat="1" applyFont="1" applyFill="1" applyBorder="1" applyAlignment="1">
      <alignment horizontal="center"/>
    </xf>
    <xf numFmtId="0" fontId="47" fillId="0" borderId="0" xfId="301" applyFont="1"/>
    <xf numFmtId="0" fontId="46" fillId="0" borderId="29" xfId="301" applyFont="1" applyBorder="1" applyAlignment="1">
      <alignment horizontal="center" wrapText="1"/>
    </xf>
    <xf numFmtId="43" fontId="46" fillId="0" borderId="0" xfId="154" applyFont="1" applyFill="1" applyBorder="1" applyAlignment="1">
      <alignment horizontal="center"/>
    </xf>
    <xf numFmtId="0" fontId="53" fillId="0" borderId="0" xfId="301" applyFont="1"/>
    <xf numFmtId="1" fontId="71" fillId="0" borderId="0" xfId="301" applyNumberFormat="1" applyFont="1" applyAlignment="1">
      <alignment horizontal="center"/>
    </xf>
    <xf numFmtId="175" fontId="178" fillId="0" borderId="0" xfId="154" applyNumberFormat="1" applyFont="1" applyFill="1" applyBorder="1"/>
    <xf numFmtId="43" fontId="46" fillId="0" borderId="0" xfId="154" applyFont="1" applyFill="1" applyBorder="1"/>
    <xf numFmtId="176" fontId="46" fillId="0" borderId="0" xfId="190" applyNumberFormat="1" applyFont="1" applyFill="1" applyBorder="1" applyAlignment="1">
      <alignment horizontal="right"/>
    </xf>
    <xf numFmtId="180" fontId="46" fillId="0" borderId="0" xfId="154" applyNumberFormat="1" applyFont="1" applyFill="1" applyBorder="1"/>
    <xf numFmtId="254" fontId="46" fillId="0" borderId="0" xfId="190" applyNumberFormat="1" applyFont="1" applyFill="1" applyBorder="1" applyAlignment="1"/>
    <xf numFmtId="175" fontId="46" fillId="0" borderId="0" xfId="154" applyNumberFormat="1" applyFont="1" applyFill="1" applyBorder="1" applyAlignment="1">
      <alignment horizontal="right"/>
    </xf>
    <xf numFmtId="43" fontId="46" fillId="0" borderId="0" xfId="154" applyFont="1" applyFill="1" applyBorder="1" applyAlignment="1"/>
    <xf numFmtId="43" fontId="46" fillId="0" borderId="0" xfId="154" applyFont="1" applyFill="1" applyBorder="1" applyAlignment="1">
      <alignment horizontal="right"/>
    </xf>
    <xf numFmtId="174" fontId="46" fillId="0" borderId="0" xfId="0" applyFont="1" applyAlignment="1">
      <alignment vertical="center"/>
    </xf>
    <xf numFmtId="173" fontId="46" fillId="0" borderId="0" xfId="0" applyNumberFormat="1" applyFont="1"/>
    <xf numFmtId="43" fontId="46" fillId="0" borderId="13" xfId="154" applyFont="1" applyFill="1" applyBorder="1"/>
    <xf numFmtId="0" fontId="46" fillId="0" borderId="32" xfId="301" applyFont="1" applyBorder="1"/>
    <xf numFmtId="10" fontId="46" fillId="0" borderId="6" xfId="327" applyNumberFormat="1" applyFont="1" applyBorder="1"/>
    <xf numFmtId="10" fontId="0" fillId="0" borderId="0" xfId="327" applyNumberFormat="1" applyFont="1" applyFill="1"/>
    <xf numFmtId="0" fontId="44" fillId="0" borderId="0" xfId="154" applyNumberFormat="1" applyFont="1" applyFill="1" applyAlignment="1">
      <alignment horizontal="center"/>
    </xf>
    <xf numFmtId="0" fontId="44" fillId="0" borderId="0" xfId="154" applyNumberFormat="1" applyFont="1" applyFill="1" applyBorder="1" applyAlignment="1">
      <alignment horizontal="left"/>
    </xf>
    <xf numFmtId="0" fontId="44" fillId="0" borderId="0" xfId="154" applyNumberFormat="1" applyFont="1" applyFill="1" applyBorder="1" applyAlignment="1">
      <alignment horizontal="center"/>
    </xf>
    <xf numFmtId="174" fontId="44" fillId="0" borderId="71" xfId="306" applyFont="1" applyBorder="1" applyAlignment="1">
      <alignment wrapText="1"/>
    </xf>
    <xf numFmtId="174" fontId="44" fillId="0" borderId="8" xfId="306" applyFont="1" applyBorder="1" applyAlignment="1">
      <alignment horizontal="center" wrapText="1"/>
    </xf>
    <xf numFmtId="174" fontId="44" fillId="0" borderId="72" xfId="306" applyFont="1" applyBorder="1" applyAlignment="1">
      <alignment horizontal="center" wrapText="1"/>
    </xf>
    <xf numFmtId="174" fontId="44" fillId="0" borderId="46" xfId="306" applyFont="1" applyBorder="1" applyAlignment="1">
      <alignment horizontal="center" wrapText="1"/>
    </xf>
    <xf numFmtId="0" fontId="44" fillId="0" borderId="17" xfId="154" applyNumberFormat="1" applyFont="1" applyFill="1" applyBorder="1" applyAlignment="1">
      <alignment horizontal="left"/>
    </xf>
    <xf numFmtId="175" fontId="44" fillId="0" borderId="27" xfId="154" applyNumberFormat="1" applyFont="1" applyFill="1" applyBorder="1"/>
    <xf numFmtId="175" fontId="44" fillId="0" borderId="59" xfId="154" applyNumberFormat="1" applyFont="1" applyFill="1" applyBorder="1" applyAlignment="1">
      <alignment wrapText="1"/>
    </xf>
    <xf numFmtId="175" fontId="44" fillId="0" borderId="17" xfId="154" applyNumberFormat="1" applyFont="1" applyFill="1" applyBorder="1" applyAlignment="1"/>
    <xf numFmtId="175" fontId="44" fillId="0" borderId="59" xfId="154" applyNumberFormat="1" applyFont="1" applyFill="1" applyBorder="1"/>
    <xf numFmtId="182" fontId="44" fillId="0" borderId="27" xfId="154" applyNumberFormat="1" applyFont="1" applyFill="1" applyBorder="1"/>
    <xf numFmtId="175" fontId="44" fillId="0" borderId="0" xfId="154" applyNumberFormat="1" applyFont="1" applyFill="1" applyBorder="1" applyAlignment="1"/>
    <xf numFmtId="175" fontId="44" fillId="0" borderId="61" xfId="154" applyNumberFormat="1" applyFont="1" applyFill="1" applyBorder="1"/>
    <xf numFmtId="175" fontId="44" fillId="0" borderId="3" xfId="154" applyNumberFormat="1" applyFont="1" applyFill="1" applyBorder="1"/>
    <xf numFmtId="175" fontId="44" fillId="0" borderId="58" xfId="154" applyNumberFormat="1" applyFont="1" applyFill="1" applyBorder="1"/>
    <xf numFmtId="175" fontId="44" fillId="0" borderId="57" xfId="154" applyNumberFormat="1" applyFont="1" applyFill="1" applyBorder="1" applyAlignment="1"/>
    <xf numFmtId="0" fontId="44" fillId="0" borderId="0" xfId="154" applyNumberFormat="1" applyFont="1" applyFill="1" applyAlignment="1">
      <alignment horizontal="left"/>
    </xf>
    <xf numFmtId="175" fontId="44" fillId="64" borderId="0" xfId="154" applyNumberFormat="1" applyFont="1" applyFill="1" applyAlignment="1">
      <alignment wrapText="1"/>
    </xf>
    <xf numFmtId="175" fontId="44" fillId="0" borderId="3" xfId="154" applyNumberFormat="1" applyFont="1" applyFill="1" applyBorder="1" applyAlignment="1">
      <alignment wrapText="1"/>
    </xf>
    <xf numFmtId="175" fontId="13" fillId="64" borderId="0" xfId="154" applyNumberFormat="1" applyFont="1" applyFill="1" applyAlignment="1">
      <alignment horizontal="center"/>
    </xf>
    <xf numFmtId="0" fontId="46" fillId="0" borderId="31" xfId="154" applyNumberFormat="1" applyFont="1" applyFill="1" applyBorder="1" applyAlignment="1">
      <alignment horizontal="center"/>
    </xf>
    <xf numFmtId="42" fontId="23" fillId="0" borderId="0" xfId="313" applyNumberFormat="1"/>
    <xf numFmtId="168" fontId="10" fillId="0" borderId="0" xfId="313" applyNumberFormat="1" applyFont="1" applyAlignment="1">
      <alignment horizontal="center"/>
    </xf>
    <xf numFmtId="175" fontId="0" fillId="0" borderId="0" xfId="154" applyNumberFormat="1" applyFont="1" applyAlignment="1">
      <alignment horizontal="left"/>
    </xf>
    <xf numFmtId="0" fontId="68" fillId="0" borderId="0" xfId="313" applyFont="1" applyAlignment="1">
      <alignment horizontal="left" wrapText="1"/>
    </xf>
    <xf numFmtId="0" fontId="10" fillId="0" borderId="0" xfId="313" applyFont="1" applyAlignment="1">
      <alignment horizontal="right"/>
    </xf>
    <xf numFmtId="0" fontId="68" fillId="0" borderId="0" xfId="313" applyFont="1" applyAlignment="1" applyProtection="1">
      <alignment horizontal="left"/>
      <protection locked="0"/>
    </xf>
    <xf numFmtId="174" fontId="68" fillId="0" borderId="0" xfId="0" applyFont="1" applyAlignment="1">
      <alignment horizontal="left"/>
    </xf>
    <xf numFmtId="0" fontId="68" fillId="0" borderId="0" xfId="313" applyFont="1" applyAlignment="1">
      <alignment horizontal="left"/>
    </xf>
    <xf numFmtId="174" fontId="68" fillId="0" borderId="0" xfId="0" applyFont="1" applyAlignment="1">
      <alignment horizontal="left" vertical="center" wrapText="1"/>
    </xf>
    <xf numFmtId="174" fontId="68" fillId="0" borderId="0" xfId="0" applyFont="1" applyAlignment="1">
      <alignment horizontal="left" vertical="center"/>
    </xf>
    <xf numFmtId="174" fontId="46" fillId="0" borderId="0" xfId="0" applyFont="1" applyAlignment="1">
      <alignment horizontal="left" wrapText="1"/>
    </xf>
    <xf numFmtId="0" fontId="45" fillId="0" borderId="0" xfId="301" applyFont="1" applyAlignment="1">
      <alignment horizontal="center"/>
    </xf>
    <xf numFmtId="0" fontId="46" fillId="0" borderId="0" xfId="301" applyFont="1" applyAlignment="1">
      <alignment horizontal="left" wrapText="1"/>
    </xf>
    <xf numFmtId="0" fontId="50" fillId="0" borderId="0" xfId="301" applyFont="1" applyAlignment="1">
      <alignment horizontal="center" wrapText="1"/>
    </xf>
    <xf numFmtId="0" fontId="3" fillId="0" borderId="0" xfId="301" applyAlignment="1">
      <alignment horizontal="center" wrapText="1"/>
    </xf>
    <xf numFmtId="0" fontId="70" fillId="56" borderId="35" xfId="301" applyFont="1" applyFill="1" applyBorder="1" applyAlignment="1">
      <alignment horizontal="center"/>
    </xf>
    <xf numFmtId="0" fontId="70" fillId="56" borderId="34" xfId="301" applyFont="1" applyFill="1" applyBorder="1" applyAlignment="1">
      <alignment horizontal="center"/>
    </xf>
    <xf numFmtId="0" fontId="70" fillId="56" borderId="39" xfId="301" applyFont="1" applyFill="1" applyBorder="1" applyAlignment="1">
      <alignment horizontal="center"/>
    </xf>
    <xf numFmtId="0" fontId="28" fillId="0" borderId="0" xfId="301" applyFont="1" applyAlignment="1">
      <alignment horizontal="center" wrapText="1"/>
    </xf>
    <xf numFmtId="0" fontId="3" fillId="0" borderId="29" xfId="301" applyBorder="1" applyAlignment="1">
      <alignment horizontal="center" wrapText="1"/>
    </xf>
    <xf numFmtId="0" fontId="49" fillId="63" borderId="31" xfId="301" applyFont="1" applyFill="1" applyBorder="1" applyAlignment="1">
      <alignment horizontal="center"/>
    </xf>
    <xf numFmtId="0" fontId="49" fillId="63" borderId="0" xfId="301" applyFont="1" applyFill="1" applyAlignment="1">
      <alignment horizontal="center"/>
    </xf>
    <xf numFmtId="0" fontId="49" fillId="63" borderId="0" xfId="301" applyFont="1" applyFill="1" applyAlignment="1">
      <alignment horizontal="center" wrapText="1"/>
    </xf>
    <xf numFmtId="0" fontId="2" fillId="0" borderId="0" xfId="301" applyFont="1" applyAlignment="1">
      <alignment horizontal="center"/>
    </xf>
    <xf numFmtId="0" fontId="49" fillId="56" borderId="43" xfId="301" applyFont="1" applyFill="1" applyBorder="1" applyAlignment="1">
      <alignment horizontal="center"/>
    </xf>
    <xf numFmtId="0" fontId="49" fillId="56" borderId="12" xfId="301" applyFont="1" applyFill="1" applyBorder="1" applyAlignment="1">
      <alignment horizontal="center"/>
    </xf>
    <xf numFmtId="0" fontId="49" fillId="56" borderId="70" xfId="301" applyFont="1" applyFill="1" applyBorder="1" applyAlignment="1">
      <alignment horizontal="center"/>
    </xf>
    <xf numFmtId="0" fontId="49" fillId="56" borderId="12" xfId="301" applyFont="1" applyFill="1" applyBorder="1" applyAlignment="1">
      <alignment horizontal="center" wrapText="1"/>
    </xf>
    <xf numFmtId="0" fontId="3" fillId="0" borderId="12" xfId="301" applyBorder="1" applyAlignment="1">
      <alignment horizontal="center" wrapText="1"/>
    </xf>
    <xf numFmtId="0" fontId="3" fillId="0" borderId="70" xfId="301" applyBorder="1" applyAlignment="1">
      <alignment horizontal="center" wrapText="1"/>
    </xf>
    <xf numFmtId="0" fontId="49" fillId="56" borderId="35" xfId="301" applyFont="1" applyFill="1" applyBorder="1" applyAlignment="1">
      <alignment horizontal="center"/>
    </xf>
    <xf numFmtId="0" fontId="49" fillId="56" borderId="34" xfId="301" applyFont="1" applyFill="1" applyBorder="1" applyAlignment="1">
      <alignment horizontal="center"/>
    </xf>
    <xf numFmtId="0" fontId="49" fillId="56" borderId="34" xfId="301" applyFont="1" applyFill="1" applyBorder="1" applyAlignment="1">
      <alignment horizontal="center" wrapText="1"/>
    </xf>
    <xf numFmtId="0" fontId="3" fillId="56" borderId="34" xfId="301" applyFill="1" applyBorder="1" applyAlignment="1">
      <alignment horizontal="center" wrapText="1"/>
    </xf>
    <xf numFmtId="0" fontId="3" fillId="56" borderId="39" xfId="301" applyFill="1" applyBorder="1" applyAlignment="1">
      <alignment horizontal="center" wrapText="1"/>
    </xf>
    <xf numFmtId="49" fontId="179" fillId="0" borderId="0" xfId="310" applyNumberFormat="1" applyFont="1" applyAlignment="1">
      <alignment horizontal="left" vertical="top" wrapText="1"/>
    </xf>
    <xf numFmtId="49" fontId="180" fillId="0" borderId="0" xfId="310" applyNumberFormat="1" applyFont="1" applyAlignment="1">
      <alignment horizontal="left" vertical="top" wrapText="1"/>
    </xf>
    <xf numFmtId="0" fontId="49" fillId="0" borderId="35" xfId="301" applyFont="1" applyBorder="1" applyAlignment="1">
      <alignment horizontal="center"/>
    </xf>
    <xf numFmtId="0" fontId="49" fillId="0" borderId="34" xfId="301" applyFont="1" applyBorder="1" applyAlignment="1">
      <alignment horizontal="center"/>
    </xf>
    <xf numFmtId="0" fontId="49" fillId="0" borderId="34" xfId="301" applyFont="1" applyBorder="1" applyAlignment="1">
      <alignment horizontal="center" wrapText="1"/>
    </xf>
    <xf numFmtId="0" fontId="3" fillId="0" borderId="34" xfId="301" applyBorder="1" applyAlignment="1">
      <alignment horizontal="center" wrapText="1"/>
    </xf>
    <xf numFmtId="0" fontId="3" fillId="0" borderId="39" xfId="301" applyBorder="1" applyAlignment="1">
      <alignment horizontal="center" wrapText="1"/>
    </xf>
    <xf numFmtId="0" fontId="49" fillId="56" borderId="39" xfId="301" applyFont="1" applyFill="1" applyBorder="1" applyAlignment="1">
      <alignment horizontal="center"/>
    </xf>
    <xf numFmtId="0" fontId="49" fillId="56" borderId="34" xfId="301" applyFont="1" applyFill="1" applyBorder="1" applyAlignment="1">
      <alignment horizontal="right" wrapText="1"/>
    </xf>
    <xf numFmtId="0" fontId="49" fillId="56" borderId="39" xfId="301" applyFont="1" applyFill="1" applyBorder="1" applyAlignment="1">
      <alignment horizontal="right" wrapText="1"/>
    </xf>
    <xf numFmtId="0" fontId="3" fillId="0" borderId="13" xfId="301" applyBorder="1" applyAlignment="1">
      <alignment horizontal="center" wrapText="1"/>
    </xf>
    <xf numFmtId="0" fontId="3" fillId="0" borderId="32" xfId="301" applyBorder="1" applyAlignment="1">
      <alignment horizontal="center" wrapText="1"/>
    </xf>
    <xf numFmtId="0" fontId="70" fillId="56" borderId="34" xfId="301" applyFont="1" applyFill="1" applyBorder="1" applyAlignment="1">
      <alignment horizontal="center" wrapText="1"/>
    </xf>
    <xf numFmtId="0" fontId="46" fillId="0" borderId="34" xfId="301" applyFont="1" applyBorder="1" applyAlignment="1">
      <alignment horizontal="center" wrapText="1"/>
    </xf>
    <xf numFmtId="0" fontId="46" fillId="0" borderId="39" xfId="301" applyFont="1" applyBorder="1" applyAlignment="1">
      <alignment horizontal="center" wrapText="1"/>
    </xf>
    <xf numFmtId="0" fontId="162" fillId="63" borderId="35" xfId="301" applyFont="1" applyFill="1" applyBorder="1" applyAlignment="1">
      <alignment horizontal="center"/>
    </xf>
    <xf numFmtId="0" fontId="162" fillId="63" borderId="34" xfId="301" applyFont="1" applyFill="1" applyBorder="1" applyAlignment="1">
      <alignment horizontal="center"/>
    </xf>
    <xf numFmtId="0" fontId="162" fillId="63" borderId="39" xfId="301" applyFont="1" applyFill="1" applyBorder="1" applyAlignment="1">
      <alignment horizontal="center"/>
    </xf>
    <xf numFmtId="0" fontId="162" fillId="63" borderId="34" xfId="301" applyFont="1" applyFill="1" applyBorder="1" applyAlignment="1">
      <alignment horizontal="center" wrapText="1"/>
    </xf>
    <xf numFmtId="0" fontId="162" fillId="63" borderId="39" xfId="301" applyFont="1" applyFill="1" applyBorder="1" applyAlignment="1">
      <alignment horizontal="center" wrapText="1"/>
    </xf>
    <xf numFmtId="175" fontId="57" fillId="0" borderId="13" xfId="301" applyNumberFormat="1" applyFont="1" applyBorder="1" applyAlignment="1">
      <alignment horizontal="center" wrapText="1"/>
    </xf>
    <xf numFmtId="175" fontId="57" fillId="0" borderId="32" xfId="301" applyNumberFormat="1" applyFont="1" applyBorder="1" applyAlignment="1">
      <alignment horizontal="center" wrapText="1"/>
    </xf>
    <xf numFmtId="0" fontId="28" fillId="0" borderId="29" xfId="301" applyFont="1" applyBorder="1" applyAlignment="1">
      <alignment horizontal="center" wrapText="1"/>
    </xf>
    <xf numFmtId="0" fontId="49" fillId="56" borderId="39" xfId="301" applyFont="1" applyFill="1" applyBorder="1" applyAlignment="1">
      <alignment horizontal="center" wrapText="1"/>
    </xf>
    <xf numFmtId="0" fontId="47" fillId="56" borderId="0" xfId="301" applyFont="1" applyFill="1" applyAlignment="1">
      <alignment horizontal="left"/>
    </xf>
    <xf numFmtId="175" fontId="47" fillId="56" borderId="0" xfId="154" applyNumberFormat="1" applyFont="1" applyFill="1" applyBorder="1" applyAlignment="1">
      <alignment horizontal="center" wrapText="1"/>
    </xf>
    <xf numFmtId="175" fontId="70" fillId="56" borderId="0" xfId="154" applyNumberFormat="1" applyFont="1" applyFill="1" applyBorder="1" applyAlignment="1">
      <alignment horizontal="center" wrapText="1"/>
    </xf>
    <xf numFmtId="0" fontId="169" fillId="0" borderId="0" xfId="301" applyFont="1" applyAlignment="1">
      <alignment horizontal="left"/>
    </xf>
    <xf numFmtId="174" fontId="65" fillId="0" borderId="0" xfId="0" applyFont="1" applyAlignment="1">
      <alignment horizontal="left" vertical="top" wrapText="1"/>
    </xf>
    <xf numFmtId="0" fontId="5" fillId="0" borderId="0" xfId="301" applyFont="1" applyAlignment="1">
      <alignment horizontal="center"/>
    </xf>
    <xf numFmtId="0" fontId="3" fillId="0" borderId="0" xfId="301" applyAlignment="1">
      <alignment horizontal="center"/>
    </xf>
    <xf numFmtId="0" fontId="58" fillId="0" borderId="0" xfId="301" applyFont="1" applyAlignment="1">
      <alignment horizontal="center"/>
    </xf>
    <xf numFmtId="0" fontId="68" fillId="0" borderId="0" xfId="299" applyFont="1" applyAlignment="1">
      <alignment wrapText="1"/>
    </xf>
    <xf numFmtId="0" fontId="63" fillId="0" borderId="0" xfId="299" applyFont="1" applyAlignment="1">
      <alignment horizontal="center"/>
    </xf>
    <xf numFmtId="0" fontId="63" fillId="0" borderId="0" xfId="299" applyFont="1"/>
    <xf numFmtId="0" fontId="68" fillId="0" borderId="0" xfId="299" applyFont="1" applyAlignment="1">
      <alignment horizontal="center"/>
    </xf>
    <xf numFmtId="0" fontId="2" fillId="0" borderId="0" xfId="299" applyFont="1" applyAlignment="1">
      <alignment horizontal="center"/>
    </xf>
    <xf numFmtId="0" fontId="2" fillId="0" borderId="0" xfId="299" applyFont="1"/>
    <xf numFmtId="0" fontId="46" fillId="0" borderId="0" xfId="299" applyFont="1" applyAlignment="1">
      <alignment wrapText="1"/>
    </xf>
    <xf numFmtId="0" fontId="46" fillId="0" borderId="0" xfId="299" applyFont="1" applyAlignment="1">
      <alignment horizontal="center"/>
    </xf>
    <xf numFmtId="0" fontId="5" fillId="0" borderId="0" xfId="299" applyFont="1" applyAlignment="1">
      <alignment horizontal="center"/>
    </xf>
    <xf numFmtId="174" fontId="60" fillId="0" borderId="0" xfId="0" applyFont="1" applyAlignment="1">
      <alignment horizontal="center"/>
    </xf>
    <xf numFmtId="174" fontId="2" fillId="66" borderId="0" xfId="0" applyFont="1" applyFill="1" applyAlignment="1" applyProtection="1">
      <alignment horizontal="center"/>
      <protection locked="0"/>
    </xf>
    <xf numFmtId="174" fontId="2" fillId="0" borderId="0" xfId="0" applyFont="1" applyAlignment="1" applyProtection="1">
      <alignment horizontal="center"/>
      <protection locked="0"/>
    </xf>
    <xf numFmtId="0" fontId="3" fillId="0" borderId="0" xfId="315" applyAlignment="1">
      <alignment wrapText="1"/>
    </xf>
    <xf numFmtId="174" fontId="0" fillId="0" borderId="0" xfId="0" applyAlignment="1">
      <alignment wrapText="1"/>
    </xf>
    <xf numFmtId="0" fontId="3" fillId="0" borderId="0" xfId="315" applyAlignment="1">
      <alignment horizontal="left" vertical="center" wrapText="1"/>
    </xf>
    <xf numFmtId="0" fontId="2" fillId="0" borderId="0" xfId="0" applyNumberFormat="1" applyFont="1" applyAlignment="1">
      <alignment horizontal="center"/>
    </xf>
    <xf numFmtId="174" fontId="5" fillId="0" borderId="0" xfId="0" applyFont="1" applyAlignment="1" applyProtection="1">
      <alignment horizontal="center"/>
      <protection locked="0"/>
    </xf>
    <xf numFmtId="174" fontId="63" fillId="0" borderId="0" xfId="0" applyFont="1" applyAlignment="1">
      <alignment horizontal="center"/>
    </xf>
    <xf numFmtId="174" fontId="44" fillId="0" borderId="0" xfId="0" applyFont="1" applyAlignment="1">
      <alignment horizontal="center"/>
    </xf>
    <xf numFmtId="174" fontId="48" fillId="0" borderId="0" xfId="0" applyFont="1" applyAlignment="1">
      <alignment horizontal="center"/>
    </xf>
    <xf numFmtId="0" fontId="44" fillId="0" borderId="71" xfId="310" applyFont="1" applyBorder="1" applyAlignment="1">
      <alignment horizontal="center" wrapText="1"/>
    </xf>
    <xf numFmtId="0" fontId="44" fillId="0" borderId="61" xfId="310" applyFont="1" applyBorder="1" applyAlignment="1">
      <alignment horizontal="center" wrapText="1"/>
    </xf>
    <xf numFmtId="0" fontId="44" fillId="0" borderId="60" xfId="310" applyFont="1" applyBorder="1" applyAlignment="1">
      <alignment horizontal="center" wrapText="1"/>
    </xf>
    <xf numFmtId="0" fontId="44" fillId="0" borderId="5" xfId="310" applyFont="1" applyBorder="1" applyAlignment="1">
      <alignment horizontal="left" wrapText="1"/>
    </xf>
    <xf numFmtId="0" fontId="44" fillId="0" borderId="3" xfId="310" applyFont="1" applyBorder="1" applyAlignment="1">
      <alignment horizontal="left" wrapText="1"/>
    </xf>
    <xf numFmtId="0" fontId="44" fillId="0" borderId="56" xfId="310" applyFont="1" applyBorder="1" applyAlignment="1">
      <alignment horizontal="center" wrapText="1"/>
    </xf>
    <xf numFmtId="0" fontId="44" fillId="0" borderId="58" xfId="310" applyFont="1" applyBorder="1" applyAlignment="1">
      <alignment horizontal="center" wrapText="1"/>
    </xf>
    <xf numFmtId="17" fontId="44" fillId="0" borderId="5" xfId="305" applyNumberFormat="1" applyFont="1" applyBorder="1" applyAlignment="1">
      <alignment horizontal="center" wrapText="1"/>
    </xf>
    <xf numFmtId="17" fontId="44" fillId="0" borderId="3" xfId="305" applyNumberFormat="1" applyFont="1" applyBorder="1" applyAlignment="1">
      <alignment horizontal="center" wrapText="1"/>
    </xf>
    <xf numFmtId="17" fontId="44" fillId="0" borderId="56" xfId="305" applyNumberFormat="1" applyFont="1" applyBorder="1" applyAlignment="1">
      <alignment horizontal="center" wrapText="1"/>
    </xf>
    <xf numFmtId="17" fontId="44" fillId="0" borderId="58" xfId="305" applyNumberFormat="1" applyFont="1" applyBorder="1" applyAlignment="1">
      <alignment horizontal="center" wrapText="1"/>
    </xf>
    <xf numFmtId="0" fontId="44" fillId="0" borderId="60" xfId="305" applyFont="1" applyBorder="1" applyAlignment="1">
      <alignment horizontal="center" wrapText="1"/>
    </xf>
    <xf numFmtId="0" fontId="44" fillId="0" borderId="61" xfId="305" applyFont="1" applyBorder="1" applyAlignment="1">
      <alignment horizontal="center" wrapText="1"/>
    </xf>
    <xf numFmtId="0" fontId="44" fillId="0" borderId="5" xfId="305" applyFont="1" applyBorder="1" applyAlignment="1">
      <alignment horizontal="center" wrapText="1"/>
    </xf>
    <xf numFmtId="0" fontId="44" fillId="0" borderId="3" xfId="305" applyFont="1" applyBorder="1" applyAlignment="1">
      <alignment horizontal="center" wrapText="1"/>
    </xf>
    <xf numFmtId="174" fontId="48" fillId="0" borderId="0" xfId="306" applyFont="1" applyAlignment="1">
      <alignment horizontal="left"/>
    </xf>
    <xf numFmtId="175" fontId="44" fillId="0" borderId="0" xfId="154" applyNumberFormat="1" applyFont="1" applyFill="1" applyBorder="1" applyAlignment="1">
      <alignment horizontal="center" wrapText="1"/>
    </xf>
    <xf numFmtId="175" fontId="44" fillId="64" borderId="5" xfId="154" applyNumberFormat="1" applyFont="1" applyFill="1" applyBorder="1" applyAlignment="1">
      <alignment wrapText="1"/>
    </xf>
    <xf numFmtId="174" fontId="0" fillId="0" borderId="5" xfId="0" applyBorder="1" applyAlignment="1">
      <alignment wrapText="1"/>
    </xf>
    <xf numFmtId="175" fontId="44" fillId="0" borderId="5" xfId="154" applyNumberFormat="1" applyFont="1" applyFill="1" applyBorder="1" applyAlignment="1">
      <alignment horizontal="center" wrapText="1"/>
    </xf>
    <xf numFmtId="175" fontId="44" fillId="0" borderId="3" xfId="154" applyNumberFormat="1" applyFont="1" applyFill="1" applyBorder="1" applyAlignment="1">
      <alignment horizontal="center" wrapText="1"/>
    </xf>
  </cellXfs>
  <cellStyles count="526">
    <cellStyle name="$" xfId="1" xr:uid="{00000000-0005-0000-0000-000000000000}"/>
    <cellStyle name="$_DCF Shell 2" xfId="2" xr:uid="{00000000-0005-0000-0000-000001000000}"/>
    <cellStyle name="$_Model_Sep_2_02" xfId="3" xr:uid="{00000000-0005-0000-0000-000002000000}"/>
    <cellStyle name="$_Pipeline Model v1 (09_09_02) v3" xfId="4" xr:uid="{00000000-0005-0000-0000-000003000000}"/>
    <cellStyle name="%" xfId="5" xr:uid="{00000000-0005-0000-0000-000004000000}"/>
    <cellStyle name="?? [0]_VERA" xfId="6" xr:uid="{00000000-0005-0000-0000-000005000000}"/>
    <cellStyle name="?????_VERA" xfId="7" xr:uid="{00000000-0005-0000-0000-000006000000}"/>
    <cellStyle name="??_VERA" xfId="8" xr:uid="{00000000-0005-0000-0000-000007000000}"/>
    <cellStyle name="_0decimals" xfId="9" xr:uid="{00000000-0005-0000-0000-000008000000}"/>
    <cellStyle name="_1 0 2011 BP - Overlays v0 12" xfId="10" xr:uid="{00000000-0005-0000-0000-000009000000}"/>
    <cellStyle name="_1 1 OFTO t2 v0 2 (IBA def tax)" xfId="11" xr:uid="{00000000-0005-0000-0000-00000A000000}"/>
    <cellStyle name="_2.0 Emergency Process" xfId="12" xr:uid="{00000000-0005-0000-0000-00000B000000}"/>
    <cellStyle name="_ammonia emission calculation" xfId="13" xr:uid="{00000000-0005-0000-0000-00000C000000}"/>
    <cellStyle name="_Berr Strading Analysis v 04 (2012 to 2020) v0 8 (no capex from 2012)" xfId="14" xr:uid="{00000000-0005-0000-0000-00000D000000}"/>
    <cellStyle name="_Cement" xfId="15" xr:uid="{00000000-0005-0000-0000-00000E000000}"/>
    <cellStyle name="_Comma" xfId="16" xr:uid="{00000000-0005-0000-0000-00000F000000}"/>
    <cellStyle name="_Comma_CSC" xfId="17" xr:uid="{00000000-0005-0000-0000-000010000000}"/>
    <cellStyle name="_Comma_merger_plans_modified_9_3_1999" xfId="18" xr:uid="{00000000-0005-0000-0000-000011000000}"/>
    <cellStyle name="_Currency" xfId="19" xr:uid="{00000000-0005-0000-0000-000012000000}"/>
    <cellStyle name="_Currency_CSC" xfId="20" xr:uid="{00000000-0005-0000-0000-000013000000}"/>
    <cellStyle name="_Currency_merger_plans_modified_9_3_1999" xfId="21" xr:uid="{00000000-0005-0000-0000-000014000000}"/>
    <cellStyle name="_Currency_Model_Sep_2_02" xfId="22" xr:uid="{00000000-0005-0000-0000-000015000000}"/>
    <cellStyle name="_Currency_Pipeline Model v1 (09_09_02) v3" xfId="23" xr:uid="{00000000-0005-0000-0000-000016000000}"/>
    <cellStyle name="_CurrencySpace" xfId="24" xr:uid="{00000000-0005-0000-0000-000017000000}"/>
    <cellStyle name="_CurrencySpace_CSC" xfId="25" xr:uid="{00000000-0005-0000-0000-000018000000}"/>
    <cellStyle name="_CurrencySpace_merger_plans_modified_9_3_1999" xfId="26" xr:uid="{00000000-0005-0000-0000-000019000000}"/>
    <cellStyle name="_Group Impact Model - Output Sheet" xfId="27" xr:uid="{00000000-0005-0000-0000-00001A000000}"/>
    <cellStyle name="_Multiple" xfId="28" xr:uid="{00000000-0005-0000-0000-00001B000000}"/>
    <cellStyle name="_Multiple_CSC" xfId="29" xr:uid="{00000000-0005-0000-0000-00001C000000}"/>
    <cellStyle name="_Multiple_merger_plans_modified_9_3_1999" xfId="30" xr:uid="{00000000-0005-0000-0000-00001D000000}"/>
    <cellStyle name="_Multiple_Model_Sep_2_02" xfId="31" xr:uid="{00000000-0005-0000-0000-00001E000000}"/>
    <cellStyle name="_Multiple_Pipeline Model v1 (09_09_02) v3" xfId="32" xr:uid="{00000000-0005-0000-0000-00001F000000}"/>
    <cellStyle name="_MultipleSpace" xfId="33" xr:uid="{00000000-0005-0000-0000-000020000000}"/>
    <cellStyle name="_MultipleSpace_CSC" xfId="34" xr:uid="{00000000-0005-0000-0000-000021000000}"/>
    <cellStyle name="_MultipleSpace_merger_plans_modified_9_3_1999" xfId="35" xr:uid="{00000000-0005-0000-0000-000022000000}"/>
    <cellStyle name="_MultipleSpace_Model_Sep_2_02" xfId="36" xr:uid="{00000000-0005-0000-0000-000023000000}"/>
    <cellStyle name="_MultipleSpace_Pipeline Model v1 (09_09_02) v3" xfId="37" xr:uid="{00000000-0005-0000-0000-000024000000}"/>
    <cellStyle name="_NGM  Business Valuation Jan 10 v7 no links(sg)" xfId="38" xr:uid="{00000000-0005-0000-0000-000025000000}"/>
    <cellStyle name="_Oil Sands" xfId="39" xr:uid="{00000000-0005-0000-0000-000026000000}"/>
    <cellStyle name="_Payroll - Dave Moon v2" xfId="40" xr:uid="{00000000-0005-0000-0000-000027000000}"/>
    <cellStyle name="_Percent" xfId="41" xr:uid="{00000000-0005-0000-0000-000028000000}"/>
    <cellStyle name="_Percent_CSC" xfId="42" xr:uid="{00000000-0005-0000-0000-000029000000}"/>
    <cellStyle name="_Percent_merger_plans_modified_9_3_1999" xfId="43" xr:uid="{00000000-0005-0000-0000-00002A000000}"/>
    <cellStyle name="_Percent_Model_Sep_2_02" xfId="44" xr:uid="{00000000-0005-0000-0000-00002B000000}"/>
    <cellStyle name="_Percent_Pipeline Model v1 (09_09_02) v3" xfId="45" xr:uid="{00000000-0005-0000-0000-00002C000000}"/>
    <cellStyle name="_PercentSpace" xfId="46" xr:uid="{00000000-0005-0000-0000-00002D000000}"/>
    <cellStyle name="_PercentSpace_CSC" xfId="47" xr:uid="{00000000-0005-0000-0000-00002E000000}"/>
    <cellStyle name="_PercentSpace_merger_plans_modified_9_3_1999" xfId="48" xr:uid="{00000000-0005-0000-0000-00002F000000}"/>
    <cellStyle name="_PercentSpace_Model_Sep_2_02" xfId="49" xr:uid="{00000000-0005-0000-0000-000030000000}"/>
    <cellStyle name="_PercentSpace_Pipeline Model v1 (09_09_02) v3" xfId="50" xr:uid="{00000000-0005-0000-0000-000031000000}"/>
    <cellStyle name="_Refineries" xfId="51" xr:uid="{00000000-0005-0000-0000-000032000000}"/>
    <cellStyle name="_TableRowHead" xfId="52" xr:uid="{00000000-0005-0000-0000-000033000000}"/>
    <cellStyle name="_TableSuperHead" xfId="53" xr:uid="{00000000-0005-0000-0000-000034000000}"/>
    <cellStyle name="£ BP" xfId="54" xr:uid="{00000000-0005-0000-0000-000035000000}"/>
    <cellStyle name="£[2]" xfId="55" xr:uid="{00000000-0005-0000-0000-000036000000}"/>
    <cellStyle name="¥ JY" xfId="56" xr:uid="{00000000-0005-0000-0000-000037000000}"/>
    <cellStyle name="=C:\WINNT\SYSTEM32\COMMAND.COM" xfId="57" xr:uid="{00000000-0005-0000-0000-000038000000}"/>
    <cellStyle name="0" xfId="58" xr:uid="{00000000-0005-0000-0000-000039000000}"/>
    <cellStyle name="0_Credit Rating Ratios" xfId="59" xr:uid="{00000000-0005-0000-0000-00003A000000}"/>
    <cellStyle name="0_Pension numbers in 09 Plan  Budget (3)" xfId="60" xr:uid="{00000000-0005-0000-0000-00003B000000}"/>
    <cellStyle name="0DP" xfId="61" xr:uid="{00000000-0005-0000-0000-00003C000000}"/>
    <cellStyle name="0DP bold" xfId="62" xr:uid="{00000000-0005-0000-0000-00003D000000}"/>
    <cellStyle name="0DP_calcSens" xfId="63" xr:uid="{00000000-0005-0000-0000-00003E000000}"/>
    <cellStyle name="1DP" xfId="64" xr:uid="{00000000-0005-0000-0000-00003F000000}"/>
    <cellStyle name="1DP bold" xfId="65" xr:uid="{00000000-0005-0000-0000-000040000000}"/>
    <cellStyle name="2DP" xfId="66" xr:uid="{00000000-0005-0000-0000-000041000000}"/>
    <cellStyle name="2DP bold" xfId="67" xr:uid="{00000000-0005-0000-0000-000042000000}"/>
    <cellStyle name="3DP" xfId="68" xr:uid="{00000000-0005-0000-0000-000043000000}"/>
    <cellStyle name="Accent1 - 20%" xfId="69" xr:uid="{00000000-0005-0000-0000-000044000000}"/>
    <cellStyle name="Accent1 - 40%" xfId="70" xr:uid="{00000000-0005-0000-0000-000045000000}"/>
    <cellStyle name="Accent1 - 60%" xfId="71" xr:uid="{00000000-0005-0000-0000-000046000000}"/>
    <cellStyle name="Accent2 - 20%" xfId="72" xr:uid="{00000000-0005-0000-0000-000047000000}"/>
    <cellStyle name="Accent2 - 40%" xfId="73" xr:uid="{00000000-0005-0000-0000-000048000000}"/>
    <cellStyle name="Accent2 - 60%" xfId="74" xr:uid="{00000000-0005-0000-0000-000049000000}"/>
    <cellStyle name="Accent3 - 20%" xfId="75" xr:uid="{00000000-0005-0000-0000-00004A000000}"/>
    <cellStyle name="Accent3 - 40%" xfId="76" xr:uid="{00000000-0005-0000-0000-00004B000000}"/>
    <cellStyle name="Accent3 - 60%" xfId="77" xr:uid="{00000000-0005-0000-0000-00004C000000}"/>
    <cellStyle name="Accent4 - 20%" xfId="78" xr:uid="{00000000-0005-0000-0000-00004D000000}"/>
    <cellStyle name="Accent4 - 40%" xfId="79" xr:uid="{00000000-0005-0000-0000-00004E000000}"/>
    <cellStyle name="Accent4 - 60%" xfId="80" xr:uid="{00000000-0005-0000-0000-00004F000000}"/>
    <cellStyle name="Accent5 - 20%" xfId="81" xr:uid="{00000000-0005-0000-0000-000050000000}"/>
    <cellStyle name="Accent5 - 40%" xfId="82" xr:uid="{00000000-0005-0000-0000-000051000000}"/>
    <cellStyle name="Accent5 - 60%" xfId="83" xr:uid="{00000000-0005-0000-0000-000052000000}"/>
    <cellStyle name="Accent6 - 20%" xfId="84" xr:uid="{00000000-0005-0000-0000-000053000000}"/>
    <cellStyle name="Accent6 - 40%" xfId="85" xr:uid="{00000000-0005-0000-0000-000054000000}"/>
    <cellStyle name="Accent6 - 60%" xfId="86" xr:uid="{00000000-0005-0000-0000-000055000000}"/>
    <cellStyle name="Actual Date" xfId="87" xr:uid="{00000000-0005-0000-0000-000056000000}"/>
    <cellStyle name="ÅëÈ­ [0]_±âÅ¸" xfId="88" xr:uid="{00000000-0005-0000-0000-000057000000}"/>
    <cellStyle name="ÅëÈ­_±âÅ¸" xfId="89" xr:uid="{00000000-0005-0000-0000-000058000000}"/>
    <cellStyle name="AFE" xfId="90" xr:uid="{00000000-0005-0000-0000-000059000000}"/>
    <cellStyle name="ÄÞ¸¶ [0]_±âÅ¸" xfId="91" xr:uid="{00000000-0005-0000-0000-00005A000000}"/>
    <cellStyle name="ÄÞ¸¶_±âÅ¸" xfId="92" xr:uid="{00000000-0005-0000-0000-00005B000000}"/>
    <cellStyle name="BMDate" xfId="93" xr:uid="{00000000-0005-0000-0000-00005C000000}"/>
    <cellStyle name="BMHeading" xfId="94" xr:uid="{00000000-0005-0000-0000-00005D000000}"/>
    <cellStyle name="BMInputNormal" xfId="95" xr:uid="{00000000-0005-0000-0000-00005E000000}"/>
    <cellStyle name="BMMultiple" xfId="96" xr:uid="{00000000-0005-0000-0000-00005F000000}"/>
    <cellStyle name="BMPercent" xfId="97" xr:uid="{00000000-0005-0000-0000-000060000000}"/>
    <cellStyle name="Body" xfId="98" xr:uid="{00000000-0005-0000-0000-000061000000}"/>
    <cellStyle name="Bold/Border" xfId="99" xr:uid="{00000000-0005-0000-0000-000062000000}"/>
    <cellStyle name="BooleanYorN" xfId="100" xr:uid="{00000000-0005-0000-0000-000063000000}"/>
    <cellStyle name="Bullet" xfId="101" xr:uid="{00000000-0005-0000-0000-000064000000}"/>
    <cellStyle name="c" xfId="102" xr:uid="{00000000-0005-0000-0000-000065000000}"/>
    <cellStyle name="c_Bal Sheets" xfId="103" xr:uid="{00000000-0005-0000-0000-000066000000}"/>
    <cellStyle name="c_Credit (2)" xfId="104" xr:uid="{00000000-0005-0000-0000-000067000000}"/>
    <cellStyle name="c_Earnings" xfId="105" xr:uid="{00000000-0005-0000-0000-000068000000}"/>
    <cellStyle name="c_Earnings (2)" xfId="106" xr:uid="{00000000-0005-0000-0000-000069000000}"/>
    <cellStyle name="c_finsumm" xfId="107" xr:uid="{00000000-0005-0000-0000-00006A000000}"/>
    <cellStyle name="c_GoroWipTax-to2050_fromCo_Oct21_99" xfId="108" xr:uid="{00000000-0005-0000-0000-00006B000000}"/>
    <cellStyle name="c_HardInc " xfId="109" xr:uid="{00000000-0005-0000-0000-00006C000000}"/>
    <cellStyle name="c_Hist Inputs (2)" xfId="110" xr:uid="{00000000-0005-0000-0000-00006D000000}"/>
    <cellStyle name="c_IEL_finsumm" xfId="111" xr:uid="{00000000-0005-0000-0000-00006E000000}"/>
    <cellStyle name="c_IEL_finsumm1" xfId="112" xr:uid="{00000000-0005-0000-0000-00006F000000}"/>
    <cellStyle name="c_LBO Summary" xfId="113" xr:uid="{00000000-0005-0000-0000-000070000000}"/>
    <cellStyle name="c_Schedules" xfId="114" xr:uid="{00000000-0005-0000-0000-000071000000}"/>
    <cellStyle name="c_Trans Assump (2)" xfId="115" xr:uid="{00000000-0005-0000-0000-000072000000}"/>
    <cellStyle name="c_Unit Price Sen. (2)" xfId="116" xr:uid="{00000000-0005-0000-0000-000073000000}"/>
    <cellStyle name="Ç¥ÁØ_¿ù°£¿ä¾àº¸°í" xfId="117" xr:uid="{00000000-0005-0000-0000-000074000000}"/>
    <cellStyle name="C00A" xfId="118" xr:uid="{00000000-0005-0000-0000-000075000000}"/>
    <cellStyle name="C00B" xfId="119" xr:uid="{00000000-0005-0000-0000-000076000000}"/>
    <cellStyle name="C00L" xfId="120" xr:uid="{00000000-0005-0000-0000-000077000000}"/>
    <cellStyle name="C01A" xfId="121" xr:uid="{00000000-0005-0000-0000-000078000000}"/>
    <cellStyle name="C01B" xfId="122" xr:uid="{00000000-0005-0000-0000-000079000000}"/>
    <cellStyle name="C01H" xfId="123" xr:uid="{00000000-0005-0000-0000-00007A000000}"/>
    <cellStyle name="C01L" xfId="124" xr:uid="{00000000-0005-0000-0000-00007B000000}"/>
    <cellStyle name="C02A" xfId="125" xr:uid="{00000000-0005-0000-0000-00007C000000}"/>
    <cellStyle name="C02B" xfId="126" xr:uid="{00000000-0005-0000-0000-00007D000000}"/>
    <cellStyle name="C02H" xfId="127" xr:uid="{00000000-0005-0000-0000-00007E000000}"/>
    <cellStyle name="C02L" xfId="128" xr:uid="{00000000-0005-0000-0000-00007F000000}"/>
    <cellStyle name="C03A" xfId="129" xr:uid="{00000000-0005-0000-0000-000080000000}"/>
    <cellStyle name="C03B" xfId="130" xr:uid="{00000000-0005-0000-0000-000081000000}"/>
    <cellStyle name="C03H" xfId="131" xr:uid="{00000000-0005-0000-0000-000082000000}"/>
    <cellStyle name="C03L" xfId="132" xr:uid="{00000000-0005-0000-0000-000083000000}"/>
    <cellStyle name="C04A" xfId="133" xr:uid="{00000000-0005-0000-0000-000084000000}"/>
    <cellStyle name="C04B" xfId="134" xr:uid="{00000000-0005-0000-0000-000085000000}"/>
    <cellStyle name="C04H" xfId="135" xr:uid="{00000000-0005-0000-0000-000086000000}"/>
    <cellStyle name="C04L" xfId="136" xr:uid="{00000000-0005-0000-0000-000087000000}"/>
    <cellStyle name="C05A" xfId="137" xr:uid="{00000000-0005-0000-0000-000088000000}"/>
    <cellStyle name="C05B" xfId="138" xr:uid="{00000000-0005-0000-0000-000089000000}"/>
    <cellStyle name="C05H" xfId="139" xr:uid="{00000000-0005-0000-0000-00008A000000}"/>
    <cellStyle name="C05L" xfId="140" xr:uid="{00000000-0005-0000-0000-00008B000000}"/>
    <cellStyle name="C06A" xfId="141" xr:uid="{00000000-0005-0000-0000-00008C000000}"/>
    <cellStyle name="C06B" xfId="142" xr:uid="{00000000-0005-0000-0000-00008D000000}"/>
    <cellStyle name="C06H" xfId="143" xr:uid="{00000000-0005-0000-0000-00008E000000}"/>
    <cellStyle name="C06L" xfId="144" xr:uid="{00000000-0005-0000-0000-00008F000000}"/>
    <cellStyle name="C07A" xfId="145" xr:uid="{00000000-0005-0000-0000-000090000000}"/>
    <cellStyle name="C07B" xfId="146" xr:uid="{00000000-0005-0000-0000-000091000000}"/>
    <cellStyle name="C07H" xfId="147" xr:uid="{00000000-0005-0000-0000-000092000000}"/>
    <cellStyle name="C07L" xfId="148" xr:uid="{00000000-0005-0000-0000-000093000000}"/>
    <cellStyle name="Calc Currency (0)" xfId="149" xr:uid="{00000000-0005-0000-0000-000094000000}"/>
    <cellStyle name="CalcInput" xfId="150" xr:uid="{00000000-0005-0000-0000-000095000000}"/>
    <cellStyle name="Calcs" xfId="151" xr:uid="{00000000-0005-0000-0000-000096000000}"/>
    <cellStyle name="column Head Underlined" xfId="152" xr:uid="{00000000-0005-0000-0000-000097000000}"/>
    <cellStyle name="Column Heading" xfId="153" xr:uid="{00000000-0005-0000-0000-000098000000}"/>
    <cellStyle name="Comma" xfId="154" builtinId="3"/>
    <cellStyle name="Comma  - Style1" xfId="155" xr:uid="{00000000-0005-0000-0000-00009A000000}"/>
    <cellStyle name="Comma  - Style2" xfId="156" xr:uid="{00000000-0005-0000-0000-00009B000000}"/>
    <cellStyle name="Comma  - Style3" xfId="157" xr:uid="{00000000-0005-0000-0000-00009C000000}"/>
    <cellStyle name="Comma  - Style4" xfId="158" xr:uid="{00000000-0005-0000-0000-00009D000000}"/>
    <cellStyle name="Comma  - Style5" xfId="159" xr:uid="{00000000-0005-0000-0000-00009E000000}"/>
    <cellStyle name="Comma  - Style6" xfId="160" xr:uid="{00000000-0005-0000-0000-00009F000000}"/>
    <cellStyle name="Comma  - Style7" xfId="161" xr:uid="{00000000-0005-0000-0000-0000A0000000}"/>
    <cellStyle name="Comma  - Style8" xfId="162" xr:uid="{00000000-0005-0000-0000-0000A1000000}"/>
    <cellStyle name="Comma (0)" xfId="163" xr:uid="{00000000-0005-0000-0000-0000A2000000}"/>
    <cellStyle name="Comma [0]" xfId="164" builtinId="6"/>
    <cellStyle name="Comma [1]" xfId="165" xr:uid="{00000000-0005-0000-0000-0000A4000000}"/>
    <cellStyle name="Comma [2]" xfId="166" xr:uid="{00000000-0005-0000-0000-0000A5000000}"/>
    <cellStyle name="Comma [3]" xfId="167" xr:uid="{00000000-0005-0000-0000-0000A6000000}"/>
    <cellStyle name="Comma 0" xfId="168" xr:uid="{00000000-0005-0000-0000-0000A7000000}"/>
    <cellStyle name="Comma 0*" xfId="169" xr:uid="{00000000-0005-0000-0000-0000A8000000}"/>
    <cellStyle name="Comma 0_Model_Sep_2_02" xfId="170" xr:uid="{00000000-0005-0000-0000-0000A9000000}"/>
    <cellStyle name="Comma 2" xfId="171" xr:uid="{00000000-0005-0000-0000-0000AA000000}"/>
    <cellStyle name="Comma 2 2" xfId="172" xr:uid="{00000000-0005-0000-0000-0000AB000000}"/>
    <cellStyle name="Comma 2*" xfId="173" xr:uid="{00000000-0005-0000-0000-0000AC000000}"/>
    <cellStyle name="Comma 2_Model_Sep_2_02" xfId="174" xr:uid="{00000000-0005-0000-0000-0000AD000000}"/>
    <cellStyle name="Comma 3" xfId="175" xr:uid="{00000000-0005-0000-0000-0000AE000000}"/>
    <cellStyle name="Comma 3 2" xfId="176" xr:uid="{00000000-0005-0000-0000-0000AF000000}"/>
    <cellStyle name="Comma 3*" xfId="177" xr:uid="{00000000-0005-0000-0000-0000B0000000}"/>
    <cellStyle name="Comma 4" xfId="178" xr:uid="{00000000-0005-0000-0000-0000B1000000}"/>
    <cellStyle name="Comma 5" xfId="179" xr:uid="{00000000-0005-0000-0000-0000B2000000}"/>
    <cellStyle name="Comma 6" xfId="180" xr:uid="{00000000-0005-0000-0000-0000B3000000}"/>
    <cellStyle name="Comma*" xfId="181" xr:uid="{00000000-0005-0000-0000-0000B4000000}"/>
    <cellStyle name="comma[0]" xfId="182" xr:uid="{00000000-0005-0000-0000-0000B5000000}"/>
    <cellStyle name="Comma0" xfId="183" xr:uid="{00000000-0005-0000-0000-0000B6000000}"/>
    <cellStyle name="CompanyName" xfId="184" xr:uid="{00000000-0005-0000-0000-0000B7000000}"/>
    <cellStyle name="Config Data" xfId="185" xr:uid="{00000000-0005-0000-0000-0000B8000000}"/>
    <cellStyle name="Copied" xfId="186" xr:uid="{00000000-0005-0000-0000-0000B9000000}"/>
    <cellStyle name="Copy0_" xfId="187" xr:uid="{00000000-0005-0000-0000-0000BA000000}"/>
    <cellStyle name="Copy1_" xfId="188" xr:uid="{00000000-0005-0000-0000-0000BB000000}"/>
    <cellStyle name="Copy2_" xfId="189" xr:uid="{00000000-0005-0000-0000-0000BC000000}"/>
    <cellStyle name="Currency" xfId="190" builtinId="4"/>
    <cellStyle name="Currency [0.00]" xfId="191" xr:uid="{00000000-0005-0000-0000-0000BE000000}"/>
    <cellStyle name="Currency 0" xfId="192" xr:uid="{00000000-0005-0000-0000-0000BF000000}"/>
    <cellStyle name="Currency 2" xfId="193" xr:uid="{00000000-0005-0000-0000-0000C0000000}"/>
    <cellStyle name="Currency 2 2" xfId="194" xr:uid="{00000000-0005-0000-0000-0000C1000000}"/>
    <cellStyle name="Currency 2*" xfId="195" xr:uid="{00000000-0005-0000-0000-0000C2000000}"/>
    <cellStyle name="Currency 2_Model_Sep_2_02" xfId="196" xr:uid="{00000000-0005-0000-0000-0000C3000000}"/>
    <cellStyle name="Currency 3" xfId="197" xr:uid="{00000000-0005-0000-0000-0000C4000000}"/>
    <cellStyle name="Currency 3 2" xfId="198" xr:uid="{00000000-0005-0000-0000-0000C5000000}"/>
    <cellStyle name="Currency 3*" xfId="199" xr:uid="{00000000-0005-0000-0000-0000C6000000}"/>
    <cellStyle name="Currency 4" xfId="200" xr:uid="{00000000-0005-0000-0000-0000C7000000}"/>
    <cellStyle name="Currency*" xfId="201" xr:uid="{00000000-0005-0000-0000-0000C8000000}"/>
    <cellStyle name="Currency0" xfId="202" xr:uid="{00000000-0005-0000-0000-0000C9000000}"/>
    <cellStyle name="Dash" xfId="203" xr:uid="{00000000-0005-0000-0000-0000CA000000}"/>
    <cellStyle name="Date" xfId="204" xr:uid="{00000000-0005-0000-0000-0000CB000000}"/>
    <cellStyle name="Date Aligned" xfId="205" xr:uid="{00000000-0005-0000-0000-0000CC000000}"/>
    <cellStyle name="Date Aligned*" xfId="206" xr:uid="{00000000-0005-0000-0000-0000CD000000}"/>
    <cellStyle name="Date Aligned_Model_Sep_2_02" xfId="207" xr:uid="{00000000-0005-0000-0000-0000CE000000}"/>
    <cellStyle name="Date_1 1 OFTO t2 v0 2 (IBA def tax)" xfId="208" xr:uid="{00000000-0005-0000-0000-0000CF000000}"/>
    <cellStyle name="Dec places 0" xfId="209" xr:uid="{00000000-0005-0000-0000-0000D0000000}"/>
    <cellStyle name="Dec places 1, millions" xfId="210" xr:uid="{00000000-0005-0000-0000-0000D1000000}"/>
    <cellStyle name="Dec places 2" xfId="211" xr:uid="{00000000-0005-0000-0000-0000D2000000}"/>
    <cellStyle name="Dec places 2, millions" xfId="212" xr:uid="{00000000-0005-0000-0000-0000D3000000}"/>
    <cellStyle name="Dezimal [0]_Compiling Utility Macros" xfId="213" xr:uid="{00000000-0005-0000-0000-0000D4000000}"/>
    <cellStyle name="Dezimal_Compiling Utility Macros" xfId="214" xr:uid="{00000000-0005-0000-0000-0000D5000000}"/>
    <cellStyle name="dollar" xfId="215" xr:uid="{00000000-0005-0000-0000-0000D6000000}"/>
    <cellStyle name="dollar[0]" xfId="216" xr:uid="{00000000-0005-0000-0000-0000D7000000}"/>
    <cellStyle name="dollar_Model_Sep_2_02" xfId="217" xr:uid="{00000000-0005-0000-0000-0000D8000000}"/>
    <cellStyle name="Dotted Line" xfId="218" xr:uid="{00000000-0005-0000-0000-0000D9000000}"/>
    <cellStyle name="DP 0, no commas" xfId="219" xr:uid="{00000000-0005-0000-0000-0000DA000000}"/>
    <cellStyle name="Emphasis 1" xfId="220" xr:uid="{00000000-0005-0000-0000-0000DB000000}"/>
    <cellStyle name="Emphasis 2" xfId="221" xr:uid="{00000000-0005-0000-0000-0000DC000000}"/>
    <cellStyle name="Emphasis 3" xfId="222" xr:uid="{00000000-0005-0000-0000-0000DD000000}"/>
    <cellStyle name="Entered" xfId="223" xr:uid="{00000000-0005-0000-0000-0000DE000000}"/>
    <cellStyle name="Euro" xfId="224" xr:uid="{00000000-0005-0000-0000-0000DF000000}"/>
    <cellStyle name="EYBlocked" xfId="225" xr:uid="{00000000-0005-0000-0000-0000E0000000}"/>
    <cellStyle name="EYCallUp" xfId="226" xr:uid="{00000000-0005-0000-0000-0000E1000000}"/>
    <cellStyle name="EYCheck" xfId="227" xr:uid="{00000000-0005-0000-0000-0000E2000000}"/>
    <cellStyle name="EYDate" xfId="228" xr:uid="{00000000-0005-0000-0000-0000E3000000}"/>
    <cellStyle name="EYDeviant" xfId="229" xr:uid="{00000000-0005-0000-0000-0000E4000000}"/>
    <cellStyle name="EYHeader1" xfId="230" xr:uid="{00000000-0005-0000-0000-0000E5000000}"/>
    <cellStyle name="EYHeader2" xfId="231" xr:uid="{00000000-0005-0000-0000-0000E6000000}"/>
    <cellStyle name="EYHeader3" xfId="232" xr:uid="{00000000-0005-0000-0000-0000E7000000}"/>
    <cellStyle name="EYInputDate" xfId="233" xr:uid="{00000000-0005-0000-0000-0000E8000000}"/>
    <cellStyle name="EYInputPercent" xfId="234" xr:uid="{00000000-0005-0000-0000-0000E9000000}"/>
    <cellStyle name="EYInputValue" xfId="235" xr:uid="{00000000-0005-0000-0000-0000EA000000}"/>
    <cellStyle name="EYNormal" xfId="236" xr:uid="{00000000-0005-0000-0000-0000EB000000}"/>
    <cellStyle name="EYPercent" xfId="237" xr:uid="{00000000-0005-0000-0000-0000EC000000}"/>
    <cellStyle name="EYPercentCapped" xfId="238" xr:uid="{00000000-0005-0000-0000-0000ED000000}"/>
    <cellStyle name="EYSubTotal" xfId="239" xr:uid="{00000000-0005-0000-0000-0000EE000000}"/>
    <cellStyle name="EYTotal" xfId="240" xr:uid="{00000000-0005-0000-0000-0000EF000000}"/>
    <cellStyle name="EYWIP" xfId="241" xr:uid="{00000000-0005-0000-0000-0000F0000000}"/>
    <cellStyle name="Fixed" xfId="242" xr:uid="{00000000-0005-0000-0000-0000F1000000}"/>
    <cellStyle name="FOOTER - Style1" xfId="243" xr:uid="{00000000-0005-0000-0000-0000F2000000}"/>
    <cellStyle name="Footnote" xfId="244" xr:uid="{00000000-0005-0000-0000-0000F3000000}"/>
    <cellStyle name="FORECAST" xfId="245" xr:uid="{00000000-0005-0000-0000-0000F4000000}"/>
    <cellStyle name="From" xfId="246" xr:uid="{00000000-0005-0000-0000-0000F5000000}"/>
    <cellStyle name="General" xfId="247" xr:uid="{00000000-0005-0000-0000-0000F6000000}"/>
    <cellStyle name="Grey" xfId="248" xr:uid="{00000000-0005-0000-0000-0000F7000000}"/>
    <cellStyle name="Hard Percent" xfId="249" xr:uid="{00000000-0005-0000-0000-0000F8000000}"/>
    <cellStyle name="Header" xfId="250" xr:uid="{00000000-0005-0000-0000-0000F9000000}"/>
    <cellStyle name="Header1" xfId="251" xr:uid="{00000000-0005-0000-0000-0000FA000000}"/>
    <cellStyle name="Header2" xfId="252" xr:uid="{00000000-0005-0000-0000-0000FB000000}"/>
    <cellStyle name="Heading 1" xfId="253" builtinId="16" customBuiltin="1"/>
    <cellStyle name="Heading 2" xfId="254" builtinId="17" customBuiltin="1"/>
    <cellStyle name="Heading1" xfId="255" xr:uid="{00000000-0005-0000-0000-0000FE000000}"/>
    <cellStyle name="Heading2" xfId="256" xr:uid="{00000000-0005-0000-0000-0000FF000000}"/>
    <cellStyle name="HEADINGS" xfId="257" xr:uid="{00000000-0005-0000-0000-000000010000}"/>
    <cellStyle name="HIGHLIGHT" xfId="258" xr:uid="{00000000-0005-0000-0000-000001010000}"/>
    <cellStyle name="Hyperlink" xfId="259" builtinId="8"/>
    <cellStyle name="Incomplete" xfId="260" xr:uid="{00000000-0005-0000-0000-000003010000}"/>
    <cellStyle name="Input [yellow]" xfId="261" xr:uid="{00000000-0005-0000-0000-000004010000}"/>
    <cellStyle name="InputBlueFont" xfId="262" xr:uid="{00000000-0005-0000-0000-000005010000}"/>
    <cellStyle name="InputData" xfId="263" xr:uid="{00000000-0005-0000-0000-000006010000}"/>
    <cellStyle name="InputNegative" xfId="264" xr:uid="{00000000-0005-0000-0000-000007010000}"/>
    <cellStyle name="Integer" xfId="265" xr:uid="{00000000-0005-0000-0000-000008010000}"/>
    <cellStyle name="MACRO" xfId="266" xr:uid="{00000000-0005-0000-0000-000009010000}"/>
    <cellStyle name="Main Heading" xfId="267" xr:uid="{00000000-0005-0000-0000-00000A010000}"/>
    <cellStyle name="Main Title" xfId="268" xr:uid="{00000000-0005-0000-0000-00000B010000}"/>
    <cellStyle name="MAND_x000a_CHECK.COMMAND_x000e_RENAME.COMMAND_x0008_SHOW.BAR_x000b_DELETE.MENU_x000e_DELETE.COMMAND_x000e_GET.CHA" xfId="269" xr:uid="{00000000-0005-0000-0000-00000C010000}"/>
    <cellStyle name="Model" xfId="270" xr:uid="{00000000-0005-0000-0000-00000D010000}"/>
    <cellStyle name="mult" xfId="271" xr:uid="{00000000-0005-0000-0000-00000E010000}"/>
    <cellStyle name="Multiple" xfId="272" xr:uid="{00000000-0005-0000-0000-00000F010000}"/>
    <cellStyle name="MultipleBelow" xfId="273" xr:uid="{00000000-0005-0000-0000-000010010000}"/>
    <cellStyle name="NGBlocked" xfId="274" xr:uid="{00000000-0005-0000-0000-000011010000}"/>
    <cellStyle name="NGCallUp" xfId="275" xr:uid="{00000000-0005-0000-0000-000012010000}"/>
    <cellStyle name="NGCheck" xfId="276" xr:uid="{00000000-0005-0000-0000-000013010000}"/>
    <cellStyle name="NGDate" xfId="277" xr:uid="{00000000-0005-0000-0000-000014010000}"/>
    <cellStyle name="NGDeviant" xfId="278" xr:uid="{00000000-0005-0000-0000-000015010000}"/>
    <cellStyle name="NGHeader1" xfId="279" xr:uid="{00000000-0005-0000-0000-000016010000}"/>
    <cellStyle name="NGHeader2" xfId="280" xr:uid="{00000000-0005-0000-0000-000017010000}"/>
    <cellStyle name="NGHeader3" xfId="281" xr:uid="{00000000-0005-0000-0000-000018010000}"/>
    <cellStyle name="NGInputDate" xfId="282" xr:uid="{00000000-0005-0000-0000-000019010000}"/>
    <cellStyle name="NGInputPercent" xfId="283" xr:uid="{00000000-0005-0000-0000-00001A010000}"/>
    <cellStyle name="NGInputValue" xfId="284" xr:uid="{00000000-0005-0000-0000-00001B010000}"/>
    <cellStyle name="NGNormal" xfId="285" xr:uid="{00000000-0005-0000-0000-00001C010000}"/>
    <cellStyle name="NGPercent" xfId="286" xr:uid="{00000000-0005-0000-0000-00001D010000}"/>
    <cellStyle name="NGPercentCapped" xfId="287" xr:uid="{00000000-0005-0000-0000-00001E010000}"/>
    <cellStyle name="NGSubTotal" xfId="288" xr:uid="{00000000-0005-0000-0000-00001F010000}"/>
    <cellStyle name="NGTotal" xfId="289" xr:uid="{00000000-0005-0000-0000-000020010000}"/>
    <cellStyle name="NGWIP" xfId="290" xr:uid="{00000000-0005-0000-0000-000021010000}"/>
    <cellStyle name="no dec" xfId="291" xr:uid="{00000000-0005-0000-0000-000022010000}"/>
    <cellStyle name="Normal" xfId="0" builtinId="0"/>
    <cellStyle name="Normal - Style1" xfId="292" xr:uid="{00000000-0005-0000-0000-000024010000}"/>
    <cellStyle name="Normal (0)" xfId="293" xr:uid="{00000000-0005-0000-0000-000025010000}"/>
    <cellStyle name="Normal (0) U" xfId="294" xr:uid="{00000000-0005-0000-0000-000026010000}"/>
    <cellStyle name="Normal (0) UD" xfId="295" xr:uid="{00000000-0005-0000-0000-000027010000}"/>
    <cellStyle name="Normal (1)" xfId="296" xr:uid="{00000000-0005-0000-0000-000028010000}"/>
    <cellStyle name="Normal (2)" xfId="297" xr:uid="{00000000-0005-0000-0000-000029010000}"/>
    <cellStyle name="Normal (3)" xfId="298" xr:uid="{00000000-0005-0000-0000-00002A010000}"/>
    <cellStyle name="Normal 2" xfId="299" xr:uid="{00000000-0005-0000-0000-00002B010000}"/>
    <cellStyle name="Normal 3" xfId="300" xr:uid="{00000000-0005-0000-0000-00002C010000}"/>
    <cellStyle name="Normal 3 2" xfId="301" xr:uid="{00000000-0005-0000-0000-00002D010000}"/>
    <cellStyle name="Normal 3_Attach O, GG, Support -New Method 2-14-11" xfId="302" xr:uid="{00000000-0005-0000-0000-00002E010000}"/>
    <cellStyle name="Normal 4" xfId="303" xr:uid="{00000000-0005-0000-0000-00002F010000}"/>
    <cellStyle name="Normal 4 2" xfId="304" xr:uid="{00000000-0005-0000-0000-000030010000}"/>
    <cellStyle name="Normal 5" xfId="305" xr:uid="{00000000-0005-0000-0000-000031010000}"/>
    <cellStyle name="Normal 5 2" xfId="306" xr:uid="{00000000-0005-0000-0000-000032010000}"/>
    <cellStyle name="Normal 6" xfId="307" xr:uid="{00000000-0005-0000-0000-000033010000}"/>
    <cellStyle name="Normal 6 2" xfId="308" xr:uid="{00000000-0005-0000-0000-000034010000}"/>
    <cellStyle name="Normal 7" xfId="309" xr:uid="{00000000-0005-0000-0000-000035010000}"/>
    <cellStyle name="Normal 8" xfId="310" xr:uid="{00000000-0005-0000-0000-000036010000}"/>
    <cellStyle name="Normal dotted under" xfId="311" xr:uid="{00000000-0005-0000-0000-000037010000}"/>
    <cellStyle name="Normal U" xfId="312" xr:uid="{00000000-0005-0000-0000-000038010000}"/>
    <cellStyle name="Normal_21 Exh B" xfId="313" xr:uid="{00000000-0005-0000-0000-000039010000}"/>
    <cellStyle name="Normal_Attachment Os for 2002 True-up" xfId="314" xr:uid="{00000000-0005-0000-0000-00003A010000}"/>
    <cellStyle name="Normal_Duquesne Settled Fromula 10-3-07" xfId="315" xr:uid="{00000000-0005-0000-0000-00003B010000}"/>
    <cellStyle name="Normal3d" xfId="316" xr:uid="{00000000-0005-0000-0000-00003C010000}"/>
    <cellStyle name="NormalGB" xfId="317" xr:uid="{00000000-0005-0000-0000-00003D010000}"/>
    <cellStyle name="Number" xfId="318" xr:uid="{00000000-0005-0000-0000-00003E010000}"/>
    <cellStyle name="Output Amounts" xfId="319" xr:uid="{00000000-0005-0000-0000-00003F010000}"/>
    <cellStyle name="Output Column Headings" xfId="320" xr:uid="{00000000-0005-0000-0000-000040010000}"/>
    <cellStyle name="Output Line Items" xfId="321" xr:uid="{00000000-0005-0000-0000-000041010000}"/>
    <cellStyle name="Output Report Heading" xfId="322" xr:uid="{00000000-0005-0000-0000-000042010000}"/>
    <cellStyle name="Output Report Title" xfId="323" xr:uid="{00000000-0005-0000-0000-000043010000}"/>
    <cellStyle name="Output1_Back" xfId="324" xr:uid="{00000000-0005-0000-0000-000044010000}"/>
    <cellStyle name="Page Number" xfId="325" xr:uid="{00000000-0005-0000-0000-000045010000}"/>
    <cellStyle name="PAGE6" xfId="326" xr:uid="{00000000-0005-0000-0000-000046010000}"/>
    <cellStyle name="Percent" xfId="327" builtinId="5"/>
    <cellStyle name="Percent [2]" xfId="328" xr:uid="{00000000-0005-0000-0000-000048010000}"/>
    <cellStyle name="Percent 2" xfId="329" xr:uid="{00000000-0005-0000-0000-000049010000}"/>
    <cellStyle name="Percent 2 2" xfId="330" xr:uid="{00000000-0005-0000-0000-00004A010000}"/>
    <cellStyle name="Percent 2 DP" xfId="331" xr:uid="{00000000-0005-0000-0000-00004B010000}"/>
    <cellStyle name="Percent 3" xfId="332" xr:uid="{00000000-0005-0000-0000-00004C010000}"/>
    <cellStyle name="Percent 3 2" xfId="333" xr:uid="{00000000-0005-0000-0000-00004D010000}"/>
    <cellStyle name="Percent 4" xfId="334" xr:uid="{00000000-0005-0000-0000-00004E010000}"/>
    <cellStyle name="Percent 5" xfId="335" xr:uid="{00000000-0005-0000-0000-00004F010000}"/>
    <cellStyle name="Percent Input" xfId="336" xr:uid="{00000000-0005-0000-0000-000050010000}"/>
    <cellStyle name="Percent(0)" xfId="337" xr:uid="{00000000-0005-0000-0000-000051010000}"/>
    <cellStyle name="Percent(1)" xfId="338" xr:uid="{00000000-0005-0000-0000-000052010000}"/>
    <cellStyle name="Percent(2)" xfId="339" xr:uid="{00000000-0005-0000-0000-000053010000}"/>
    <cellStyle name="Percent*" xfId="340" xr:uid="{00000000-0005-0000-0000-000054010000}"/>
    <cellStyle name="Percent[1]" xfId="341" xr:uid="{00000000-0005-0000-0000-000055010000}"/>
    <cellStyle name="Percent[2]" xfId="342" xr:uid="{00000000-0005-0000-0000-000056010000}"/>
    <cellStyle name="Percent[2D]" xfId="343" xr:uid="{00000000-0005-0000-0000-000057010000}"/>
    <cellStyle name="PROTECTED" xfId="344" xr:uid="{00000000-0005-0000-0000-000058010000}"/>
    <cellStyle name="PSChar" xfId="345" xr:uid="{00000000-0005-0000-0000-000059010000}"/>
    <cellStyle name="PSDate" xfId="346" xr:uid="{00000000-0005-0000-0000-00005A010000}"/>
    <cellStyle name="PSDec" xfId="347" xr:uid="{00000000-0005-0000-0000-00005B010000}"/>
    <cellStyle name="PSdesc" xfId="348" xr:uid="{00000000-0005-0000-0000-00005C010000}"/>
    <cellStyle name="PSHeading" xfId="349" xr:uid="{00000000-0005-0000-0000-00005D010000}"/>
    <cellStyle name="PSInt" xfId="350" xr:uid="{00000000-0005-0000-0000-00005E010000}"/>
    <cellStyle name="PSSpacer" xfId="351" xr:uid="{00000000-0005-0000-0000-00005F010000}"/>
    <cellStyle name="PStest" xfId="352" xr:uid="{00000000-0005-0000-0000-000060010000}"/>
    <cellStyle name="R00A" xfId="353" xr:uid="{00000000-0005-0000-0000-000061010000}"/>
    <cellStyle name="R00B" xfId="354" xr:uid="{00000000-0005-0000-0000-000062010000}"/>
    <cellStyle name="R00L" xfId="355" xr:uid="{00000000-0005-0000-0000-000063010000}"/>
    <cellStyle name="R01A" xfId="356" xr:uid="{00000000-0005-0000-0000-000064010000}"/>
    <cellStyle name="R01B" xfId="357" xr:uid="{00000000-0005-0000-0000-000065010000}"/>
    <cellStyle name="R01H" xfId="358" xr:uid="{00000000-0005-0000-0000-000066010000}"/>
    <cellStyle name="R01L" xfId="359" xr:uid="{00000000-0005-0000-0000-000067010000}"/>
    <cellStyle name="R02A" xfId="360" xr:uid="{00000000-0005-0000-0000-000068010000}"/>
    <cellStyle name="R02B" xfId="361" xr:uid="{00000000-0005-0000-0000-000069010000}"/>
    <cellStyle name="R02H" xfId="362" xr:uid="{00000000-0005-0000-0000-00006A010000}"/>
    <cellStyle name="R02L" xfId="363" xr:uid="{00000000-0005-0000-0000-00006B010000}"/>
    <cellStyle name="R03A" xfId="364" xr:uid="{00000000-0005-0000-0000-00006C010000}"/>
    <cellStyle name="R03B" xfId="365" xr:uid="{00000000-0005-0000-0000-00006D010000}"/>
    <cellStyle name="R03H" xfId="366" xr:uid="{00000000-0005-0000-0000-00006E010000}"/>
    <cellStyle name="R03L" xfId="367" xr:uid="{00000000-0005-0000-0000-00006F010000}"/>
    <cellStyle name="R04A" xfId="368" xr:uid="{00000000-0005-0000-0000-000070010000}"/>
    <cellStyle name="R04B" xfId="369" xr:uid="{00000000-0005-0000-0000-000071010000}"/>
    <cellStyle name="R04H" xfId="370" xr:uid="{00000000-0005-0000-0000-000072010000}"/>
    <cellStyle name="R04L" xfId="371" xr:uid="{00000000-0005-0000-0000-000073010000}"/>
    <cellStyle name="R05A" xfId="372" xr:uid="{00000000-0005-0000-0000-000074010000}"/>
    <cellStyle name="R05B" xfId="373" xr:uid="{00000000-0005-0000-0000-000075010000}"/>
    <cellStyle name="R05H" xfId="374" xr:uid="{00000000-0005-0000-0000-000076010000}"/>
    <cellStyle name="R05L" xfId="375" xr:uid="{00000000-0005-0000-0000-000077010000}"/>
    <cellStyle name="R06A" xfId="376" xr:uid="{00000000-0005-0000-0000-000078010000}"/>
    <cellStyle name="R06B" xfId="377" xr:uid="{00000000-0005-0000-0000-000079010000}"/>
    <cellStyle name="R06H" xfId="378" xr:uid="{00000000-0005-0000-0000-00007A010000}"/>
    <cellStyle name="R06L" xfId="379" xr:uid="{00000000-0005-0000-0000-00007B010000}"/>
    <cellStyle name="R07A" xfId="380" xr:uid="{00000000-0005-0000-0000-00007C010000}"/>
    <cellStyle name="R07B" xfId="381" xr:uid="{00000000-0005-0000-0000-00007D010000}"/>
    <cellStyle name="R07H" xfId="382" xr:uid="{00000000-0005-0000-0000-00007E010000}"/>
    <cellStyle name="R07L" xfId="383" xr:uid="{00000000-0005-0000-0000-00007F010000}"/>
    <cellStyle name="RangeName" xfId="384" xr:uid="{00000000-0005-0000-0000-000080010000}"/>
    <cellStyle name="RevList" xfId="385" xr:uid="{00000000-0005-0000-0000-000081010000}"/>
    <cellStyle name="s" xfId="386" xr:uid="{00000000-0005-0000-0000-000082010000}"/>
    <cellStyle name="s_B" xfId="387" xr:uid="{00000000-0005-0000-0000-000083010000}"/>
    <cellStyle name="s_Bal Sheets" xfId="388" xr:uid="{00000000-0005-0000-0000-000084010000}"/>
    <cellStyle name="s_Bal Sheets_1" xfId="389" xr:uid="{00000000-0005-0000-0000-000085010000}"/>
    <cellStyle name="s_Bal Sheets_2" xfId="390" xr:uid="{00000000-0005-0000-0000-000086010000}"/>
    <cellStyle name="s_Credit (2)" xfId="391" xr:uid="{00000000-0005-0000-0000-000087010000}"/>
    <cellStyle name="s_Credit (2)_1" xfId="392" xr:uid="{00000000-0005-0000-0000-000088010000}"/>
    <cellStyle name="s_Credit (2)_2" xfId="393" xr:uid="{00000000-0005-0000-0000-000089010000}"/>
    <cellStyle name="s_DCF Analysis for DPL" xfId="394" xr:uid="{00000000-0005-0000-0000-00008A010000}"/>
    <cellStyle name="s_DCF Matrix" xfId="395" xr:uid="{00000000-0005-0000-0000-00008B010000}"/>
    <cellStyle name="s_DCF Matrix_1" xfId="396" xr:uid="{00000000-0005-0000-0000-00008C010000}"/>
    <cellStyle name="s_DCFLBO Code" xfId="397" xr:uid="{00000000-0005-0000-0000-00008D010000}"/>
    <cellStyle name="s_DCFLBO Code_1" xfId="398" xr:uid="{00000000-0005-0000-0000-00008E010000}"/>
    <cellStyle name="s_DPL Valuation1022" xfId="399" xr:uid="{00000000-0005-0000-0000-00008F010000}"/>
    <cellStyle name="s_Earnings" xfId="400" xr:uid="{00000000-0005-0000-0000-000090010000}"/>
    <cellStyle name="s_Earnings (2)" xfId="401" xr:uid="{00000000-0005-0000-0000-000091010000}"/>
    <cellStyle name="s_Earnings (2)_1" xfId="402" xr:uid="{00000000-0005-0000-0000-000092010000}"/>
    <cellStyle name="s_Earnings_1" xfId="403" xr:uid="{00000000-0005-0000-0000-000093010000}"/>
    <cellStyle name="s_finsumm" xfId="404" xr:uid="{00000000-0005-0000-0000-000094010000}"/>
    <cellStyle name="s_finsumm_1" xfId="405" xr:uid="{00000000-0005-0000-0000-000095010000}"/>
    <cellStyle name="s_finsumm_2" xfId="406" xr:uid="{00000000-0005-0000-0000-000096010000}"/>
    <cellStyle name="s_GoroWipTax-to2050_fromCo_Oct21_99" xfId="407" xr:uid="{00000000-0005-0000-0000-000097010000}"/>
    <cellStyle name="s_HardInc " xfId="408" xr:uid="{00000000-0005-0000-0000-000098010000}"/>
    <cellStyle name="s_Hist Inputs (2)" xfId="409" xr:uid="{00000000-0005-0000-0000-000099010000}"/>
    <cellStyle name="s_Hist Inputs (2)_1" xfId="410" xr:uid="{00000000-0005-0000-0000-00009A010000}"/>
    <cellStyle name="s_IEL_finsumm" xfId="411" xr:uid="{00000000-0005-0000-0000-00009B010000}"/>
    <cellStyle name="s_IEL_finsumm_1" xfId="412" xr:uid="{00000000-0005-0000-0000-00009C010000}"/>
    <cellStyle name="s_IEL_finsumm_2" xfId="413" xr:uid="{00000000-0005-0000-0000-00009D010000}"/>
    <cellStyle name="s_IEL_finsumm1" xfId="414" xr:uid="{00000000-0005-0000-0000-00009E010000}"/>
    <cellStyle name="s_IEL_finsumm1_1" xfId="415" xr:uid="{00000000-0005-0000-0000-00009F010000}"/>
    <cellStyle name="s_IEL_finsumm1_2" xfId="416" xr:uid="{00000000-0005-0000-0000-0000A0010000}"/>
    <cellStyle name="s_Lbo" xfId="417" xr:uid="{00000000-0005-0000-0000-0000A1010000}"/>
    <cellStyle name="s_LBO Summary" xfId="418" xr:uid="{00000000-0005-0000-0000-0000A2010000}"/>
    <cellStyle name="s_LBO Summary_1" xfId="419" xr:uid="{00000000-0005-0000-0000-0000A3010000}"/>
    <cellStyle name="s_LBO Summary_2" xfId="420" xr:uid="{00000000-0005-0000-0000-0000A4010000}"/>
    <cellStyle name="s_Lbo_1" xfId="421" xr:uid="{00000000-0005-0000-0000-0000A5010000}"/>
    <cellStyle name="s_rvr_analysis_andrew" xfId="422" xr:uid="{00000000-0005-0000-0000-0000A6010000}"/>
    <cellStyle name="s_Schedules" xfId="423" xr:uid="{00000000-0005-0000-0000-0000A7010000}"/>
    <cellStyle name="s_Schedules_1" xfId="424" xr:uid="{00000000-0005-0000-0000-0000A8010000}"/>
    <cellStyle name="s_Trans Assump" xfId="425" xr:uid="{00000000-0005-0000-0000-0000A9010000}"/>
    <cellStyle name="s_Trans Assump (2)" xfId="426" xr:uid="{00000000-0005-0000-0000-0000AA010000}"/>
    <cellStyle name="s_Trans Assump (2)_1" xfId="427" xr:uid="{00000000-0005-0000-0000-0000AB010000}"/>
    <cellStyle name="s_Trans Assump_1" xfId="428" xr:uid="{00000000-0005-0000-0000-0000AC010000}"/>
    <cellStyle name="s_Trans Sum" xfId="429" xr:uid="{00000000-0005-0000-0000-0000AD010000}"/>
    <cellStyle name="s_Trans Sum_1" xfId="430" xr:uid="{00000000-0005-0000-0000-0000AE010000}"/>
    <cellStyle name="s_Unit Price Sen. (2)" xfId="431" xr:uid="{00000000-0005-0000-0000-0000AF010000}"/>
    <cellStyle name="s_Unit Price Sen. (2)_1" xfId="432" xr:uid="{00000000-0005-0000-0000-0000B0010000}"/>
    <cellStyle name="s_Unit Price Sen. (2)_2" xfId="433" xr:uid="{00000000-0005-0000-0000-0000B1010000}"/>
    <cellStyle name="Salomon Logo" xfId="434" xr:uid="{00000000-0005-0000-0000-0000B2010000}"/>
    <cellStyle name="SAPBEXaggData" xfId="435" xr:uid="{00000000-0005-0000-0000-0000B3010000}"/>
    <cellStyle name="SAPBEXaggDataEmph" xfId="436" xr:uid="{00000000-0005-0000-0000-0000B4010000}"/>
    <cellStyle name="SAPBEXaggItem" xfId="437" xr:uid="{00000000-0005-0000-0000-0000B5010000}"/>
    <cellStyle name="SAPBEXaggItemX" xfId="438" xr:uid="{00000000-0005-0000-0000-0000B6010000}"/>
    <cellStyle name="SAPBEXchaText" xfId="439" xr:uid="{00000000-0005-0000-0000-0000B7010000}"/>
    <cellStyle name="SAPBEXexcBad7" xfId="440" xr:uid="{00000000-0005-0000-0000-0000B8010000}"/>
    <cellStyle name="SAPBEXexcBad8" xfId="441" xr:uid="{00000000-0005-0000-0000-0000B9010000}"/>
    <cellStyle name="SAPBEXexcBad9" xfId="442" xr:uid="{00000000-0005-0000-0000-0000BA010000}"/>
    <cellStyle name="SAPBEXexcCritical4" xfId="443" xr:uid="{00000000-0005-0000-0000-0000BB010000}"/>
    <cellStyle name="SAPBEXexcCritical5" xfId="444" xr:uid="{00000000-0005-0000-0000-0000BC010000}"/>
    <cellStyle name="SAPBEXexcCritical6" xfId="445" xr:uid="{00000000-0005-0000-0000-0000BD010000}"/>
    <cellStyle name="SAPBEXexcGood1" xfId="446" xr:uid="{00000000-0005-0000-0000-0000BE010000}"/>
    <cellStyle name="SAPBEXexcGood2" xfId="447" xr:uid="{00000000-0005-0000-0000-0000BF010000}"/>
    <cellStyle name="SAPBEXexcGood3" xfId="448" xr:uid="{00000000-0005-0000-0000-0000C0010000}"/>
    <cellStyle name="SAPBEXfilterDrill" xfId="449" xr:uid="{00000000-0005-0000-0000-0000C1010000}"/>
    <cellStyle name="SAPBEXfilterItem" xfId="450" xr:uid="{00000000-0005-0000-0000-0000C2010000}"/>
    <cellStyle name="SAPBEXfilterText" xfId="451" xr:uid="{00000000-0005-0000-0000-0000C3010000}"/>
    <cellStyle name="SAPBEXformats" xfId="452" xr:uid="{00000000-0005-0000-0000-0000C4010000}"/>
    <cellStyle name="SAPBEXheaderItem" xfId="453" xr:uid="{00000000-0005-0000-0000-0000C5010000}"/>
    <cellStyle name="SAPBEXheaderText" xfId="454" xr:uid="{00000000-0005-0000-0000-0000C6010000}"/>
    <cellStyle name="SAPBEXHLevel0" xfId="455" xr:uid="{00000000-0005-0000-0000-0000C7010000}"/>
    <cellStyle name="SAPBEXHLevel0X" xfId="456" xr:uid="{00000000-0005-0000-0000-0000C8010000}"/>
    <cellStyle name="SAPBEXHLevel1" xfId="457" xr:uid="{00000000-0005-0000-0000-0000C9010000}"/>
    <cellStyle name="SAPBEXHLevel1X" xfId="458" xr:uid="{00000000-0005-0000-0000-0000CA010000}"/>
    <cellStyle name="SAPBEXHLevel2" xfId="459" xr:uid="{00000000-0005-0000-0000-0000CB010000}"/>
    <cellStyle name="SAPBEXHLevel2X" xfId="460" xr:uid="{00000000-0005-0000-0000-0000CC010000}"/>
    <cellStyle name="SAPBEXHLevel3" xfId="461" xr:uid="{00000000-0005-0000-0000-0000CD010000}"/>
    <cellStyle name="SAPBEXHLevel3X" xfId="462" xr:uid="{00000000-0005-0000-0000-0000CE010000}"/>
    <cellStyle name="SAPBEXinputData" xfId="463" xr:uid="{00000000-0005-0000-0000-0000CF010000}"/>
    <cellStyle name="SAPBEXItemHeader" xfId="464" xr:uid="{00000000-0005-0000-0000-0000D0010000}"/>
    <cellStyle name="SAPBEXresData" xfId="465" xr:uid="{00000000-0005-0000-0000-0000D1010000}"/>
    <cellStyle name="SAPBEXresDataEmph" xfId="466" xr:uid="{00000000-0005-0000-0000-0000D2010000}"/>
    <cellStyle name="SAPBEXresItem" xfId="467" xr:uid="{00000000-0005-0000-0000-0000D3010000}"/>
    <cellStyle name="SAPBEXresItemX" xfId="468" xr:uid="{00000000-0005-0000-0000-0000D4010000}"/>
    <cellStyle name="SAPBEXstdData" xfId="469" xr:uid="{00000000-0005-0000-0000-0000D5010000}"/>
    <cellStyle name="SAPBEXstdDataEmph" xfId="470" xr:uid="{00000000-0005-0000-0000-0000D6010000}"/>
    <cellStyle name="SAPBEXstdItem" xfId="471" xr:uid="{00000000-0005-0000-0000-0000D7010000}"/>
    <cellStyle name="SAPBEXstdItemX" xfId="472" xr:uid="{00000000-0005-0000-0000-0000D8010000}"/>
    <cellStyle name="SAPBEXtitle" xfId="473" xr:uid="{00000000-0005-0000-0000-0000D9010000}"/>
    <cellStyle name="SAPBEXunassignedItem" xfId="474" xr:uid="{00000000-0005-0000-0000-0000DA010000}"/>
    <cellStyle name="SAPBEXundefined" xfId="475" xr:uid="{00000000-0005-0000-0000-0000DB010000}"/>
    <cellStyle name="Sch_name" xfId="476" xr:uid="{00000000-0005-0000-0000-0000DC010000}"/>
    <cellStyle name="SECTION" xfId="477" xr:uid="{00000000-0005-0000-0000-0000DD010000}"/>
    <cellStyle name="Section Head" xfId="478" xr:uid="{00000000-0005-0000-0000-0000DE010000}"/>
    <cellStyle name="Separador de milhares_DADOS DO BALANCO" xfId="479" xr:uid="{00000000-0005-0000-0000-0000DF010000}"/>
    <cellStyle name="Shading" xfId="480" xr:uid="{00000000-0005-0000-0000-0000E0010000}"/>
    <cellStyle name="Sheet Header" xfId="481" xr:uid="{00000000-0005-0000-0000-0000E1010000}"/>
    <cellStyle name="Sheet Title" xfId="482" xr:uid="{00000000-0005-0000-0000-0000E2010000}"/>
    <cellStyle name="ShOut" xfId="483" xr:uid="{00000000-0005-0000-0000-0000E3010000}"/>
    <cellStyle name="sideways" xfId="484" xr:uid="{00000000-0005-0000-0000-0000E4010000}"/>
    <cellStyle name="SSN" xfId="485" xr:uid="{00000000-0005-0000-0000-0000E5010000}"/>
    <cellStyle name="Standaard_Blad1" xfId="486" xr:uid="{00000000-0005-0000-0000-0000E6010000}"/>
    <cellStyle name="Standard_Anpassen der Amortisation" xfId="487" xr:uid="{00000000-0005-0000-0000-0000E7010000}"/>
    <cellStyle name="Style 1" xfId="488" xr:uid="{00000000-0005-0000-0000-0000E8010000}"/>
    <cellStyle name="Style 2" xfId="489" xr:uid="{00000000-0005-0000-0000-0000E9010000}"/>
    <cellStyle name="Style 3" xfId="490" xr:uid="{00000000-0005-0000-0000-0000EA010000}"/>
    <cellStyle name="subhead" xfId="491" xr:uid="{00000000-0005-0000-0000-0000EB010000}"/>
    <cellStyle name="Subheading" xfId="492" xr:uid="{00000000-0005-0000-0000-0000EC010000}"/>
    <cellStyle name="Subtotal" xfId="493" xr:uid="{00000000-0005-0000-0000-0000ED010000}"/>
    <cellStyle name="Sub-total" xfId="494" xr:uid="{00000000-0005-0000-0000-0000EE010000}"/>
    <cellStyle name="swpBody01" xfId="495" xr:uid="{00000000-0005-0000-0000-0000EF010000}"/>
    <cellStyle name="System Defined" xfId="496" xr:uid="{00000000-0005-0000-0000-0000F0010000}"/>
    <cellStyle name="Table Head" xfId="497" xr:uid="{00000000-0005-0000-0000-0000F1010000}"/>
    <cellStyle name="Table Head Aligned" xfId="498" xr:uid="{00000000-0005-0000-0000-0000F2010000}"/>
    <cellStyle name="Table Head Blue" xfId="499" xr:uid="{00000000-0005-0000-0000-0000F3010000}"/>
    <cellStyle name="Table Head Green" xfId="500" xr:uid="{00000000-0005-0000-0000-0000F4010000}"/>
    <cellStyle name="Table Head_Val_Sum_Graph" xfId="501" xr:uid="{00000000-0005-0000-0000-0000F5010000}"/>
    <cellStyle name="Table Text" xfId="502" xr:uid="{00000000-0005-0000-0000-0000F6010000}"/>
    <cellStyle name="Table Title" xfId="503" xr:uid="{00000000-0005-0000-0000-0000F7010000}"/>
    <cellStyle name="Table Units" xfId="504" xr:uid="{00000000-0005-0000-0000-0000F8010000}"/>
    <cellStyle name="Table_Header" xfId="505" xr:uid="{00000000-0005-0000-0000-0000F9010000}"/>
    <cellStyle name="Text" xfId="506" xr:uid="{00000000-0005-0000-0000-0000FA010000}"/>
    <cellStyle name="Text 1" xfId="507" xr:uid="{00000000-0005-0000-0000-0000FB010000}"/>
    <cellStyle name="Text Head 1" xfId="508" xr:uid="{00000000-0005-0000-0000-0000FC010000}"/>
    <cellStyle name="Title Row" xfId="509" xr:uid="{00000000-0005-0000-0000-0000FD010000}"/>
    <cellStyle name="tons" xfId="510" xr:uid="{00000000-0005-0000-0000-0000FE010000}"/>
    <cellStyle name="Total" xfId="511" builtinId="25" customBuiltin="1"/>
    <cellStyle name="Total 1" xfId="512" xr:uid="{00000000-0005-0000-0000-000000020000}"/>
    <cellStyle name="Totals" xfId="513" xr:uid="{00000000-0005-0000-0000-000001020000}"/>
    <cellStyle name="Underline_Single" xfId="514" xr:uid="{00000000-0005-0000-0000-000002020000}"/>
    <cellStyle name="Unprot" xfId="515" xr:uid="{00000000-0005-0000-0000-000003020000}"/>
    <cellStyle name="Unprot$" xfId="516" xr:uid="{00000000-0005-0000-0000-000004020000}"/>
    <cellStyle name="Unprot_CurrencySKorea" xfId="517" xr:uid="{00000000-0005-0000-0000-000005020000}"/>
    <cellStyle name="Unprotect" xfId="518" xr:uid="{00000000-0005-0000-0000-000006020000}"/>
    <cellStyle name="UNPROTECTED" xfId="519" xr:uid="{00000000-0005-0000-0000-000007020000}"/>
    <cellStyle name="Währung [0]_Compiling Utility Macros" xfId="520" xr:uid="{00000000-0005-0000-0000-000008020000}"/>
    <cellStyle name="Währung_Compiling Utility Macros" xfId="521" xr:uid="{00000000-0005-0000-0000-000009020000}"/>
    <cellStyle name="Warning" xfId="522" xr:uid="{00000000-0005-0000-0000-00000A020000}"/>
    <cellStyle name="x" xfId="523" xr:uid="{00000000-0005-0000-0000-00000B020000}"/>
    <cellStyle name="year" xfId="524" xr:uid="{00000000-0005-0000-0000-00000C020000}"/>
    <cellStyle name="YEARS" xfId="525" xr:uid="{00000000-0005-0000-0000-00000D02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4</xdr:col>
      <xdr:colOff>504825</xdr:colOff>
      <xdr:row>8</xdr:row>
      <xdr:rowOff>9525</xdr:rowOff>
    </xdr:to>
    <xdr:pic>
      <xdr:nvPicPr>
        <xdr:cNvPr id="2073" name="Picture 17">
          <a:extLst>
            <a:ext uri="{FF2B5EF4-FFF2-40B4-BE49-F238E27FC236}">
              <a16:creationId xmlns:a16="http://schemas.microsoft.com/office/drawing/2014/main" id="{05A40E4B-FE18-B3A5-C5D1-32C063A6B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1371600"/>
          <a:ext cx="38100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17</xdr:row>
      <xdr:rowOff>66675</xdr:rowOff>
    </xdr:from>
    <xdr:to>
      <xdr:col>5</xdr:col>
      <xdr:colOff>85725</xdr:colOff>
      <xdr:row>20</xdr:row>
      <xdr:rowOff>247650</xdr:rowOff>
    </xdr:to>
    <xdr:pic>
      <xdr:nvPicPr>
        <xdr:cNvPr id="2074" name="Picture 19">
          <a:extLst>
            <a:ext uri="{FF2B5EF4-FFF2-40B4-BE49-F238E27FC236}">
              <a16:creationId xmlns:a16="http://schemas.microsoft.com/office/drawing/2014/main" id="{CBD28697-FC36-54CF-B8F6-E1BD2A52B3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9275" y="3124200"/>
          <a:ext cx="2981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sheetData sheetId="3"/>
      <sheetData sheetId="4"/>
      <sheetData sheetId="5"/>
      <sheetData sheetId="6">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sheetData sheetId="8"/>
      <sheetData sheetId="9"/>
      <sheetData sheetId="10"/>
      <sheetData sheetId="11"/>
      <sheetData sheetId="12"/>
      <sheetData sheetId="13"/>
      <sheetData sheetId="14"/>
      <sheetData sheetId="15">
        <row r="14">
          <cell r="H14">
            <v>6.2848648648648656E-2</v>
          </cell>
        </row>
      </sheetData>
      <sheetData sheetId="16"/>
      <sheetData sheetId="17" refreshError="1"/>
      <sheetData sheetId="18"/>
      <sheetData sheetId="19" refreshError="1">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row r="18">
          <cell r="F18">
            <v>3.2199999999999999E-2</v>
          </cell>
        </row>
      </sheetData>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ow r="28">
          <cell r="B28" t="str">
            <v>STARTING</v>
          </cell>
        </row>
      </sheetData>
      <sheetData sheetId="118"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ow r="18">
          <cell r="F18">
            <v>3.2199999999999999E-2</v>
          </cell>
        </row>
      </sheetData>
      <sheetData sheetId="120"/>
      <sheetData sheetId="121"/>
      <sheetData sheetId="122"/>
      <sheetData sheetId="123"/>
      <sheetData sheetId="124"/>
      <sheetData sheetId="125"/>
      <sheetData sheetId="126"/>
      <sheetData sheetId="127"/>
      <sheetData sheetId="128"/>
      <sheetData sheetId="129"/>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sheetData sheetId="132"/>
      <sheetData sheetId="133"/>
      <sheetData sheetId="134"/>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ow r="1">
          <cell r="B1">
            <v>39083</v>
          </cell>
        </row>
        <row r="3">
          <cell r="B3">
            <v>8.2500000000000004E-2</v>
          </cell>
        </row>
        <row r="4">
          <cell r="B4">
            <v>4.4999999999999998E-2</v>
          </cell>
        </row>
        <row r="17">
          <cell r="C17">
            <v>2002</v>
          </cell>
        </row>
      </sheetData>
      <sheetData sheetId="139"/>
      <sheetData sheetId="140"/>
      <sheetData sheetId="141"/>
      <sheetData sheetId="142"/>
      <sheetData sheetId="143"/>
      <sheetData sheetId="144"/>
      <sheetData sheetId="145"/>
      <sheetData sheetId="146"/>
      <sheetData sheetId="147"/>
      <sheetData sheetId="148"/>
      <sheetData sheetId="149"/>
      <sheetData sheetId="150" refreshError="1">
        <row r="23">
          <cell r="M23">
            <v>0</v>
          </cell>
        </row>
        <row r="24">
          <cell r="M24">
            <v>0.3</v>
          </cell>
        </row>
        <row r="25">
          <cell r="M25">
            <v>0.4</v>
          </cell>
        </row>
        <row r="26">
          <cell r="M26">
            <v>0.2</v>
          </cell>
        </row>
      </sheetData>
      <sheetData sheetId="15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sheetData sheetId="162">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ow r="31">
          <cell r="E31">
            <v>21827621.52</v>
          </cell>
        </row>
      </sheetData>
      <sheetData sheetId="199" refreshError="1"/>
      <sheetData sheetId="200"/>
      <sheetData sheetId="201" refreshError="1"/>
      <sheetData sheetId="202"/>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5">
          <cell r="A5" t="str">
            <v>ACCT</v>
          </cell>
        </row>
      </sheetData>
      <sheetData sheetId="271">
        <row r="5">
          <cell r="A5" t="str">
            <v>ACCT</v>
          </cell>
          <cell r="B5" t="str">
            <v>AREA_NO</v>
          </cell>
        </row>
        <row r="6">
          <cell r="A6" t="str">
            <v>?303*</v>
          </cell>
          <cell r="B6">
            <v>910</v>
          </cell>
        </row>
      </sheetData>
      <sheetData sheetId="272"/>
      <sheetData sheetId="273"/>
      <sheetData sheetId="274"/>
      <sheetData sheetId="275"/>
      <sheetData sheetId="276">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sheetData sheetId="289"/>
      <sheetData sheetId="290"/>
      <sheetData sheetId="291"/>
      <sheetData sheetId="292"/>
      <sheetData sheetId="293"/>
      <sheetData sheetId="294">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sheetData sheetId="372"/>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sheetData sheetId="452"/>
      <sheetData sheetId="453"/>
      <sheetData sheetId="454"/>
      <sheetData sheetId="455"/>
      <sheetData sheetId="4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21"/>
  <sheetViews>
    <sheetView zoomScaleNormal="100" zoomScaleSheetLayoutView="100" workbookViewId="0">
      <selection activeCell="C4" sqref="C4"/>
    </sheetView>
  </sheetViews>
  <sheetFormatPr defaultRowHeight="15"/>
  <cols>
    <col min="1" max="1" width="16" customWidth="1"/>
  </cols>
  <sheetData>
    <row r="1" spans="1:11">
      <c r="A1" s="1"/>
      <c r="B1" s="2"/>
      <c r="C1" s="3"/>
      <c r="D1" s="2"/>
      <c r="E1" s="2"/>
      <c r="F1" s="2"/>
      <c r="G1" s="2"/>
      <c r="H1" s="5"/>
      <c r="I1" s="5"/>
      <c r="J1" s="5"/>
      <c r="K1" s="5"/>
    </row>
    <row r="2" spans="1:11">
      <c r="A2" s="1"/>
      <c r="B2" s="2"/>
      <c r="C2" s="3"/>
      <c r="D2" s="2"/>
      <c r="E2" s="2"/>
      <c r="F2" s="2"/>
      <c r="G2" s="2"/>
      <c r="H2" s="1"/>
      <c r="I2" s="5"/>
      <c r="J2" s="5"/>
      <c r="K2" s="5" t="s">
        <v>817</v>
      </c>
    </row>
    <row r="3" spans="1:11">
      <c r="A3" s="1"/>
      <c r="B3" s="2"/>
      <c r="C3" s="3"/>
      <c r="D3" s="2"/>
      <c r="E3" s="2"/>
      <c r="F3" s="2"/>
      <c r="G3" s="2"/>
      <c r="H3" s="5"/>
      <c r="I3" s="51"/>
      <c r="J3" s="6"/>
      <c r="K3" s="6"/>
    </row>
    <row r="4" spans="1:11">
      <c r="A4" s="1"/>
      <c r="B4" s="73"/>
      <c r="C4" s="921" t="str">
        <f>'Appendix A'!E6</f>
        <v xml:space="preserve">Rate Formula Template </v>
      </c>
      <c r="D4" s="2"/>
      <c r="E4" s="2"/>
      <c r="F4" s="2"/>
      <c r="G4" s="2"/>
      <c r="H4" s="1"/>
      <c r="I4" s="1"/>
      <c r="J4" s="1"/>
      <c r="K4" s="1"/>
    </row>
    <row r="5" spans="1:11">
      <c r="A5" s="1"/>
      <c r="B5" s="8"/>
      <c r="C5" s="55" t="str">
        <f>'Appendix A'!E7</f>
        <v xml:space="preserve"> Utilizing FERC Form 1 Data</v>
      </c>
      <c r="D5" s="8"/>
      <c r="E5" s="8"/>
      <c r="F5" s="8"/>
      <c r="G5" s="516"/>
      <c r="H5" s="516"/>
      <c r="I5" s="517"/>
      <c r="J5" s="514"/>
      <c r="K5" s="515" t="str">
        <f>'Appendix A'!M7</f>
        <v>Projected Annual Transmission Revenue Requirement</v>
      </c>
    </row>
    <row r="6" spans="1:11">
      <c r="A6" s="2"/>
      <c r="B6" s="7"/>
      <c r="C6" s="7"/>
      <c r="D6" s="7"/>
      <c r="E6" s="7"/>
      <c r="F6" s="7"/>
      <c r="G6" s="7"/>
      <c r="H6" s="7"/>
      <c r="I6" s="319"/>
      <c r="J6" s="204"/>
      <c r="K6" s="202" t="str">
        <f>'Appendix A'!M8</f>
        <v>For the 12 months ended 5/31/24</v>
      </c>
    </row>
    <row r="7" spans="1:11">
      <c r="A7" s="1"/>
      <c r="C7" s="710" t="str">
        <f>+'Appendix A'!E9</f>
        <v>HURLEY AVENUE PROJECT - SYSTEM DELIVERABILITY UPGRADE</v>
      </c>
    </row>
    <row r="8" spans="1:11">
      <c r="A8" s="1"/>
      <c r="B8" s="1"/>
      <c r="C8" s="7"/>
    </row>
    <row r="12" spans="1:11">
      <c r="A12" t="s">
        <v>370</v>
      </c>
      <c r="C12" t="s">
        <v>823</v>
      </c>
    </row>
    <row r="13" spans="1:11">
      <c r="A13" t="s">
        <v>818</v>
      </c>
      <c r="C13" t="s">
        <v>824</v>
      </c>
    </row>
    <row r="14" spans="1:11">
      <c r="A14" t="s">
        <v>819</v>
      </c>
      <c r="C14" t="s">
        <v>990</v>
      </c>
    </row>
    <row r="15" spans="1:11">
      <c r="A15" t="s">
        <v>820</v>
      </c>
      <c r="C15" t="s">
        <v>825</v>
      </c>
    </row>
    <row r="16" spans="1:11">
      <c r="A16" t="s">
        <v>430</v>
      </c>
      <c r="C16" t="s">
        <v>831</v>
      </c>
    </row>
    <row r="17" spans="1:3">
      <c r="A17" t="s">
        <v>742</v>
      </c>
      <c r="C17" t="s">
        <v>991</v>
      </c>
    </row>
    <row r="18" spans="1:3">
      <c r="A18" t="s">
        <v>826</v>
      </c>
      <c r="C18" t="s">
        <v>827</v>
      </c>
    </row>
    <row r="19" spans="1:3">
      <c r="A19" t="s">
        <v>281</v>
      </c>
      <c r="C19" t="s">
        <v>828</v>
      </c>
    </row>
    <row r="20" spans="1:3">
      <c r="A20" t="s">
        <v>821</v>
      </c>
      <c r="C20" t="s">
        <v>829</v>
      </c>
    </row>
    <row r="21" spans="1:3">
      <c r="A21" t="s">
        <v>822</v>
      </c>
      <c r="C21" t="s">
        <v>830</v>
      </c>
    </row>
  </sheetData>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V550"/>
  <sheetViews>
    <sheetView zoomScale="75" zoomScaleNormal="75" zoomScaleSheetLayoutView="70" zoomScalePageLayoutView="70" workbookViewId="0">
      <selection activeCell="C4" sqref="C4"/>
    </sheetView>
  </sheetViews>
  <sheetFormatPr defaultColWidth="8.7265625" defaultRowHeight="15"/>
  <cols>
    <col min="1" max="1" width="6" style="1" customWidth="1"/>
    <col min="2" max="2" width="1.453125" style="1" customWidth="1"/>
    <col min="3" max="3" width="41.08984375" style="1" customWidth="1"/>
    <col min="4" max="4" width="32.7265625" style="1" customWidth="1"/>
    <col min="5" max="5" width="18.08984375" style="1" customWidth="1"/>
    <col min="6" max="6" width="17.81640625" style="1" customWidth="1"/>
    <col min="7" max="7" width="8.54296875" style="1" customWidth="1"/>
    <col min="8" max="8" width="15.08984375" style="1" bestFit="1" customWidth="1"/>
    <col min="9" max="9" width="7.08984375" style="1" customWidth="1"/>
    <col min="10" max="10" width="15.7265625" style="1" customWidth="1"/>
    <col min="11" max="11" width="29.81640625" style="1" customWidth="1"/>
    <col min="12" max="12" width="10.08984375" style="1" customWidth="1"/>
    <col min="13" max="13" width="14.453125" style="1" customWidth="1"/>
    <col min="14" max="14" width="15.54296875" style="1" customWidth="1"/>
    <col min="15" max="16384" width="8.7265625" style="1"/>
  </cols>
  <sheetData>
    <row r="1" spans="1:13">
      <c r="C1" s="2"/>
      <c r="D1" s="2"/>
      <c r="E1" s="3"/>
      <c r="F1" s="2"/>
      <c r="G1" s="2"/>
      <c r="H1" s="2"/>
      <c r="I1" s="2"/>
      <c r="J1" s="5"/>
      <c r="K1" s="5"/>
      <c r="L1" s="5"/>
      <c r="M1" s="5"/>
    </row>
    <row r="2" spans="1:13">
      <c r="C2" s="2"/>
      <c r="D2" s="2"/>
      <c r="E2" s="3"/>
      <c r="F2" s="2"/>
      <c r="G2" s="2"/>
      <c r="H2" s="2"/>
      <c r="I2" s="2"/>
      <c r="K2" s="5"/>
      <c r="L2" s="5"/>
      <c r="M2" s="5" t="s">
        <v>370</v>
      </c>
    </row>
    <row r="3" spans="1:13">
      <c r="C3" s="2"/>
      <c r="D3" s="2"/>
      <c r="E3" s="3"/>
      <c r="F3" s="2"/>
      <c r="G3" s="2"/>
      <c r="H3" s="2"/>
      <c r="I3" s="2"/>
      <c r="J3" s="5"/>
      <c r="K3" s="51"/>
      <c r="L3" s="6"/>
      <c r="M3" s="6" t="s">
        <v>371</v>
      </c>
    </row>
    <row r="4" spans="1:13">
      <c r="C4" s="2"/>
      <c r="D4" s="2"/>
      <c r="E4" s="3"/>
      <c r="F4" s="2"/>
      <c r="G4" s="2"/>
      <c r="H4" s="2"/>
      <c r="I4" s="2"/>
      <c r="J4" s="5"/>
      <c r="K4" s="6"/>
      <c r="L4" s="1151"/>
      <c r="M4" s="1151"/>
    </row>
    <row r="5" spans="1:13">
      <c r="C5" s="2"/>
      <c r="D5" s="2"/>
      <c r="E5" s="3"/>
      <c r="F5" s="2"/>
      <c r="G5" s="2"/>
      <c r="H5" s="2"/>
      <c r="I5" s="2"/>
      <c r="J5" s="2"/>
      <c r="K5" s="7"/>
      <c r="L5" s="7"/>
    </row>
    <row r="6" spans="1:13">
      <c r="C6" s="2" t="s">
        <v>27</v>
      </c>
      <c r="D6" s="73"/>
      <c r="E6" s="73" t="s">
        <v>121</v>
      </c>
      <c r="F6" s="2"/>
      <c r="G6" s="2"/>
      <c r="H6" s="2"/>
      <c r="I6" s="2"/>
    </row>
    <row r="7" spans="1:13">
      <c r="C7" s="516" t="s">
        <v>915</v>
      </c>
      <c r="D7" s="8" t="s">
        <v>28</v>
      </c>
      <c r="E7" s="8" t="s">
        <v>29</v>
      </c>
      <c r="F7" s="8"/>
      <c r="G7" s="8"/>
      <c r="H7" s="8"/>
      <c r="I7" s="2"/>
      <c r="J7" s="516"/>
      <c r="K7" s="517"/>
      <c r="L7" s="514"/>
      <c r="M7" s="515" t="s">
        <v>364</v>
      </c>
    </row>
    <row r="8" spans="1:13">
      <c r="C8" s="7"/>
      <c r="D8" s="7"/>
      <c r="E8" s="7"/>
      <c r="F8" s="7"/>
      <c r="G8" s="7"/>
      <c r="H8" s="7"/>
      <c r="I8" s="7"/>
      <c r="J8" s="7"/>
      <c r="K8" s="319"/>
      <c r="L8" s="204"/>
      <c r="M8" s="202" t="s">
        <v>904</v>
      </c>
    </row>
    <row r="9" spans="1:13" ht="15.6">
      <c r="A9" s="9"/>
      <c r="C9" s="7"/>
      <c r="D9" s="7"/>
      <c r="E9" s="973" t="s">
        <v>1004</v>
      </c>
      <c r="F9" s="7"/>
      <c r="G9" s="7"/>
      <c r="H9" s="7"/>
      <c r="I9" s="7"/>
      <c r="J9" s="7"/>
      <c r="L9" s="7"/>
      <c r="M9" s="6"/>
    </row>
    <row r="10" spans="1:13">
      <c r="A10" s="9"/>
      <c r="C10" s="7"/>
      <c r="D10" s="7"/>
      <c r="E10" s="11"/>
      <c r="F10" s="7"/>
      <c r="G10" s="7"/>
      <c r="H10" s="7"/>
      <c r="I10" s="7"/>
      <c r="J10" s="7"/>
      <c r="K10" s="7"/>
      <c r="L10" s="7"/>
    </row>
    <row r="11" spans="1:13">
      <c r="A11" s="9"/>
      <c r="C11" s="7"/>
      <c r="D11" s="7"/>
      <c r="E11" s="10" t="s">
        <v>30</v>
      </c>
      <c r="F11" s="7"/>
      <c r="G11" s="7"/>
      <c r="H11" s="10" t="s">
        <v>31</v>
      </c>
      <c r="I11" s="7"/>
      <c r="J11" s="10" t="s">
        <v>32</v>
      </c>
      <c r="K11" s="7"/>
      <c r="L11" s="10"/>
      <c r="M11" s="10"/>
    </row>
    <row r="12" spans="1:13">
      <c r="A12" s="9"/>
      <c r="C12" s="7"/>
      <c r="D12" s="7"/>
      <c r="M12" s="4"/>
    </row>
    <row r="13" spans="1:13">
      <c r="A13" s="9" t="s">
        <v>35</v>
      </c>
      <c r="C13" s="7"/>
      <c r="D13" s="7"/>
      <c r="E13" s="11"/>
      <c r="F13" s="7"/>
      <c r="G13" s="7"/>
      <c r="H13" s="7"/>
      <c r="I13" s="7"/>
      <c r="J13" s="4" t="s">
        <v>36</v>
      </c>
      <c r="K13" s="7"/>
      <c r="L13" s="7"/>
      <c r="M13" s="4"/>
    </row>
    <row r="14" spans="1:13" ht="15.6" thickBot="1">
      <c r="A14" s="12" t="s">
        <v>37</v>
      </c>
      <c r="C14" s="7"/>
      <c r="D14" s="7"/>
      <c r="E14" s="7"/>
      <c r="F14" s="7"/>
      <c r="G14" s="7"/>
      <c r="H14" s="7"/>
      <c r="I14" s="7"/>
      <c r="J14" s="13" t="s">
        <v>38</v>
      </c>
      <c r="K14" s="7"/>
      <c r="L14" s="4"/>
      <c r="M14" s="4"/>
    </row>
    <row r="15" spans="1:13">
      <c r="A15" s="9">
        <v>1</v>
      </c>
      <c r="C15" s="7" t="s">
        <v>224</v>
      </c>
      <c r="D15" s="24" t="str">
        <f>"(Line "&amp;A189&amp;")"</f>
        <v>(Line 69)</v>
      </c>
      <c r="E15" s="8"/>
      <c r="F15" s="7"/>
      <c r="G15" s="7"/>
      <c r="H15" s="7" t="s">
        <v>39</v>
      </c>
      <c r="I15" s="7"/>
      <c r="J15" s="83">
        <f>+J189</f>
        <v>2411919.2147203162</v>
      </c>
      <c r="K15" s="83"/>
      <c r="L15" s="83"/>
      <c r="M15" s="83"/>
    </row>
    <row r="16" spans="1:13">
      <c r="A16" s="9"/>
      <c r="C16" s="7"/>
      <c r="D16" s="7"/>
      <c r="E16" s="7"/>
      <c r="F16" s="7"/>
      <c r="G16" s="7"/>
      <c r="H16" s="7"/>
      <c r="I16" s="7"/>
      <c r="J16" s="322"/>
      <c r="K16" s="7"/>
      <c r="L16" s="7"/>
    </row>
    <row r="17" spans="1:14">
      <c r="A17" s="9"/>
      <c r="C17" s="7"/>
      <c r="D17" s="7"/>
      <c r="E17" s="7"/>
      <c r="F17" s="7"/>
      <c r="G17" s="7"/>
      <c r="H17" s="7"/>
      <c r="I17" s="7"/>
      <c r="J17" s="105"/>
      <c r="K17" s="7"/>
      <c r="L17" s="7"/>
    </row>
    <row r="18" spans="1:14" ht="15.6" thickBot="1">
      <c r="A18" s="9" t="s">
        <v>28</v>
      </c>
      <c r="C18" s="7" t="s">
        <v>40</v>
      </c>
      <c r="D18" s="8"/>
      <c r="E18" s="13" t="s">
        <v>41</v>
      </c>
      <c r="F18" s="8"/>
      <c r="G18" s="14" t="s">
        <v>42</v>
      </c>
      <c r="H18" s="14"/>
      <c r="I18" s="7"/>
      <c r="J18" s="105"/>
      <c r="K18" s="7"/>
      <c r="L18" s="7"/>
    </row>
    <row r="19" spans="1:14">
      <c r="A19" s="9">
        <f>+A15+1</f>
        <v>2</v>
      </c>
      <c r="C19" s="7" t="str">
        <f>+'1 - Revenue Credits'!B14</f>
        <v>Total Revenue Credits</v>
      </c>
      <c r="D19" s="8" t="str">
        <f>"Attachment 1, line "&amp;'1 - Revenue Credits'!A14&amp;""</f>
        <v>Attachment 1, line 6</v>
      </c>
      <c r="E19" s="74">
        <f>+'1 - Revenue Credits'!D14</f>
        <v>4072382</v>
      </c>
      <c r="F19" s="8"/>
      <c r="G19" s="8" t="str">
        <f>+G79</f>
        <v>TP</v>
      </c>
      <c r="H19" s="702">
        <f>+J220</f>
        <v>1.6118455561239548E-2</v>
      </c>
      <c r="I19" s="8"/>
      <c r="J19" s="315">
        <f>+H19*E19</f>
        <v>65640.508295391832</v>
      </c>
      <c r="K19" s="7"/>
      <c r="L19" s="81"/>
      <c r="M19" s="77"/>
      <c r="N19" s="16"/>
    </row>
    <row r="20" spans="1:14">
      <c r="A20" s="9"/>
      <c r="C20" s="7"/>
      <c r="D20" s="8"/>
      <c r="E20" s="467"/>
      <c r="F20" s="8"/>
      <c r="G20" s="8"/>
      <c r="H20" s="466"/>
      <c r="I20" s="8"/>
      <c r="J20" s="106"/>
      <c r="K20" s="7"/>
      <c r="L20" s="81"/>
      <c r="M20" s="77"/>
      <c r="N20" s="16"/>
    </row>
    <row r="21" spans="1:14">
      <c r="A21" s="9">
        <v>3</v>
      </c>
      <c r="C21" s="7" t="s">
        <v>402</v>
      </c>
      <c r="D21" s="7" t="str">
        <f>"(Line "&amp;A15&amp;" minus Line "&amp;A19&amp;")"</f>
        <v>(Line 1 minus Line 2)</v>
      </c>
      <c r="E21" s="467"/>
      <c r="F21" s="8"/>
      <c r="G21" s="8"/>
      <c r="H21" s="466"/>
      <c r="I21" s="8"/>
      <c r="J21" s="106">
        <f>+J15-J19</f>
        <v>2346278.7064249245</v>
      </c>
      <c r="K21" s="7"/>
      <c r="L21" s="81"/>
      <c r="M21" s="77"/>
      <c r="N21" s="16"/>
    </row>
    <row r="22" spans="1:14">
      <c r="A22" s="9"/>
      <c r="C22" s="7"/>
      <c r="D22" s="8"/>
      <c r="E22" s="467"/>
      <c r="F22" s="8"/>
      <c r="G22" s="8"/>
      <c r="H22" s="466"/>
      <c r="I22" s="8"/>
      <c r="J22" s="106"/>
      <c r="K22" s="7"/>
      <c r="L22" s="81"/>
      <c r="M22" s="77"/>
      <c r="N22" s="16"/>
    </row>
    <row r="23" spans="1:14" ht="16.8">
      <c r="A23" s="9">
        <v>4</v>
      </c>
      <c r="C23" s="7" t="s">
        <v>119</v>
      </c>
      <c r="D23" s="19" t="s">
        <v>281</v>
      </c>
      <c r="E23" s="467">
        <f>'7 - True-Up'!I53</f>
        <v>0</v>
      </c>
      <c r="F23" s="7"/>
      <c r="G23" s="7" t="s">
        <v>144</v>
      </c>
      <c r="H23" s="15"/>
      <c r="I23" s="7"/>
      <c r="J23" s="974">
        <f>+H23*E23</f>
        <v>0</v>
      </c>
      <c r="K23" s="7"/>
    </row>
    <row r="24" spans="1:14">
      <c r="A24" s="9"/>
      <c r="C24" s="7"/>
      <c r="D24" s="7"/>
      <c r="E24" s="7"/>
      <c r="F24" s="7"/>
      <c r="G24" s="7"/>
      <c r="H24" s="7"/>
      <c r="I24" s="7"/>
      <c r="J24" s="8"/>
      <c r="K24" s="7"/>
      <c r="L24" s="7"/>
    </row>
    <row r="25" spans="1:14">
      <c r="A25" s="9">
        <v>5</v>
      </c>
      <c r="C25" s="7" t="s">
        <v>403</v>
      </c>
      <c r="D25" s="7" t="str">
        <f>"(Line "&amp;A21&amp;" plus Line "&amp;A23&amp;")"</f>
        <v>(Line 3 plus Line 4)</v>
      </c>
      <c r="F25" s="8"/>
      <c r="G25" s="8"/>
      <c r="H25" s="8"/>
      <c r="I25" s="8"/>
      <c r="J25" s="84">
        <f>+J21+J23</f>
        <v>2346278.7064249245</v>
      </c>
      <c r="K25" s="7"/>
      <c r="M25" s="84"/>
    </row>
    <row r="26" spans="1:14">
      <c r="A26" s="9"/>
      <c r="D26" s="7"/>
      <c r="E26" s="18"/>
      <c r="F26" s="8"/>
      <c r="G26" s="8"/>
      <c r="H26" s="8"/>
      <c r="I26" s="8"/>
      <c r="K26" s="7"/>
      <c r="L26" s="7"/>
    </row>
    <row r="27" spans="1:14">
      <c r="A27" s="9"/>
      <c r="D27" s="8"/>
      <c r="E27" s="7"/>
      <c r="F27" s="7"/>
      <c r="G27" s="7"/>
      <c r="H27" s="7"/>
      <c r="I27" s="7"/>
      <c r="J27" s="8"/>
      <c r="K27" s="7"/>
      <c r="L27" s="7"/>
    </row>
    <row r="28" spans="1:14">
      <c r="A28" s="9"/>
      <c r="C28" s="7"/>
      <c r="D28" s="7"/>
      <c r="E28" s="8"/>
      <c r="F28" s="7"/>
      <c r="G28" s="7"/>
      <c r="H28" s="7"/>
      <c r="I28" s="7"/>
      <c r="J28" s="8"/>
      <c r="K28" s="7"/>
      <c r="L28" s="7"/>
    </row>
    <row r="29" spans="1:14">
      <c r="A29" s="9"/>
      <c r="C29" s="7"/>
      <c r="D29" s="7"/>
      <c r="E29" s="8"/>
      <c r="F29" s="7"/>
      <c r="G29" s="7"/>
      <c r="H29" s="7"/>
      <c r="I29" s="7"/>
      <c r="J29" s="8"/>
      <c r="K29" s="7"/>
      <c r="L29" s="7"/>
    </row>
    <row r="30" spans="1:14">
      <c r="A30" s="9"/>
      <c r="C30" s="24"/>
      <c r="D30" s="24"/>
      <c r="E30" s="24"/>
      <c r="F30" s="55"/>
      <c r="G30" s="55"/>
      <c r="H30" s="26"/>
      <c r="I30" s="55"/>
      <c r="K30" s="7"/>
      <c r="L30" s="7"/>
      <c r="M30" s="23"/>
      <c r="N30" s="75"/>
    </row>
    <row r="31" spans="1:14">
      <c r="A31" s="9"/>
      <c r="C31" s="7"/>
      <c r="D31" s="446"/>
      <c r="E31" s="55"/>
      <c r="F31" s="55"/>
      <c r="G31" s="55"/>
      <c r="H31" s="446"/>
      <c r="I31" s="55"/>
      <c r="J31" s="952"/>
      <c r="K31" s="7"/>
      <c r="L31" s="7"/>
      <c r="M31" s="23"/>
    </row>
    <row r="32" spans="1:14">
      <c r="A32" s="9"/>
      <c r="D32" s="7"/>
      <c r="E32" s="483"/>
      <c r="F32" s="24"/>
      <c r="G32" s="29"/>
      <c r="H32" s="8"/>
      <c r="I32" s="7"/>
      <c r="K32" s="7"/>
      <c r="L32" s="7"/>
      <c r="M32" s="23"/>
    </row>
    <row r="33" spans="1:14">
      <c r="A33" s="9"/>
      <c r="C33" s="8"/>
      <c r="D33" s="7"/>
      <c r="E33" s="475"/>
      <c r="F33" s="7"/>
      <c r="H33" s="8"/>
      <c r="I33" s="7"/>
      <c r="J33" s="952"/>
      <c r="K33" s="7"/>
      <c r="L33" s="7"/>
      <c r="M33" s="23"/>
    </row>
    <row r="34" spans="1:14">
      <c r="A34" s="9"/>
      <c r="B34" s="88"/>
      <c r="C34" s="88"/>
      <c r="D34" s="513"/>
      <c r="E34" s="475"/>
      <c r="F34" s="7"/>
      <c r="H34" s="92"/>
      <c r="I34" s="7"/>
      <c r="K34" s="92"/>
      <c r="L34" s="7"/>
      <c r="M34" s="23"/>
    </row>
    <row r="35" spans="1:14">
      <c r="A35" s="9"/>
      <c r="C35" s="8"/>
      <c r="D35" s="513"/>
      <c r="E35" s="475"/>
      <c r="F35" s="7"/>
      <c r="G35" s="7"/>
      <c r="H35" s="92"/>
      <c r="I35" s="7"/>
      <c r="K35" s="8"/>
      <c r="L35" s="76"/>
      <c r="M35" s="77"/>
      <c r="N35" s="16"/>
    </row>
    <row r="36" spans="1:14">
      <c r="A36" s="9"/>
      <c r="C36" s="8"/>
      <c r="D36" s="513"/>
      <c r="E36" s="475"/>
      <c r="F36" s="7"/>
      <c r="G36" s="7"/>
      <c r="H36" s="92"/>
      <c r="I36" s="7"/>
      <c r="K36" s="7"/>
      <c r="L36" s="76"/>
      <c r="M36" s="77"/>
      <c r="N36" s="16"/>
    </row>
    <row r="37" spans="1:14">
      <c r="A37" s="9"/>
      <c r="C37" s="7"/>
      <c r="D37" s="513"/>
      <c r="E37" s="475"/>
      <c r="F37" s="7"/>
      <c r="G37" s="7"/>
      <c r="H37" s="92"/>
      <c r="I37" s="7"/>
      <c r="K37" s="7"/>
      <c r="L37" s="7"/>
      <c r="M37" s="23"/>
    </row>
    <row r="38" spans="1:14">
      <c r="A38" s="9"/>
      <c r="C38" s="2"/>
      <c r="D38" s="83"/>
      <c r="E38" s="83"/>
      <c r="F38" s="7"/>
      <c r="G38" s="7"/>
      <c r="H38" s="83"/>
      <c r="I38" s="7"/>
      <c r="J38" s="8"/>
      <c r="K38" s="7"/>
      <c r="L38" s="8"/>
      <c r="M38" s="8"/>
    </row>
    <row r="39" spans="1:14">
      <c r="A39" s="9"/>
      <c r="C39" s="7"/>
      <c r="D39" s="83"/>
      <c r="F39" s="7"/>
      <c r="G39" s="7"/>
      <c r="H39" s="7"/>
      <c r="I39" s="7"/>
      <c r="J39" s="8"/>
      <c r="K39" s="7"/>
      <c r="L39" s="7"/>
    </row>
    <row r="40" spans="1:14">
      <c r="A40" s="9"/>
      <c r="C40" s="7"/>
      <c r="D40" s="7"/>
      <c r="E40" s="78"/>
      <c r="F40" s="7"/>
      <c r="G40" s="7"/>
      <c r="H40" s="1147"/>
      <c r="I40" s="7"/>
      <c r="J40" s="78"/>
      <c r="K40" s="7"/>
      <c r="L40" s="7"/>
      <c r="M40" s="78"/>
    </row>
    <row r="41" spans="1:14">
      <c r="A41" s="9"/>
      <c r="F41" s="7"/>
      <c r="G41" s="7"/>
      <c r="H41" s="7"/>
      <c r="I41" s="7"/>
      <c r="J41" s="78"/>
      <c r="K41" s="7"/>
      <c r="L41" s="7"/>
      <c r="M41" s="78"/>
    </row>
    <row r="42" spans="1:14">
      <c r="A42" s="9"/>
      <c r="F42" s="7"/>
      <c r="G42" s="7"/>
      <c r="H42" s="7"/>
      <c r="I42" s="7"/>
      <c r="J42" s="7"/>
      <c r="K42" s="7"/>
      <c r="L42" s="7"/>
    </row>
    <row r="43" spans="1:14">
      <c r="A43" s="9"/>
      <c r="C43" s="7"/>
      <c r="D43" s="7"/>
      <c r="E43" s="1148"/>
      <c r="F43" s="7"/>
      <c r="G43" s="7"/>
      <c r="H43" s="7"/>
      <c r="I43" s="7"/>
      <c r="J43" s="24"/>
      <c r="K43" s="7"/>
      <c r="L43" s="7"/>
    </row>
    <row r="44" spans="1:14">
      <c r="A44" s="9"/>
      <c r="C44" s="7"/>
      <c r="D44" s="7"/>
      <c r="E44" s="78"/>
      <c r="F44" s="7"/>
      <c r="G44" s="7"/>
      <c r="H44" s="7"/>
      <c r="I44" s="7"/>
      <c r="J44" s="7"/>
      <c r="K44" s="7"/>
      <c r="L44" s="7"/>
    </row>
    <row r="45" spans="1:14">
      <c r="A45" s="9"/>
      <c r="C45" s="7"/>
      <c r="E45" s="19"/>
      <c r="F45" s="19"/>
      <c r="J45" s="97"/>
      <c r="K45" s="7"/>
      <c r="L45" s="7"/>
    </row>
    <row r="46" spans="1:14">
      <c r="A46" s="9"/>
      <c r="C46" s="8"/>
      <c r="E46" s="19"/>
      <c r="F46" s="19"/>
      <c r="J46" s="97"/>
      <c r="K46" s="7"/>
      <c r="L46" s="7"/>
    </row>
    <row r="47" spans="1:14">
      <c r="A47" s="9"/>
      <c r="C47" s="7"/>
      <c r="D47" s="19"/>
      <c r="E47" s="98"/>
      <c r="G47" s="78"/>
      <c r="H47" s="78"/>
      <c r="I47" s="7"/>
      <c r="J47" s="97"/>
      <c r="K47" s="7"/>
      <c r="L47" s="7"/>
    </row>
    <row r="48" spans="1:14">
      <c r="A48" s="9"/>
      <c r="C48" s="8"/>
      <c r="D48" s="7"/>
      <c r="E48" s="98"/>
      <c r="F48" s="7"/>
      <c r="G48" s="7"/>
      <c r="H48" s="7"/>
      <c r="I48" s="7"/>
      <c r="J48" s="7"/>
      <c r="K48" s="7"/>
      <c r="L48" s="7"/>
    </row>
    <row r="49" spans="1:13">
      <c r="A49" s="9"/>
      <c r="C49" s="8"/>
      <c r="D49" s="7"/>
      <c r="E49" s="99"/>
      <c r="F49" s="7"/>
      <c r="G49" s="7"/>
      <c r="H49" s="7"/>
      <c r="I49" s="7"/>
      <c r="J49" s="7"/>
      <c r="K49" s="7"/>
      <c r="L49" s="7"/>
    </row>
    <row r="50" spans="1:13">
      <c r="A50" s="9"/>
      <c r="C50" s="8"/>
      <c r="D50" s="7"/>
      <c r="E50" s="100"/>
      <c r="F50" s="101"/>
      <c r="G50" s="101"/>
      <c r="H50" s="101"/>
      <c r="I50" s="101"/>
      <c r="J50" s="101"/>
      <c r="K50" s="101"/>
      <c r="L50" s="7"/>
    </row>
    <row r="51" spans="1:13">
      <c r="A51" s="9"/>
      <c r="C51" s="8"/>
      <c r="D51" s="7"/>
      <c r="E51" s="102"/>
      <c r="F51" s="101"/>
      <c r="G51" s="101"/>
      <c r="H51" s="101"/>
      <c r="I51" s="101"/>
      <c r="J51" s="101"/>
      <c r="K51" s="101"/>
      <c r="L51" s="7"/>
    </row>
    <row r="52" spans="1:13">
      <c r="C52" s="23"/>
      <c r="E52" s="103"/>
      <c r="F52" s="104"/>
      <c r="I52" s="104"/>
      <c r="K52" s="2"/>
      <c r="L52" s="7"/>
    </row>
    <row r="53" spans="1:13">
      <c r="C53" s="8"/>
      <c r="D53" s="7"/>
      <c r="E53" s="102"/>
      <c r="F53" s="101"/>
      <c r="G53" s="101"/>
      <c r="H53" s="101"/>
      <c r="I53" s="101"/>
      <c r="K53" s="2"/>
      <c r="L53" s="7"/>
    </row>
    <row r="54" spans="1:13">
      <c r="C54" s="23"/>
      <c r="E54" s="103"/>
      <c r="F54" s="104"/>
      <c r="I54" s="104"/>
      <c r="K54" s="2"/>
      <c r="L54" s="7"/>
    </row>
    <row r="55" spans="1:13">
      <c r="C55" s="19"/>
      <c r="F55" s="104"/>
      <c r="K55" s="2"/>
      <c r="L55" s="7"/>
    </row>
    <row r="56" spans="1:13">
      <c r="C56" s="8"/>
      <c r="D56" s="7"/>
      <c r="E56" s="102"/>
      <c r="F56" s="101"/>
      <c r="G56" s="101"/>
      <c r="H56" s="101"/>
      <c r="I56" s="101"/>
      <c r="K56" s="2"/>
      <c r="L56" s="7"/>
    </row>
    <row r="57" spans="1:13">
      <c r="C57" s="23"/>
      <c r="E57" s="103"/>
      <c r="F57" s="104"/>
      <c r="I57" s="104"/>
      <c r="K57" s="2"/>
      <c r="L57" s="7"/>
    </row>
    <row r="58" spans="1:13">
      <c r="C58" s="7"/>
      <c r="D58" s="88"/>
      <c r="K58" s="2"/>
      <c r="L58" s="7"/>
    </row>
    <row r="59" spans="1:13">
      <c r="C59" s="20"/>
      <c r="K59" s="2"/>
      <c r="L59" s="7"/>
    </row>
    <row r="60" spans="1:13">
      <c r="C60" s="21"/>
      <c r="K60" s="2"/>
      <c r="L60" s="7"/>
    </row>
    <row r="61" spans="1:13">
      <c r="K61" s="2"/>
      <c r="L61" s="7"/>
    </row>
    <row r="62" spans="1:13">
      <c r="C62" s="7"/>
      <c r="D62" s="7"/>
      <c r="E62" s="7"/>
      <c r="F62" s="7"/>
      <c r="G62" s="7"/>
      <c r="H62" s="7"/>
      <c r="I62" s="7"/>
      <c r="J62" s="22"/>
      <c r="K62" s="7"/>
      <c r="L62" s="7"/>
    </row>
    <row r="63" spans="1:13">
      <c r="C63" s="2"/>
      <c r="D63" s="2"/>
      <c r="E63" s="3"/>
      <c r="F63" s="2"/>
      <c r="G63" s="2"/>
      <c r="H63" s="2"/>
      <c r="I63" s="2"/>
      <c r="J63" s="2"/>
      <c r="K63" s="4"/>
      <c r="L63" s="4"/>
      <c r="M63" s="5"/>
    </row>
    <row r="64" spans="1:13">
      <c r="C64" s="2"/>
      <c r="D64" s="2"/>
      <c r="E64" s="3"/>
      <c r="F64" s="2"/>
      <c r="G64" s="2"/>
      <c r="H64" s="2"/>
      <c r="I64" s="2"/>
      <c r="J64" s="5"/>
      <c r="K64" s="5"/>
      <c r="L64" s="5"/>
      <c r="M64" s="5" t="s">
        <v>370</v>
      </c>
    </row>
    <row r="65" spans="1:19">
      <c r="C65" s="2"/>
      <c r="D65" s="2"/>
      <c r="E65" s="3"/>
      <c r="F65" s="2"/>
      <c r="G65" s="2"/>
      <c r="H65" s="2"/>
      <c r="I65" s="2"/>
      <c r="J65" s="6"/>
      <c r="K65" s="6"/>
      <c r="L65" s="6"/>
      <c r="M65" s="6" t="s">
        <v>375</v>
      </c>
    </row>
    <row r="66" spans="1:19">
      <c r="C66" s="2"/>
      <c r="D66" s="2"/>
      <c r="E66" s="3"/>
      <c r="F66" s="2"/>
      <c r="G66" s="2"/>
      <c r="H66" s="2"/>
      <c r="I66" s="2"/>
      <c r="J66" s="2"/>
      <c r="K66" s="7"/>
      <c r="L66" s="6"/>
      <c r="M66" s="6"/>
    </row>
    <row r="67" spans="1:19">
      <c r="C67" s="2"/>
      <c r="D67" s="2"/>
      <c r="E67" s="3"/>
      <c r="F67" s="2"/>
      <c r="G67" s="2"/>
      <c r="H67" s="2"/>
      <c r="I67" s="2"/>
      <c r="J67" s="2"/>
      <c r="K67" s="7"/>
      <c r="L67" s="6"/>
    </row>
    <row r="68" spans="1:19">
      <c r="C68" s="2" t="s">
        <v>27</v>
      </c>
      <c r="D68" s="73"/>
      <c r="E68" s="73" t="s">
        <v>121</v>
      </c>
      <c r="F68" s="2"/>
      <c r="G68" s="2"/>
      <c r="H68" s="2"/>
      <c r="I68" s="2"/>
      <c r="K68" s="7"/>
      <c r="L68" s="7"/>
    </row>
    <row r="69" spans="1:19">
      <c r="C69" s="2"/>
      <c r="D69" s="8" t="s">
        <v>28</v>
      </c>
      <c r="E69" s="8" t="s">
        <v>29</v>
      </c>
      <c r="F69" s="8"/>
      <c r="G69" s="8"/>
      <c r="H69" s="8"/>
      <c r="I69" s="2"/>
      <c r="J69" s="2"/>
      <c r="K69" s="7"/>
      <c r="L69" s="7"/>
    </row>
    <row r="70" spans="1:19">
      <c r="C70" s="2"/>
      <c r="D70" s="8"/>
      <c r="E70" s="8"/>
      <c r="F70" s="8"/>
      <c r="G70" s="8"/>
      <c r="H70" s="8"/>
      <c r="I70" s="2"/>
      <c r="J70" s="2"/>
      <c r="K70" s="203"/>
      <c r="L70" s="204"/>
      <c r="M70" s="202" t="str">
        <f>+M8</f>
        <v>For the 12 months ended 5/31/24</v>
      </c>
    </row>
    <row r="71" spans="1:19" ht="15.6">
      <c r="C71" s="7"/>
      <c r="D71" s="7"/>
      <c r="E71" s="205" t="str">
        <f>+E9</f>
        <v>HURLEY AVENUE PROJECT - SYSTEM DELIVERABILITY UPGRADE</v>
      </c>
      <c r="F71" s="8"/>
      <c r="G71" s="8"/>
      <c r="H71" s="8"/>
      <c r="I71" s="8"/>
      <c r="J71" s="8"/>
      <c r="K71" s="8"/>
      <c r="L71" s="8"/>
      <c r="M71" s="320"/>
    </row>
    <row r="72" spans="1:19">
      <c r="C72" s="24" t="s">
        <v>30</v>
      </c>
      <c r="D72" s="24" t="s">
        <v>31</v>
      </c>
      <c r="E72" s="24" t="s">
        <v>32</v>
      </c>
      <c r="F72" s="8" t="s">
        <v>28</v>
      </c>
      <c r="G72" s="8"/>
      <c r="H72" s="25" t="s">
        <v>33</v>
      </c>
      <c r="I72" s="8"/>
      <c r="J72" s="26" t="s">
        <v>34</v>
      </c>
      <c r="K72" s="8"/>
      <c r="L72" s="10"/>
      <c r="M72" s="10"/>
    </row>
    <row r="73" spans="1:19" ht="15.6">
      <c r="C73" s="7"/>
      <c r="D73" s="27" t="s">
        <v>44</v>
      </c>
      <c r="E73" s="8"/>
      <c r="F73" s="8"/>
      <c r="G73" s="8"/>
      <c r="H73" s="4"/>
      <c r="I73" s="8"/>
      <c r="J73" s="28" t="s">
        <v>45</v>
      </c>
      <c r="K73" s="8"/>
      <c r="L73" s="24"/>
      <c r="M73" s="29"/>
    </row>
    <row r="74" spans="1:19" ht="15.6">
      <c r="A74" s="9" t="s">
        <v>35</v>
      </c>
      <c r="C74" s="7"/>
      <c r="D74" s="30" t="s">
        <v>46</v>
      </c>
      <c r="E74" s="28" t="s">
        <v>47</v>
      </c>
      <c r="F74" s="31"/>
      <c r="G74" s="28" t="s">
        <v>48</v>
      </c>
      <c r="H74" s="7"/>
      <c r="I74" s="31"/>
      <c r="J74" s="32" t="s">
        <v>49</v>
      </c>
      <c r="K74" s="8"/>
      <c r="L74" s="4"/>
      <c r="M74" s="51"/>
    </row>
    <row r="75" spans="1:19" ht="16.2" thickBot="1">
      <c r="A75" s="12" t="s">
        <v>37</v>
      </c>
      <c r="C75" s="33" t="s">
        <v>50</v>
      </c>
      <c r="D75" s="8"/>
      <c r="E75" s="8"/>
      <c r="F75" s="8"/>
      <c r="G75" s="8"/>
      <c r="H75" s="8"/>
      <c r="I75" s="8"/>
      <c r="J75" s="8"/>
      <c r="K75" s="8"/>
      <c r="L75" s="8"/>
      <c r="M75" s="51"/>
    </row>
    <row r="76" spans="1:19">
      <c r="A76" s="9"/>
      <c r="C76" s="7"/>
      <c r="D76" s="8"/>
      <c r="E76" s="8"/>
      <c r="F76" s="8"/>
      <c r="G76" s="8"/>
      <c r="H76" s="8"/>
      <c r="I76" s="8"/>
      <c r="J76" s="8"/>
      <c r="K76" s="8"/>
      <c r="L76" s="8"/>
      <c r="M76" s="51"/>
    </row>
    <row r="77" spans="1:19">
      <c r="A77" s="9"/>
      <c r="C77" s="7" t="s">
        <v>456</v>
      </c>
      <c r="D77" s="8"/>
      <c r="E77" s="8"/>
      <c r="F77" s="8"/>
      <c r="G77" s="8"/>
      <c r="H77" s="8"/>
      <c r="I77" s="8"/>
      <c r="J77" s="8"/>
      <c r="K77" s="8"/>
      <c r="L77" s="8"/>
      <c r="M77" s="51"/>
    </row>
    <row r="78" spans="1:19" ht="15.6">
      <c r="A78" s="9">
        <f>+A25+1</f>
        <v>6</v>
      </c>
      <c r="C78" s="7" t="s">
        <v>51</v>
      </c>
      <c r="D78" s="8" t="s">
        <v>471</v>
      </c>
      <c r="E78" s="74">
        <f>+'2 - Cost Support '!F84</f>
        <v>52170461.538461536</v>
      </c>
      <c r="F78" s="8"/>
      <c r="G78" s="8" t="s">
        <v>52</v>
      </c>
      <c r="H78" s="466">
        <v>0</v>
      </c>
      <c r="I78" s="8"/>
      <c r="J78" s="106">
        <f>+H78*E78</f>
        <v>0</v>
      </c>
      <c r="K78" s="610"/>
      <c r="L78" s="79"/>
      <c r="M78" s="51"/>
      <c r="N78" s="998"/>
      <c r="O78" s="999"/>
      <c r="P78" s="999"/>
      <c r="Q78" s="999"/>
      <c r="R78" s="999"/>
      <c r="S78" s="999"/>
    </row>
    <row r="79" spans="1:19">
      <c r="A79" s="9">
        <f>+A78+1</f>
        <v>7</v>
      </c>
      <c r="C79" s="7" t="s">
        <v>65</v>
      </c>
      <c r="D79" s="8" t="s">
        <v>467</v>
      </c>
      <c r="E79" s="74">
        <f>+'2 - Cost Support '!F20</f>
        <v>500221374.76923078</v>
      </c>
      <c r="F79" s="8"/>
      <c r="G79" s="8" t="s">
        <v>43</v>
      </c>
      <c r="H79" s="1001">
        <f>+J$220</f>
        <v>1.6118455561239548E-2</v>
      </c>
      <c r="I79" s="8"/>
      <c r="J79" s="106">
        <f>+H79*E79</f>
        <v>8062796</v>
      </c>
      <c r="K79" s="8"/>
      <c r="L79" s="79"/>
      <c r="N79" s="1000"/>
      <c r="O79" s="88"/>
    </row>
    <row r="80" spans="1:19">
      <c r="A80" s="9">
        <f>+A79+1</f>
        <v>8</v>
      </c>
      <c r="C80" s="7" t="s">
        <v>54</v>
      </c>
      <c r="D80" s="8" t="s">
        <v>468</v>
      </c>
      <c r="E80" s="74">
        <f>+'2 - Cost Support '!F36</f>
        <v>1094998153.8461537</v>
      </c>
      <c r="F80" s="8"/>
      <c r="G80" s="8" t="s">
        <v>52</v>
      </c>
      <c r="H80" s="466">
        <v>0</v>
      </c>
      <c r="I80" s="8"/>
      <c r="J80" s="106">
        <f>+H80*E80</f>
        <v>0</v>
      </c>
      <c r="K80" s="8"/>
      <c r="L80" s="79"/>
      <c r="N80" s="1000"/>
    </row>
    <row r="81" spans="1:15">
      <c r="A81" s="9">
        <f>+A80+1</f>
        <v>9</v>
      </c>
      <c r="C81" s="7" t="s">
        <v>220</v>
      </c>
      <c r="D81" s="8" t="s">
        <v>469</v>
      </c>
      <c r="E81" s="314">
        <f>+'2 - Cost Support '!F52+'2 - Cost Support '!F68</f>
        <v>24629735</v>
      </c>
      <c r="F81" s="8"/>
      <c r="G81" s="8" t="s">
        <v>55</v>
      </c>
      <c r="H81" s="975">
        <f>+J246</f>
        <v>2.5849081312395196E-3</v>
      </c>
      <c r="I81" s="8"/>
      <c r="J81" s="315">
        <f>+H81*E81</f>
        <v>63665.602271774587</v>
      </c>
      <c r="K81" s="8"/>
      <c r="L81" s="79"/>
      <c r="N81" s="1000"/>
      <c r="O81" s="88"/>
    </row>
    <row r="82" spans="1:15">
      <c r="A82" s="9">
        <f>+A81+1</f>
        <v>10</v>
      </c>
      <c r="C82" s="2" t="str">
        <f>"TOTAL GROSS PLANT (sum lines "&amp;A78&amp;"-"&amp;A81&amp;")"</f>
        <v>TOTAL GROSS PLANT (sum lines 6-9)</v>
      </c>
      <c r="D82" s="8" t="s">
        <v>268</v>
      </c>
      <c r="E82" s="74">
        <f>SUM(E78:E81)</f>
        <v>1672019725.153846</v>
      </c>
      <c r="F82" s="8"/>
      <c r="G82" s="8" t="s">
        <v>56</v>
      </c>
      <c r="H82" s="975">
        <f>IF(J82=0,0,J82/E82)</f>
        <v>4.8602665865823099E-3</v>
      </c>
      <c r="I82" s="8"/>
      <c r="J82" s="106">
        <f>SUM(J78:J81)</f>
        <v>8126461.6022717748</v>
      </c>
      <c r="K82" s="8"/>
      <c r="L82" s="47"/>
      <c r="N82" s="1000"/>
      <c r="O82" s="88"/>
    </row>
    <row r="83" spans="1:15">
      <c r="A83" s="9"/>
      <c r="C83" s="7"/>
      <c r="D83" s="8"/>
      <c r="E83" s="74"/>
      <c r="F83" s="8"/>
      <c r="G83" s="8"/>
      <c r="H83" s="473"/>
      <c r="I83" s="8"/>
      <c r="J83" s="106"/>
      <c r="K83" s="8"/>
      <c r="L83" s="35"/>
      <c r="N83" s="1000"/>
    </row>
    <row r="84" spans="1:15">
      <c r="A84" s="9">
        <f>+A82+1</f>
        <v>11</v>
      </c>
      <c r="C84" s="7" t="s">
        <v>457</v>
      </c>
      <c r="D84" s="8"/>
      <c r="E84" s="74"/>
      <c r="F84" s="8"/>
      <c r="G84" s="8"/>
      <c r="H84" s="466"/>
      <c r="I84" s="8"/>
      <c r="J84" s="106"/>
      <c r="K84" s="8"/>
      <c r="L84" s="8"/>
      <c r="N84" s="1000"/>
    </row>
    <row r="85" spans="1:15">
      <c r="A85" s="9">
        <f>+A84+1</f>
        <v>12</v>
      </c>
      <c r="C85" s="7" t="str">
        <f>+C78</f>
        <v xml:space="preserve">  Production</v>
      </c>
      <c r="D85" s="8" t="s">
        <v>470</v>
      </c>
      <c r="E85" s="74">
        <f>+'2 - Cost Support '!F170</f>
        <v>22090923.076923076</v>
      </c>
      <c r="F85" s="8"/>
      <c r="G85" s="8" t="str">
        <f>+G78</f>
        <v>NA</v>
      </c>
      <c r="H85" s="466">
        <v>0</v>
      </c>
      <c r="I85" s="8"/>
      <c r="J85" s="106">
        <f>+H85*E85</f>
        <v>0</v>
      </c>
      <c r="K85" s="8"/>
      <c r="L85" s="79"/>
      <c r="N85" s="1000"/>
    </row>
    <row r="86" spans="1:15" ht="30">
      <c r="A86" s="9">
        <f>+A85+1</f>
        <v>13</v>
      </c>
      <c r="C86" s="7" t="s">
        <v>65</v>
      </c>
      <c r="D86" s="1024" t="s">
        <v>979</v>
      </c>
      <c r="E86" s="74">
        <f>+'2 - Cost Support '!F106</f>
        <v>108721905.07377717</v>
      </c>
      <c r="F86" s="8"/>
      <c r="G86" s="8" t="s">
        <v>144</v>
      </c>
      <c r="H86" s="702"/>
      <c r="I86" s="8"/>
      <c r="J86" s="106">
        <f>+'9 - Workpaper'!C121</f>
        <v>104926.7358673077</v>
      </c>
      <c r="K86" s="8"/>
      <c r="L86" s="81"/>
      <c r="N86" s="1000"/>
      <c r="O86" s="88"/>
    </row>
    <row r="87" spans="1:15">
      <c r="A87" s="9">
        <f>+A86+1</f>
        <v>14</v>
      </c>
      <c r="C87" s="7" t="str">
        <f>+C80</f>
        <v xml:space="preserve">  Distribution</v>
      </c>
      <c r="D87" s="8" t="s">
        <v>980</v>
      </c>
      <c r="E87" s="74">
        <f>+'2 - Cost Support '!F122</f>
        <v>289579638.46153843</v>
      </c>
      <c r="F87" s="8"/>
      <c r="G87" s="8" t="str">
        <f>+G80</f>
        <v>NA</v>
      </c>
      <c r="H87" s="466">
        <v>0</v>
      </c>
      <c r="I87" s="8"/>
      <c r="J87" s="106">
        <f>+H87*E87</f>
        <v>0</v>
      </c>
      <c r="K87" s="8"/>
      <c r="L87" s="81"/>
      <c r="N87" s="1000"/>
    </row>
    <row r="88" spans="1:15">
      <c r="A88" s="9">
        <f>+A87+1</f>
        <v>15</v>
      </c>
      <c r="C88" s="7" t="s">
        <v>220</v>
      </c>
      <c r="D88" s="8" t="s">
        <v>466</v>
      </c>
      <c r="E88" s="314">
        <f>+'2 - Cost Support '!F138+'2 - Cost Support '!F154</f>
        <v>11524572.384615384</v>
      </c>
      <c r="F88" s="8"/>
      <c r="G88" s="8" t="str">
        <f>+G81</f>
        <v>W/S</v>
      </c>
      <c r="H88" s="702">
        <f>+H81</f>
        <v>2.5849081312395196E-3</v>
      </c>
      <c r="I88" s="8"/>
      <c r="J88" s="106">
        <f>+H88*E88</f>
        <v>29789.960866050726</v>
      </c>
      <c r="K88" s="8"/>
      <c r="L88" s="81"/>
      <c r="N88" s="1000"/>
      <c r="O88" s="88"/>
    </row>
    <row r="89" spans="1:15">
      <c r="A89" s="9">
        <f>+A88+1</f>
        <v>16</v>
      </c>
      <c r="C89" s="7" t="str">
        <f>"TOTAL ACCUM. DEPRECIATION (sum lines "&amp;A85&amp;"-"&amp;A88&amp;")"</f>
        <v>TOTAL ACCUM. DEPRECIATION (sum lines 12-15)</v>
      </c>
      <c r="D89" s="8"/>
      <c r="E89" s="74">
        <f>SUM(E85:E88)</f>
        <v>431917038.99685401</v>
      </c>
      <c r="F89" s="8"/>
      <c r="G89" s="8"/>
      <c r="H89" s="466"/>
      <c r="I89" s="8"/>
      <c r="J89" s="106">
        <f>SUM(J85:J88)</f>
        <v>134716.69673335843</v>
      </c>
      <c r="K89" s="8"/>
      <c r="L89" s="8"/>
      <c r="N89" s="1000"/>
      <c r="O89" s="88"/>
    </row>
    <row r="90" spans="1:15">
      <c r="A90" s="9"/>
      <c r="D90" s="8" t="s">
        <v>28</v>
      </c>
      <c r="E90" s="310"/>
      <c r="F90" s="8"/>
      <c r="G90" s="8"/>
      <c r="H90" s="473"/>
      <c r="I90" s="8"/>
      <c r="J90" s="93"/>
      <c r="K90" s="8"/>
      <c r="L90" s="35"/>
      <c r="N90" s="1000"/>
    </row>
    <row r="91" spans="1:15">
      <c r="A91" s="9">
        <f>+A89+1</f>
        <v>17</v>
      </c>
      <c r="C91" s="7" t="s">
        <v>57</v>
      </c>
      <c r="D91" s="8"/>
      <c r="E91" s="74"/>
      <c r="F91" s="8"/>
      <c r="G91" s="8"/>
      <c r="H91" s="466"/>
      <c r="I91" s="8"/>
      <c r="J91" s="106"/>
      <c r="K91" s="8"/>
      <c r="L91" s="8"/>
      <c r="N91" s="1000"/>
    </row>
    <row r="92" spans="1:15">
      <c r="A92" s="9">
        <f>+A91+1</f>
        <v>18</v>
      </c>
      <c r="C92" s="7" t="str">
        <f>+C85</f>
        <v xml:space="preserve">  Production</v>
      </c>
      <c r="D92" s="8" t="str">
        <f>" (line "&amp;A78&amp;"- line "&amp;A85&amp;")"</f>
        <v xml:space="preserve"> (line 6- line 12)</v>
      </c>
      <c r="E92" s="74">
        <f>+E78-E85</f>
        <v>30079538.46153846</v>
      </c>
      <c r="F92" s="8"/>
      <c r="G92" s="8"/>
      <c r="H92" s="473"/>
      <c r="I92" s="8"/>
      <c r="J92" s="106">
        <f>+J78-J85</f>
        <v>0</v>
      </c>
      <c r="K92" s="8"/>
      <c r="L92" s="35"/>
      <c r="N92" s="1000"/>
    </row>
    <row r="93" spans="1:15">
      <c r="A93" s="9">
        <f>+A92+1</f>
        <v>19</v>
      </c>
      <c r="C93" s="7" t="s">
        <v>53</v>
      </c>
      <c r="D93" s="8" t="str">
        <f>" (line "&amp;A79&amp;"- line "&amp;A86&amp;")"</f>
        <v xml:space="preserve"> (line 7- line 13)</v>
      </c>
      <c r="E93" s="74">
        <f>+E79-E86</f>
        <v>391499469.69545364</v>
      </c>
      <c r="F93" s="8"/>
      <c r="G93" s="8"/>
      <c r="H93" s="466"/>
      <c r="I93" s="8"/>
      <c r="J93" s="106">
        <f>+J79-J86</f>
        <v>7957869.2641326925</v>
      </c>
      <c r="K93" s="8"/>
      <c r="L93" s="35"/>
      <c r="N93" s="1000"/>
    </row>
    <row r="94" spans="1:15">
      <c r="A94" s="9">
        <f>+A93+1</f>
        <v>20</v>
      </c>
      <c r="C94" s="7" t="str">
        <f>+C87</f>
        <v xml:space="preserve">  Distribution</v>
      </c>
      <c r="D94" s="8" t="str">
        <f>" (line "&amp;A80&amp;"- line "&amp;A87&amp;")"</f>
        <v xml:space="preserve"> (line 8- line 14)</v>
      </c>
      <c r="E94" s="74">
        <f>+E80-E87</f>
        <v>805418515.3846153</v>
      </c>
      <c r="F94" s="8"/>
      <c r="G94" s="8"/>
      <c r="H94" s="473"/>
      <c r="I94" s="8"/>
      <c r="J94" s="106">
        <f>+J80-J87</f>
        <v>0</v>
      </c>
      <c r="K94" s="8"/>
      <c r="L94" s="35"/>
      <c r="N94" s="1000"/>
    </row>
    <row r="95" spans="1:15">
      <c r="A95" s="9">
        <f>+A94+1</f>
        <v>21</v>
      </c>
      <c r="C95" s="7" t="s">
        <v>120</v>
      </c>
      <c r="D95" s="8" t="str">
        <f>" (line "&amp;A81&amp;"- line "&amp;A88&amp;")"</f>
        <v xml:space="preserve"> (line 9- line 15)</v>
      </c>
      <c r="E95" s="314">
        <f>+E81-E88</f>
        <v>13105162.615384616</v>
      </c>
      <c r="F95" s="8"/>
      <c r="G95" s="8"/>
      <c r="H95" s="473"/>
      <c r="I95" s="8"/>
      <c r="J95" s="315">
        <f>+J81-J88</f>
        <v>33875.641405723858</v>
      </c>
      <c r="K95" s="8"/>
      <c r="L95" s="35"/>
      <c r="N95" s="1000"/>
    </row>
    <row r="96" spans="1:15">
      <c r="A96" s="9">
        <f>+A95+1</f>
        <v>22</v>
      </c>
      <c r="C96" s="7" t="str">
        <f>"TOTAL NET PLANT (sum lines "&amp;A92&amp;"-"&amp;A95&amp;")"</f>
        <v>TOTAL NET PLANT (sum lines 18-21)</v>
      </c>
      <c r="D96" s="8" t="s">
        <v>269</v>
      </c>
      <c r="E96" s="74">
        <f>SUM(E92:E95)</f>
        <v>1240102686.156992</v>
      </c>
      <c r="F96" s="8"/>
      <c r="G96" s="8" t="s">
        <v>58</v>
      </c>
      <c r="H96" s="1002">
        <f>IF(J96=0,0,J96/E96)</f>
        <v>6.4444218972739926E-3</v>
      </c>
      <c r="I96" s="8"/>
      <c r="J96" s="106">
        <f>SUM(J92:J95)</f>
        <v>7991744.9055384165</v>
      </c>
      <c r="K96" s="8"/>
      <c r="L96" s="8"/>
      <c r="N96" s="1000"/>
      <c r="O96" s="88"/>
    </row>
    <row r="97" spans="1:14">
      <c r="A97" s="9"/>
      <c r="D97" s="8"/>
      <c r="E97" s="310"/>
      <c r="F97" s="8"/>
      <c r="H97" s="474"/>
      <c r="I97" s="8"/>
      <c r="J97" s="93"/>
      <c r="K97" s="8"/>
      <c r="L97" s="35"/>
      <c r="N97" s="51"/>
    </row>
    <row r="98" spans="1:14">
      <c r="A98" s="9">
        <f>+A96+1</f>
        <v>23</v>
      </c>
      <c r="C98" s="2" t="str">
        <f>"ADJUSTMENTS TO RATE BASE       (Note "&amp;A288&amp;")"</f>
        <v>ADJUSTMENTS TO RATE BASE       (Note A)</v>
      </c>
      <c r="D98" s="8"/>
      <c r="E98" s="74"/>
      <c r="F98" s="8"/>
      <c r="G98" s="8"/>
      <c r="H98" s="468"/>
      <c r="I98" s="8"/>
      <c r="J98" s="106"/>
      <c r="K98" s="8"/>
      <c r="L98" s="8"/>
      <c r="M98" s="51"/>
    </row>
    <row r="99" spans="1:14">
      <c r="A99" s="9">
        <f t="shared" ref="A99:A106" si="0">+A98+1</f>
        <v>24</v>
      </c>
      <c r="C99" s="7" t="s">
        <v>359</v>
      </c>
      <c r="D99" s="8" t="s">
        <v>472</v>
      </c>
      <c r="E99" s="74">
        <f>+'6a- ADIT'!G17</f>
        <v>-61569.5</v>
      </c>
      <c r="F99" s="8"/>
      <c r="G99" s="8" t="str">
        <f>G103</f>
        <v>DA</v>
      </c>
      <c r="H99" s="1004">
        <f>H103</f>
        <v>1</v>
      </c>
      <c r="I99" s="8"/>
      <c r="J99" s="74">
        <f t="shared" ref="J99:J104" si="1">+H99*E99</f>
        <v>-61569.5</v>
      </c>
      <c r="K99" s="8"/>
      <c r="L99" s="8"/>
      <c r="M99" s="51"/>
      <c r="N99" s="16"/>
    </row>
    <row r="100" spans="1:14">
      <c r="A100" s="9">
        <f t="shared" si="0"/>
        <v>25</v>
      </c>
      <c r="C100" s="7" t="s">
        <v>844</v>
      </c>
      <c r="D100" s="8" t="s">
        <v>845</v>
      </c>
      <c r="E100" s="74" t="s">
        <v>52</v>
      </c>
      <c r="F100" s="8"/>
      <c r="G100" s="8"/>
      <c r="H100" s="702"/>
      <c r="I100" s="8"/>
      <c r="J100" s="74" t="str">
        <f>E100</f>
        <v>NA</v>
      </c>
      <c r="K100" s="8"/>
      <c r="L100" s="8"/>
      <c r="M100" s="51"/>
      <c r="N100" s="16"/>
    </row>
    <row r="101" spans="1:14">
      <c r="A101" s="9">
        <f t="shared" si="0"/>
        <v>26</v>
      </c>
      <c r="C101" s="7" t="s">
        <v>280</v>
      </c>
      <c r="D101" s="8" t="s">
        <v>473</v>
      </c>
      <c r="E101" s="74">
        <f>+'3 - Cost Support'!G5</f>
        <v>0</v>
      </c>
      <c r="F101" s="8"/>
      <c r="G101" s="8" t="s">
        <v>59</v>
      </c>
      <c r="H101" s="702">
        <f>+H$96</f>
        <v>6.4444218972739926E-3</v>
      </c>
      <c r="I101" s="8"/>
      <c r="J101" s="86">
        <f t="shared" si="1"/>
        <v>0</v>
      </c>
      <c r="K101" s="8"/>
      <c r="L101" s="8"/>
      <c r="M101" s="51"/>
      <c r="N101" s="16"/>
    </row>
    <row r="102" spans="1:14">
      <c r="A102" s="9">
        <f t="shared" si="0"/>
        <v>27</v>
      </c>
      <c r="C102" s="7" t="s">
        <v>195</v>
      </c>
      <c r="D102" s="8" t="s">
        <v>768</v>
      </c>
      <c r="E102" s="86">
        <f>+'9 - Workpaper'!V80</f>
        <v>0</v>
      </c>
      <c r="F102" s="8"/>
      <c r="G102" s="8" t="s">
        <v>144</v>
      </c>
      <c r="H102" s="1004">
        <v>1</v>
      </c>
      <c r="I102" s="8"/>
      <c r="J102" s="86">
        <f>+E102</f>
        <v>0</v>
      </c>
      <c r="K102" s="8"/>
      <c r="L102" s="47"/>
      <c r="M102" s="51"/>
      <c r="N102" s="16"/>
    </row>
    <row r="103" spans="1:14">
      <c r="A103" s="9">
        <f t="shared" si="0"/>
        <v>28</v>
      </c>
      <c r="C103" s="7" t="s">
        <v>464</v>
      </c>
      <c r="D103" s="8" t="s">
        <v>767</v>
      </c>
      <c r="E103" s="86">
        <f>+'3 - Cost Support'!I42</f>
        <v>-7475.6030927611273</v>
      </c>
      <c r="F103" s="8"/>
      <c r="G103" s="8" t="str">
        <f>+G104</f>
        <v>DA</v>
      </c>
      <c r="H103" s="1004">
        <f>+H104</f>
        <v>1</v>
      </c>
      <c r="I103" s="8"/>
      <c r="J103" s="86">
        <f t="shared" si="1"/>
        <v>-7475.6030927611273</v>
      </c>
      <c r="K103" s="8"/>
      <c r="L103" s="47"/>
      <c r="M103" s="51"/>
      <c r="N103" s="16"/>
    </row>
    <row r="104" spans="1:14">
      <c r="A104" s="9">
        <f>+A103+1</f>
        <v>29</v>
      </c>
      <c r="C104" s="7" t="s">
        <v>361</v>
      </c>
      <c r="D104" s="8" t="s">
        <v>665</v>
      </c>
      <c r="E104" s="86">
        <f>+'9 - Workpaper'!Z20</f>
        <v>0</v>
      </c>
      <c r="F104" s="8"/>
      <c r="G104" s="8" t="str">
        <f>+G105</f>
        <v>DA</v>
      </c>
      <c r="H104" s="1004">
        <f>+H105</f>
        <v>1</v>
      </c>
      <c r="I104" s="8"/>
      <c r="J104" s="86">
        <f t="shared" si="1"/>
        <v>0</v>
      </c>
      <c r="K104" s="8"/>
      <c r="L104" s="47"/>
      <c r="M104" s="51"/>
      <c r="N104" s="16"/>
    </row>
    <row r="105" spans="1:14">
      <c r="A105" s="9">
        <f t="shared" si="0"/>
        <v>30</v>
      </c>
      <c r="C105" s="312" t="s">
        <v>225</v>
      </c>
      <c r="D105" s="313" t="s">
        <v>666</v>
      </c>
      <c r="E105" s="314">
        <f>+'9 - Workpaper'!Z40</f>
        <v>0</v>
      </c>
      <c r="F105" s="313"/>
      <c r="G105" s="313" t="s">
        <v>144</v>
      </c>
      <c r="H105" s="1005">
        <v>1</v>
      </c>
      <c r="I105" s="313"/>
      <c r="J105" s="315">
        <f>+H105*E105</f>
        <v>0</v>
      </c>
      <c r="K105" s="8"/>
      <c r="L105" s="8"/>
      <c r="M105" s="51"/>
      <c r="N105" s="16"/>
    </row>
    <row r="106" spans="1:14">
      <c r="A106" s="9">
        <f t="shared" si="0"/>
        <v>31</v>
      </c>
      <c r="C106" s="71" t="str">
        <f>"TOTAL ADJUSTMENTS  (sum lines "&amp;A99&amp;"-"&amp;A105&amp;")"</f>
        <v>TOTAL ADJUSTMENTS  (sum lines 24-30)</v>
      </c>
      <c r="D106" s="8"/>
      <c r="E106" s="74">
        <f>SUM(E99:E105)</f>
        <v>-69045.103092761128</v>
      </c>
      <c r="F106" s="8"/>
      <c r="G106" s="8"/>
      <c r="H106" s="466"/>
      <c r="I106" s="8"/>
      <c r="J106" s="106">
        <f>SUM(J99:J105)</f>
        <v>-69045.103092761128</v>
      </c>
      <c r="K106" s="8"/>
      <c r="L106" s="8"/>
      <c r="M106" s="51"/>
    </row>
    <row r="107" spans="1:14">
      <c r="A107" s="9"/>
      <c r="D107" s="8"/>
      <c r="E107" s="310"/>
      <c r="F107" s="8"/>
      <c r="G107" s="8"/>
      <c r="H107" s="473"/>
      <c r="I107" s="8"/>
      <c r="J107" s="93"/>
      <c r="K107" s="8"/>
      <c r="L107" s="35"/>
      <c r="M107" s="51"/>
    </row>
    <row r="108" spans="1:14" ht="15.6">
      <c r="A108" s="9">
        <f>+A106+1</f>
        <v>32</v>
      </c>
      <c r="C108" s="2" t="s">
        <v>222</v>
      </c>
      <c r="D108" s="8" t="s">
        <v>645</v>
      </c>
      <c r="E108" s="74">
        <f>+'9 - Workpaper'!S60</f>
        <v>0</v>
      </c>
      <c r="F108" s="8"/>
      <c r="G108" s="8" t="str">
        <f>+G86</f>
        <v>DA</v>
      </c>
      <c r="H108" s="1001">
        <f>+J$220</f>
        <v>1.6118455561239548E-2</v>
      </c>
      <c r="I108" s="8"/>
      <c r="J108" s="106">
        <f>+H108*E108</f>
        <v>0</v>
      </c>
      <c r="K108" s="610"/>
      <c r="L108" s="8"/>
      <c r="M108" s="51"/>
    </row>
    <row r="109" spans="1:14">
      <c r="A109" s="9"/>
      <c r="C109" s="7"/>
      <c r="D109" s="8"/>
      <c r="E109" s="74"/>
      <c r="F109" s="8"/>
      <c r="G109" s="8"/>
      <c r="H109" s="1001"/>
      <c r="I109" s="8"/>
      <c r="J109" s="106"/>
      <c r="K109" s="8"/>
      <c r="L109" s="8"/>
      <c r="M109" s="51"/>
    </row>
    <row r="110" spans="1:14">
      <c r="A110" s="9">
        <f>+A108+1</f>
        <v>33</v>
      </c>
      <c r="C110" s="7" t="str">
        <f>"WORKING CAPITAL  (Note "&amp;A292&amp;")"</f>
        <v>WORKING CAPITAL  (Note C)</v>
      </c>
      <c r="D110" s="8" t="s">
        <v>28</v>
      </c>
      <c r="E110" s="74"/>
      <c r="F110" s="8"/>
      <c r="G110" s="8"/>
      <c r="H110" s="1001"/>
      <c r="I110" s="8"/>
      <c r="J110" s="106"/>
      <c r="K110" s="8"/>
      <c r="L110" s="8"/>
      <c r="M110" s="51"/>
    </row>
    <row r="111" spans="1:14">
      <c r="A111" s="9">
        <f>+A110+1</f>
        <v>34</v>
      </c>
      <c r="C111" s="7" t="s">
        <v>61</v>
      </c>
      <c r="D111" s="88" t="s">
        <v>905</v>
      </c>
      <c r="E111" s="74">
        <f>+E152/8</f>
        <v>9764296.125</v>
      </c>
      <c r="F111" s="8"/>
      <c r="G111" s="8"/>
      <c r="H111" s="1006"/>
      <c r="I111" s="8"/>
      <c r="J111" s="74">
        <f>+J152/8</f>
        <v>99550.051398721465</v>
      </c>
      <c r="K111" s="8"/>
      <c r="L111" s="47"/>
      <c r="M111" s="51"/>
    </row>
    <row r="112" spans="1:14">
      <c r="A112" s="9">
        <f>+A111+1</f>
        <v>35</v>
      </c>
      <c r="C112" s="7" t="str">
        <f>"  Materials &amp; Supplies  (Note "&amp;A291&amp;")"</f>
        <v xml:space="preserve">  Materials &amp; Supplies  (Note B)</v>
      </c>
      <c r="D112" s="8" t="s">
        <v>743</v>
      </c>
      <c r="E112" s="74">
        <f>+'3 - Cost Support'!G114</f>
        <v>21385327.615384616</v>
      </c>
      <c r="F112" s="8"/>
      <c r="G112" s="8" t="s">
        <v>983</v>
      </c>
      <c r="H112" s="1001"/>
      <c r="I112" s="8"/>
      <c r="J112" s="74">
        <f>+'3 - Cost Support'!M114</f>
        <v>308906.09573616454</v>
      </c>
      <c r="K112" s="8"/>
      <c r="L112" s="35"/>
      <c r="M112" s="51"/>
    </row>
    <row r="113" spans="1:13" ht="33" customHeight="1">
      <c r="A113" s="9">
        <f>+A112+1</f>
        <v>36</v>
      </c>
      <c r="C113" s="312" t="str">
        <f xml:space="preserve">  "Prepayments (Account 165 - Note "&amp;A292&amp;")"</f>
        <v>Prepayments (Account 165 - Note C)</v>
      </c>
      <c r="D113" s="313" t="s">
        <v>475</v>
      </c>
      <c r="E113" s="314">
        <f>+'3 - Cost Support'!F26</f>
        <v>30006366.769230768</v>
      </c>
      <c r="F113" s="313"/>
      <c r="G113" s="313" t="s">
        <v>63</v>
      </c>
      <c r="H113" s="1007">
        <f>+H$82</f>
        <v>4.8602665865823099E-3</v>
      </c>
      <c r="I113" s="313"/>
      <c r="J113" s="314">
        <f>+H113*E113</f>
        <v>145838.94179322608</v>
      </c>
      <c r="K113" s="1024"/>
      <c r="L113" s="8"/>
      <c r="M113" s="8"/>
    </row>
    <row r="114" spans="1:13">
      <c r="A114" s="9">
        <f>+A113+1</f>
        <v>37</v>
      </c>
      <c r="C114" s="7" t="str">
        <f>"TOTAL WORKING CAPITAL (sum lines "&amp;A111&amp;"-"&amp;A113&amp;")"</f>
        <v>TOTAL WORKING CAPITAL (sum lines 34-36)</v>
      </c>
      <c r="D114" s="7"/>
      <c r="E114" s="106">
        <f>SUM(E111:E113)</f>
        <v>61155990.509615384</v>
      </c>
      <c r="F114" s="7"/>
      <c r="G114" s="7"/>
      <c r="H114" s="7"/>
      <c r="I114" s="7"/>
      <c r="J114" s="106">
        <f>SUM(J111:J113)</f>
        <v>554295.08892811206</v>
      </c>
      <c r="K114" s="8"/>
      <c r="L114" s="8"/>
      <c r="M114" s="8"/>
    </row>
    <row r="115" spans="1:13" ht="15.6" thickBot="1">
      <c r="A115" s="9"/>
      <c r="D115" s="8"/>
      <c r="E115" s="94"/>
      <c r="F115" s="8"/>
      <c r="G115" s="8"/>
      <c r="H115" s="8"/>
      <c r="I115" s="8"/>
      <c r="J115" s="94"/>
      <c r="K115" s="8"/>
    </row>
    <row r="116" spans="1:13" ht="15.6" thickBot="1">
      <c r="A116" s="9">
        <f>+A114+1</f>
        <v>38</v>
      </c>
      <c r="C116" s="7" t="str">
        <f>"RATE BASE  (sum lines "&amp;A96&amp;", "&amp;A106&amp;", "&amp;A108&amp;", &amp; "&amp;A114&amp;")"</f>
        <v>RATE BASE  (sum lines 22, 31, 32, &amp; 37)</v>
      </c>
      <c r="D116" s="8"/>
      <c r="E116" s="107">
        <f>+E96+E106+E108+E114</f>
        <v>1301189631.5635147</v>
      </c>
      <c r="F116" s="8"/>
      <c r="G116" s="8"/>
      <c r="H116" s="35"/>
      <c r="I116" s="8"/>
      <c r="J116" s="107">
        <f>+J96+J106+J108+J114</f>
        <v>8476994.8913737684</v>
      </c>
      <c r="K116" s="8"/>
      <c r="L116" s="8"/>
      <c r="M116" s="8"/>
    </row>
    <row r="117" spans="1:13" ht="15.6" thickTop="1">
      <c r="A117" s="9"/>
      <c r="C117" s="7"/>
      <c r="D117" s="8"/>
      <c r="E117" s="8"/>
      <c r="F117" s="8"/>
      <c r="G117" s="8"/>
      <c r="H117" s="8"/>
      <c r="I117" s="8"/>
      <c r="J117" s="106"/>
      <c r="K117" s="8"/>
      <c r="L117" s="8"/>
      <c r="M117" s="23"/>
    </row>
    <row r="118" spans="1:13">
      <c r="A118" s="9"/>
      <c r="C118" s="69"/>
      <c r="D118" s="8"/>
      <c r="E118" s="8"/>
      <c r="F118" s="8"/>
      <c r="G118" s="8"/>
      <c r="H118" s="8"/>
      <c r="I118" s="8"/>
      <c r="J118" s="106"/>
      <c r="K118" s="8"/>
      <c r="L118" s="8"/>
      <c r="M118" s="23"/>
    </row>
    <row r="119" spans="1:13">
      <c r="A119" s="9"/>
      <c r="C119" s="70"/>
      <c r="D119" s="8"/>
      <c r="E119" s="8"/>
      <c r="F119" s="8"/>
      <c r="G119" s="8"/>
      <c r="H119" s="8"/>
      <c r="I119" s="8"/>
      <c r="J119" s="106"/>
      <c r="K119" s="8"/>
      <c r="L119" s="8"/>
      <c r="M119" s="23"/>
    </row>
    <row r="120" spans="1:13">
      <c r="A120" s="9"/>
      <c r="C120" s="69"/>
      <c r="D120" s="8"/>
      <c r="E120" s="8"/>
      <c r="F120" s="8"/>
      <c r="G120" s="8"/>
      <c r="H120" s="8"/>
      <c r="I120" s="8"/>
      <c r="J120" s="106"/>
      <c r="K120" s="8"/>
      <c r="L120" s="8"/>
      <c r="M120" s="23"/>
    </row>
    <row r="121" spans="1:13">
      <c r="A121" s="9"/>
      <c r="C121" s="70"/>
      <c r="D121" s="8"/>
      <c r="E121" s="8"/>
      <c r="F121" s="8"/>
      <c r="G121" s="8"/>
      <c r="H121" s="8"/>
      <c r="I121" s="8"/>
      <c r="J121" s="106"/>
      <c r="K121" s="8"/>
      <c r="L121" s="8"/>
      <c r="M121" s="23"/>
    </row>
    <row r="122" spans="1:13">
      <c r="A122" s="9"/>
      <c r="C122" s="70"/>
      <c r="D122" s="8"/>
      <c r="E122" s="8"/>
      <c r="F122" s="8"/>
      <c r="G122" s="8"/>
      <c r="H122" s="8"/>
      <c r="I122" s="8"/>
      <c r="J122" s="106"/>
      <c r="K122" s="8"/>
      <c r="L122" s="8"/>
      <c r="M122" s="23"/>
    </row>
    <row r="123" spans="1:13">
      <c r="A123" s="9"/>
      <c r="D123" s="8"/>
      <c r="E123" s="8"/>
      <c r="F123" s="8"/>
      <c r="G123" s="8"/>
      <c r="H123" s="8"/>
      <c r="I123" s="8"/>
      <c r="J123" s="106"/>
      <c r="K123" s="8"/>
      <c r="L123" s="8"/>
      <c r="M123" s="23"/>
    </row>
    <row r="124" spans="1:13">
      <c r="A124" s="9"/>
      <c r="C124" s="19"/>
      <c r="D124" s="8"/>
      <c r="E124" s="8"/>
      <c r="F124" s="8"/>
      <c r="G124" s="8"/>
      <c r="H124" s="8"/>
      <c r="I124" s="8"/>
      <c r="J124" s="106"/>
      <c r="K124" s="8"/>
      <c r="L124" s="8"/>
      <c r="M124" s="23"/>
    </row>
    <row r="125" spans="1:13">
      <c r="A125" s="9"/>
      <c r="C125" s="20"/>
      <c r="D125" s="8"/>
      <c r="E125" s="8"/>
      <c r="F125" s="8"/>
      <c r="G125" s="8"/>
      <c r="H125" s="8"/>
      <c r="I125" s="8"/>
      <c r="J125" s="106"/>
      <c r="K125" s="8"/>
      <c r="L125" s="8"/>
      <c r="M125" s="23"/>
    </row>
    <row r="126" spans="1:13">
      <c r="A126" s="9"/>
      <c r="C126" s="20"/>
      <c r="D126" s="8"/>
      <c r="E126" s="8"/>
      <c r="F126" s="8"/>
      <c r="G126" s="8"/>
      <c r="H126" s="8"/>
      <c r="I126" s="8"/>
      <c r="J126" s="106"/>
      <c r="K126" s="8"/>
      <c r="L126" s="8"/>
      <c r="M126" s="23"/>
    </row>
    <row r="127" spans="1:13">
      <c r="A127" s="9"/>
      <c r="C127" s="7"/>
      <c r="D127" s="8"/>
      <c r="E127" s="8"/>
      <c r="F127" s="8"/>
      <c r="G127" s="8"/>
      <c r="H127" s="8"/>
      <c r="I127" s="8"/>
      <c r="J127" s="106"/>
      <c r="K127" s="8"/>
      <c r="L127" s="8"/>
      <c r="M127" s="23"/>
    </row>
    <row r="128" spans="1:13">
      <c r="A128" s="9"/>
      <c r="C128" s="2"/>
      <c r="D128" s="2"/>
      <c r="E128" s="3"/>
      <c r="F128" s="2"/>
      <c r="G128" s="2"/>
      <c r="H128" s="2"/>
      <c r="I128" s="2"/>
      <c r="J128" s="108"/>
      <c r="K128" s="4"/>
      <c r="L128" s="4"/>
      <c r="M128" s="5" t="s">
        <v>370</v>
      </c>
    </row>
    <row r="129" spans="1:14">
      <c r="A129" s="9"/>
      <c r="C129" s="2"/>
      <c r="D129" s="2"/>
      <c r="E129" s="3"/>
      <c r="F129" s="2"/>
      <c r="G129" s="2"/>
      <c r="H129" s="2"/>
      <c r="I129" s="2"/>
      <c r="J129" s="109"/>
      <c r="K129" s="5"/>
      <c r="L129" s="5"/>
      <c r="M129" s="6" t="s">
        <v>374</v>
      </c>
    </row>
    <row r="130" spans="1:14">
      <c r="A130" s="9"/>
      <c r="C130" s="2"/>
      <c r="D130" s="2"/>
      <c r="E130" s="3"/>
      <c r="F130" s="2"/>
      <c r="G130" s="2"/>
      <c r="H130" s="2"/>
      <c r="I130" s="2"/>
      <c r="J130" s="110"/>
      <c r="K130" s="6"/>
      <c r="L130" s="6"/>
      <c r="M130" s="6"/>
    </row>
    <row r="131" spans="1:14">
      <c r="A131" s="9"/>
      <c r="C131" s="2"/>
      <c r="D131" s="2"/>
      <c r="E131" s="3"/>
      <c r="F131" s="2"/>
      <c r="G131" s="2"/>
      <c r="H131" s="2"/>
      <c r="I131" s="2"/>
      <c r="J131" s="111"/>
      <c r="K131" s="7"/>
      <c r="L131" s="6"/>
      <c r="M131" s="6"/>
    </row>
    <row r="132" spans="1:14">
      <c r="A132" s="9"/>
      <c r="C132" s="2"/>
      <c r="D132" s="2"/>
      <c r="E132" s="3"/>
      <c r="F132" s="2"/>
      <c r="G132" s="2"/>
      <c r="H132" s="2"/>
      <c r="I132" s="2"/>
      <c r="J132" s="111"/>
      <c r="K132" s="7"/>
      <c r="L132" s="6"/>
    </row>
    <row r="133" spans="1:14">
      <c r="A133" s="9"/>
      <c r="C133" s="2" t="s">
        <v>27</v>
      </c>
      <c r="D133" s="73"/>
      <c r="E133" s="73" t="s">
        <v>121</v>
      </c>
      <c r="F133" s="2"/>
      <c r="G133" s="2"/>
      <c r="H133" s="2"/>
      <c r="I133" s="2"/>
      <c r="J133" s="93"/>
      <c r="K133" s="7"/>
      <c r="L133" s="7"/>
    </row>
    <row r="134" spans="1:14">
      <c r="A134" s="9"/>
      <c r="C134" s="2"/>
      <c r="D134" s="8" t="s">
        <v>28</v>
      </c>
      <c r="E134" s="8" t="s">
        <v>29</v>
      </c>
      <c r="F134" s="8"/>
      <c r="G134" s="8"/>
      <c r="H134" s="8"/>
      <c r="I134" s="2"/>
      <c r="J134" s="111"/>
      <c r="K134" s="7"/>
      <c r="L134" s="7"/>
    </row>
    <row r="135" spans="1:14">
      <c r="A135" s="9"/>
      <c r="C135" s="2"/>
      <c r="D135" s="8"/>
      <c r="E135" s="8"/>
      <c r="F135" s="8"/>
      <c r="G135" s="8"/>
      <c r="H135" s="8"/>
      <c r="I135" s="2"/>
      <c r="J135" s="111"/>
      <c r="K135" s="203"/>
      <c r="L135" s="204"/>
      <c r="M135" s="202" t="str">
        <f>+M70</f>
        <v>For the 12 months ended 5/31/24</v>
      </c>
    </row>
    <row r="136" spans="1:14" ht="15.6">
      <c r="A136" s="9"/>
      <c r="D136" s="7"/>
      <c r="E136" s="205" t="str">
        <f>+E71</f>
        <v>HURLEY AVENUE PROJECT - SYSTEM DELIVERABILITY UPGRADE</v>
      </c>
      <c r="F136" s="7"/>
      <c r="G136" s="7"/>
      <c r="H136" s="7"/>
      <c r="I136" s="7"/>
      <c r="J136" s="106"/>
      <c r="K136" s="8"/>
      <c r="L136" s="8"/>
      <c r="M136" s="320"/>
    </row>
    <row r="137" spans="1:14">
      <c r="A137" s="9"/>
      <c r="C137" s="24" t="s">
        <v>30</v>
      </c>
      <c r="D137" s="24" t="s">
        <v>31</v>
      </c>
      <c r="E137" s="24" t="s">
        <v>32</v>
      </c>
      <c r="F137" s="8" t="s">
        <v>28</v>
      </c>
      <c r="G137" s="8"/>
      <c r="H137" s="25" t="s">
        <v>33</v>
      </c>
      <c r="I137" s="8"/>
      <c r="J137" s="112" t="s">
        <v>34</v>
      </c>
      <c r="K137" s="8"/>
      <c r="L137" s="10"/>
      <c r="M137" s="10"/>
    </row>
    <row r="138" spans="1:14" ht="15.6">
      <c r="A138" s="9"/>
      <c r="C138" s="24"/>
      <c r="D138" s="37"/>
      <c r="E138" s="37"/>
      <c r="F138" s="37"/>
      <c r="G138" s="37"/>
      <c r="H138" s="37"/>
      <c r="I138" s="37"/>
      <c r="J138" s="113"/>
      <c r="K138" s="37"/>
      <c r="L138" s="28"/>
      <c r="M138" s="37"/>
    </row>
    <row r="139" spans="1:14" ht="15.6">
      <c r="A139" s="9"/>
      <c r="C139" s="7"/>
      <c r="D139" s="27" t="s">
        <v>44</v>
      </c>
      <c r="E139" s="8"/>
      <c r="F139" s="8"/>
      <c r="G139" s="8"/>
      <c r="H139" s="4"/>
      <c r="I139" s="8"/>
      <c r="J139" s="114" t="s">
        <v>45</v>
      </c>
      <c r="K139" s="8"/>
      <c r="L139" s="24"/>
      <c r="M139" s="29"/>
    </row>
    <row r="140" spans="1:14" ht="15.6">
      <c r="A140" s="9"/>
      <c r="C140" s="7"/>
      <c r="D140" s="30" t="s">
        <v>46</v>
      </c>
      <c r="E140" s="28" t="s">
        <v>47</v>
      </c>
      <c r="F140" s="31"/>
      <c r="G140" s="28" t="s">
        <v>48</v>
      </c>
      <c r="H140" s="7"/>
      <c r="I140" s="31"/>
      <c r="J140" s="115" t="s">
        <v>49</v>
      </c>
      <c r="K140" s="8"/>
      <c r="L140" s="4"/>
      <c r="M140" s="4"/>
    </row>
    <row r="141" spans="1:14" ht="15.6">
      <c r="A141" s="9"/>
      <c r="C141" s="7"/>
      <c r="D141" s="8"/>
      <c r="E141" s="38"/>
      <c r="F141" s="39"/>
      <c r="G141" s="30"/>
      <c r="H141" s="7"/>
      <c r="I141" s="39"/>
      <c r="J141" s="93"/>
    </row>
    <row r="142" spans="1:14" ht="15.6">
      <c r="A142" s="9"/>
      <c r="C142" s="7" t="s">
        <v>64</v>
      </c>
      <c r="D142" s="8"/>
      <c r="E142" s="8"/>
      <c r="F142" s="999"/>
      <c r="I142" s="8"/>
      <c r="J142" s="93"/>
    </row>
    <row r="143" spans="1:14">
      <c r="A143" s="9">
        <f>+A116+1</f>
        <v>39</v>
      </c>
      <c r="C143" s="7" t="s">
        <v>65</v>
      </c>
      <c r="D143" s="8" t="s">
        <v>879</v>
      </c>
      <c r="E143" s="587">
        <f>7387957+7944102</f>
        <v>15332059</v>
      </c>
      <c r="F143" s="8"/>
      <c r="G143" s="8" t="s">
        <v>889</v>
      </c>
      <c r="H143" s="1001">
        <f>+J228</f>
        <v>4.8282496946761053E-2</v>
      </c>
      <c r="I143" s="8"/>
      <c r="J143" s="93">
        <f t="shared" ref="J143:J151" si="2">+H143*E143</f>
        <v>740270.09185506031</v>
      </c>
      <c r="K143" s="8"/>
      <c r="L143" s="8"/>
      <c r="M143" s="8"/>
      <c r="N143" s="40"/>
    </row>
    <row r="144" spans="1:14">
      <c r="A144" s="9">
        <f t="shared" ref="A144:A148" si="3">+A143+1</f>
        <v>40</v>
      </c>
      <c r="C144" s="7" t="s">
        <v>311</v>
      </c>
      <c r="D144" s="8" t="s">
        <v>880</v>
      </c>
      <c r="E144" s="587">
        <f>2192589+107110+23316</f>
        <v>2323015</v>
      </c>
      <c r="F144" s="8"/>
      <c r="G144" s="8" t="str">
        <f>+G143</f>
        <v>AGP</v>
      </c>
      <c r="H144" s="1001">
        <f>+H143</f>
        <v>4.8282496946761053E-2</v>
      </c>
      <c r="I144" s="8"/>
      <c r="J144" s="93">
        <f t="shared" si="2"/>
        <v>112160.96464478012</v>
      </c>
      <c r="K144" s="8"/>
      <c r="L144" s="8"/>
      <c r="M144" s="8"/>
      <c r="N144" s="40"/>
    </row>
    <row r="145" spans="1:15">
      <c r="A145" s="9">
        <f t="shared" si="3"/>
        <v>41</v>
      </c>
      <c r="C145" s="7" t="s">
        <v>66</v>
      </c>
      <c r="D145" s="8" t="s">
        <v>881</v>
      </c>
      <c r="E145" s="587">
        <v>67805185</v>
      </c>
      <c r="F145" s="8"/>
      <c r="G145" s="8" t="s">
        <v>55</v>
      </c>
      <c r="H145" s="1001">
        <f>J246</f>
        <v>2.5849081312395196E-3</v>
      </c>
      <c r="I145" s="8"/>
      <c r="J145" s="93">
        <f t="shared" si="2"/>
        <v>175270.17404669992</v>
      </c>
      <c r="K145" s="8"/>
      <c r="L145" s="8"/>
      <c r="M145" s="8"/>
    </row>
    <row r="146" spans="1:15" ht="15.6">
      <c r="A146" s="9">
        <f t="shared" si="3"/>
        <v>42</v>
      </c>
      <c r="C146" s="7" t="s">
        <v>261</v>
      </c>
      <c r="D146" s="7" t="str">
        <f>" (Note "&amp;A294&amp;" &amp; Attach 3, line 171)"</f>
        <v xml:space="preserve"> (Note D &amp; Attach 3, line 171)</v>
      </c>
      <c r="E146" s="74">
        <f>+'3 - Cost Support'!G55+'3 - Cost Support'!G64+'3 - Cost Support'!G79</f>
        <v>2699860</v>
      </c>
      <c r="F146" s="8"/>
      <c r="G146" s="8" t="s">
        <v>55</v>
      </c>
      <c r="H146" s="1001">
        <f>+J$246</f>
        <v>2.5849081312395196E-3</v>
      </c>
      <c r="I146" s="8"/>
      <c r="J146" s="93">
        <f t="shared" si="2"/>
        <v>6978.8900672083291</v>
      </c>
      <c r="K146" s="610"/>
      <c r="L146" s="8"/>
      <c r="M146" s="8"/>
    </row>
    <row r="147" spans="1:15">
      <c r="A147" s="9">
        <f t="shared" si="3"/>
        <v>43</v>
      </c>
      <c r="C147" s="7" t="s">
        <v>263</v>
      </c>
      <c r="D147" s="7" t="str">
        <f>" (Note "&amp;A294&amp;" &amp; Attach 3, line 172)"</f>
        <v xml:space="preserve"> (Note D &amp; Attach 3, line 172)</v>
      </c>
      <c r="E147" s="74">
        <f>+'3 - Cost Support'!H64</f>
        <v>0</v>
      </c>
      <c r="F147" s="8"/>
      <c r="G147" s="41" t="str">
        <f>+G143</f>
        <v>AGP</v>
      </c>
      <c r="H147" s="1001">
        <f>+H143</f>
        <v>4.8282496946761053E-2</v>
      </c>
      <c r="I147" s="8"/>
      <c r="J147" s="93">
        <f t="shared" si="2"/>
        <v>0</v>
      </c>
      <c r="K147" s="8"/>
      <c r="L147" s="8"/>
      <c r="M147" s="8"/>
    </row>
    <row r="148" spans="1:15">
      <c r="A148" s="9">
        <f t="shared" si="3"/>
        <v>44</v>
      </c>
      <c r="C148" s="7" t="s">
        <v>238</v>
      </c>
      <c r="D148" s="8" t="s">
        <v>672</v>
      </c>
      <c r="E148" s="74">
        <f>+'3 - Cost Support'!F183</f>
        <v>0</v>
      </c>
      <c r="F148" s="8"/>
      <c r="G148" s="41" t="s">
        <v>55</v>
      </c>
      <c r="H148" s="1001">
        <f>+J$246</f>
        <v>2.5849081312395196E-3</v>
      </c>
      <c r="I148" s="8"/>
      <c r="J148" s="93">
        <f t="shared" si="2"/>
        <v>0</v>
      </c>
      <c r="K148" s="8"/>
      <c r="L148" s="8"/>
      <c r="M148" s="8"/>
    </row>
    <row r="149" spans="1:15" ht="15.6">
      <c r="A149" s="606" t="s">
        <v>479</v>
      </c>
      <c r="C149" s="7" t="s">
        <v>482</v>
      </c>
      <c r="D149" s="8" t="s">
        <v>882</v>
      </c>
      <c r="E149" s="607">
        <v>1724209</v>
      </c>
      <c r="F149" s="8"/>
      <c r="G149" s="8" t="s">
        <v>55</v>
      </c>
      <c r="H149" s="1001">
        <f>+J$246</f>
        <v>2.5849081312395196E-3</v>
      </c>
      <c r="I149" s="8"/>
      <c r="J149" s="93">
        <f t="shared" si="2"/>
        <v>4456.9218640563604</v>
      </c>
      <c r="K149" s="610"/>
      <c r="L149" s="8"/>
      <c r="M149" s="8"/>
    </row>
    <row r="150" spans="1:15">
      <c r="A150" s="606" t="s">
        <v>480</v>
      </c>
      <c r="C150" s="7" t="s">
        <v>483</v>
      </c>
      <c r="D150" s="8" t="s">
        <v>744</v>
      </c>
      <c r="E150" s="74">
        <f>+'9 - Workpaper'!I20</f>
        <v>0</v>
      </c>
      <c r="F150" s="8"/>
      <c r="G150" s="8" t="s">
        <v>55</v>
      </c>
      <c r="H150" s="1001">
        <f>+J$246</f>
        <v>2.5849081312395196E-3</v>
      </c>
      <c r="I150" s="8"/>
      <c r="J150" s="93">
        <f t="shared" si="2"/>
        <v>0</v>
      </c>
      <c r="K150" s="8"/>
      <c r="L150" s="8"/>
      <c r="M150" s="8"/>
    </row>
    <row r="151" spans="1:15">
      <c r="A151" s="606" t="s">
        <v>481</v>
      </c>
      <c r="C151" s="7" t="s">
        <v>484</v>
      </c>
      <c r="D151" s="8" t="s">
        <v>485</v>
      </c>
      <c r="E151" s="314">
        <f>+E149-E150</f>
        <v>1724209</v>
      </c>
      <c r="F151" s="8"/>
      <c r="G151" s="8" t="s">
        <v>55</v>
      </c>
      <c r="H151" s="1001">
        <f>+J$246</f>
        <v>2.5849081312395196E-3</v>
      </c>
      <c r="I151" s="8"/>
      <c r="J151" s="316">
        <f t="shared" si="2"/>
        <v>4456.9218640563604</v>
      </c>
      <c r="K151" s="8"/>
      <c r="L151" s="8"/>
      <c r="M151" s="8"/>
    </row>
    <row r="152" spans="1:15">
      <c r="A152" s="9">
        <f>+A148+1</f>
        <v>45</v>
      </c>
      <c r="C152" s="7" t="str">
        <f>"TOTAL O&amp;M   (sum lines "&amp;A143&amp;", "&amp;A145&amp;", "&amp;A147&amp;", "&amp;A148&amp;", "&amp;A150&amp;", "&amp;A151&amp;" less lines "&amp;A144&amp;" &amp; "&amp;A146&amp;", "&amp;A149&amp;") (Note D)"</f>
        <v>TOTAL O&amp;M   (sum lines 39, 41, 43, 44, 44b, 44c less lines 40 &amp; 42, 44a) (Note D)</v>
      </c>
      <c r="D152" s="8"/>
      <c r="E152" s="106">
        <f>E143-E144+E145-E146+E147+E148-E149+E151</f>
        <v>78114369</v>
      </c>
      <c r="F152" s="8"/>
      <c r="G152" s="8"/>
      <c r="H152" s="1008"/>
      <c r="I152" s="8"/>
      <c r="J152" s="106">
        <f>J143-J144+J145-J146+J147+J148-J149+J151</f>
        <v>796400.41118977172</v>
      </c>
      <c r="K152" s="8"/>
      <c r="L152" s="8"/>
      <c r="M152" s="8"/>
    </row>
    <row r="153" spans="1:15">
      <c r="A153" s="9"/>
      <c r="D153" s="8"/>
      <c r="E153" s="93"/>
      <c r="F153" s="8"/>
      <c r="G153" s="8"/>
      <c r="H153" s="1008"/>
      <c r="I153" s="8"/>
      <c r="J153" s="93"/>
      <c r="K153" s="8"/>
      <c r="L153" s="8"/>
      <c r="M153" s="8"/>
    </row>
    <row r="154" spans="1:15">
      <c r="A154" s="9"/>
      <c r="C154" s="7" t="s">
        <v>640</v>
      </c>
      <c r="D154" s="8"/>
      <c r="E154" s="106"/>
      <c r="F154" s="8"/>
      <c r="G154" s="8"/>
      <c r="H154" s="1008"/>
      <c r="I154" s="8"/>
      <c r="J154" s="106"/>
      <c r="K154" s="8"/>
      <c r="L154" s="8"/>
      <c r="M154" s="8"/>
    </row>
    <row r="155" spans="1:15">
      <c r="A155" s="9">
        <f>+A152+1</f>
        <v>46</v>
      </c>
      <c r="C155" s="7" t="str">
        <f>+C143</f>
        <v xml:space="preserve">  Transmission </v>
      </c>
      <c r="D155" s="8" t="s">
        <v>875</v>
      </c>
      <c r="E155" s="117">
        <v>198476</v>
      </c>
      <c r="F155" s="8"/>
      <c r="G155" s="8" t="s">
        <v>144</v>
      </c>
      <c r="H155" s="1001">
        <v>1</v>
      </c>
      <c r="I155" s="8"/>
      <c r="J155" s="93">
        <f>+H155*E155</f>
        <v>198476</v>
      </c>
      <c r="K155" s="8"/>
      <c r="L155" s="8"/>
      <c r="M155" s="8"/>
      <c r="N155" s="40"/>
    </row>
    <row r="156" spans="1:15">
      <c r="A156" s="9">
        <f>+A155+1</f>
        <v>47</v>
      </c>
      <c r="C156" s="7" t="s">
        <v>229</v>
      </c>
      <c r="D156" s="8" t="s">
        <v>876</v>
      </c>
      <c r="E156" s="117">
        <v>393664</v>
      </c>
      <c r="F156" s="8"/>
      <c r="G156" s="8" t="s">
        <v>55</v>
      </c>
      <c r="H156" s="702">
        <f>+J246</f>
        <v>2.5849081312395196E-3</v>
      </c>
      <c r="I156" s="8"/>
      <c r="J156" s="93">
        <f>+H156*E156</f>
        <v>1017.5852745762743</v>
      </c>
      <c r="K156" s="8"/>
      <c r="L156" s="8"/>
      <c r="M156" s="8"/>
      <c r="N156" s="23"/>
    </row>
    <row r="157" spans="1:15">
      <c r="A157" s="9">
        <f>+A156+1</f>
        <v>48</v>
      </c>
      <c r="C157" s="312" t="s">
        <v>226</v>
      </c>
      <c r="D157" s="313" t="s">
        <v>476</v>
      </c>
      <c r="E157" s="314">
        <f>+'3 - Cost Support'!H9</f>
        <v>0</v>
      </c>
      <c r="F157" s="313"/>
      <c r="G157" s="313" t="s">
        <v>144</v>
      </c>
      <c r="H157" s="1005">
        <v>1</v>
      </c>
      <c r="I157" s="313"/>
      <c r="J157" s="316">
        <f>+H157*E157</f>
        <v>0</v>
      </c>
      <c r="K157" s="8"/>
      <c r="L157" s="8"/>
      <c r="M157" s="8"/>
      <c r="N157" s="23"/>
    </row>
    <row r="158" spans="1:15">
      <c r="A158" s="9">
        <f>+A157+1</f>
        <v>49</v>
      </c>
      <c r="C158" s="71" t="str">
        <f>"TOTAL DEPRECIATION (Sum lines "&amp;A155&amp;"-"&amp;A157&amp;")"</f>
        <v>TOTAL DEPRECIATION (Sum lines 46-48)</v>
      </c>
      <c r="D158" s="8"/>
      <c r="E158" s="106">
        <f>SUM(E155:E157)</f>
        <v>592140</v>
      </c>
      <c r="F158" s="8"/>
      <c r="G158" s="8"/>
      <c r="H158" s="466"/>
      <c r="I158" s="8"/>
      <c r="J158" s="106">
        <f>SUM(J155:J157)</f>
        <v>199493.58527457627</v>
      </c>
      <c r="K158" s="8"/>
      <c r="L158" s="8"/>
      <c r="N158" s="8"/>
      <c r="O158" s="88"/>
    </row>
    <row r="159" spans="1:15">
      <c r="A159" s="9"/>
      <c r="C159" s="7"/>
      <c r="D159" s="8"/>
      <c r="E159" s="106"/>
      <c r="F159" s="8"/>
      <c r="G159" s="8"/>
      <c r="H159" s="466"/>
      <c r="I159" s="8"/>
      <c r="J159" s="106"/>
      <c r="K159" s="8"/>
      <c r="L159" s="8"/>
      <c r="N159" s="8"/>
    </row>
    <row r="160" spans="1:15">
      <c r="A160" s="9"/>
      <c r="C160" s="7" t="str">
        <f>"TAXES OTHER THAN INCOME TAXES  (Note "&amp;A300&amp;")"</f>
        <v>TAXES OTHER THAN INCOME TAXES  (Note E)</v>
      </c>
      <c r="D160" s="7" t="s">
        <v>935</v>
      </c>
      <c r="E160" s="106"/>
      <c r="F160" s="8"/>
      <c r="G160" s="8"/>
      <c r="H160" s="466"/>
      <c r="I160" s="8"/>
      <c r="J160" s="106"/>
      <c r="K160" s="8"/>
      <c r="L160" s="8"/>
      <c r="N160" s="8"/>
    </row>
    <row r="161" spans="1:15">
      <c r="A161" s="9">
        <f>+A158+1</f>
        <v>50</v>
      </c>
      <c r="C161" s="7" t="s">
        <v>67</v>
      </c>
      <c r="D161" s="7"/>
      <c r="E161" s="106"/>
      <c r="F161" s="8"/>
      <c r="G161" s="8"/>
      <c r="H161" s="466"/>
      <c r="I161" s="8"/>
      <c r="J161" s="106"/>
      <c r="K161" s="8"/>
      <c r="L161" s="8"/>
      <c r="N161" s="8"/>
    </row>
    <row r="162" spans="1:15" ht="35.25" customHeight="1">
      <c r="A162" s="9">
        <f t="shared" ref="A162:A167" si="4">+A161+1</f>
        <v>51</v>
      </c>
      <c r="C162" s="7" t="s">
        <v>68</v>
      </c>
      <c r="D162" s="916" t="s">
        <v>931</v>
      </c>
      <c r="E162" s="607">
        <f>5171731+34344+177362</f>
        <v>5383437</v>
      </c>
      <c r="F162" s="8"/>
      <c r="G162" s="8" t="s">
        <v>55</v>
      </c>
      <c r="H162" s="1001">
        <f>+J$246</f>
        <v>2.5849081312395196E-3</v>
      </c>
      <c r="I162" s="8"/>
      <c r="J162" s="93">
        <f>+H162*E162</f>
        <v>13915.690075315686</v>
      </c>
      <c r="K162" s="1024"/>
      <c r="L162" s="8"/>
      <c r="N162" s="8"/>
    </row>
    <row r="163" spans="1:15" ht="36.75" customHeight="1">
      <c r="A163" s="9">
        <f t="shared" si="4"/>
        <v>52</v>
      </c>
      <c r="C163" s="7" t="s">
        <v>69</v>
      </c>
      <c r="D163" s="916" t="s">
        <v>382</v>
      </c>
      <c r="E163" s="117">
        <v>0</v>
      </c>
      <c r="F163" s="8"/>
      <c r="G163" s="8" t="str">
        <f>+G162</f>
        <v>W/S</v>
      </c>
      <c r="H163" s="1001">
        <f>+J$246</f>
        <v>2.5849081312395196E-3</v>
      </c>
      <c r="I163" s="8"/>
      <c r="J163" s="93">
        <f>+H163*E163</f>
        <v>0</v>
      </c>
      <c r="K163" s="1024"/>
      <c r="L163" s="8"/>
      <c r="N163" s="8"/>
    </row>
    <row r="164" spans="1:15" ht="30.75" customHeight="1">
      <c r="A164" s="9"/>
      <c r="C164" s="7" t="s">
        <v>70</v>
      </c>
      <c r="D164" s="42" t="s">
        <v>28</v>
      </c>
      <c r="E164" s="106"/>
      <c r="F164" s="8"/>
      <c r="G164" s="8"/>
      <c r="H164" s="466"/>
      <c r="I164" s="8"/>
      <c r="J164" s="106"/>
      <c r="K164" s="1024"/>
      <c r="L164" s="8"/>
      <c r="N164" s="8"/>
    </row>
    <row r="165" spans="1:15" ht="33.75" customHeight="1">
      <c r="A165" s="9">
        <f>+A163+1</f>
        <v>53</v>
      </c>
      <c r="C165" s="7" t="s">
        <v>71</v>
      </c>
      <c r="D165" s="916" t="s">
        <v>932</v>
      </c>
      <c r="E165" s="607">
        <f>27424668+18788045</f>
        <v>46212713</v>
      </c>
      <c r="F165" s="8"/>
      <c r="G165" s="8" t="s">
        <v>894</v>
      </c>
      <c r="H165" s="702">
        <f>J236</f>
        <v>1.4444767987278218E-2</v>
      </c>
      <c r="I165" s="8"/>
      <c r="J165" s="93">
        <f>+H165*E165</f>
        <v>667531.917347676</v>
      </c>
      <c r="K165" s="1024"/>
      <c r="L165" s="8"/>
      <c r="N165" s="8"/>
    </row>
    <row r="166" spans="1:15">
      <c r="A166" s="9">
        <f t="shared" si="4"/>
        <v>54</v>
      </c>
      <c r="C166" s="7" t="s">
        <v>72</v>
      </c>
      <c r="D166" s="916" t="s">
        <v>883</v>
      </c>
      <c r="E166" s="117">
        <v>-7259</v>
      </c>
      <c r="F166" s="8"/>
      <c r="G166" s="8" t="s">
        <v>52</v>
      </c>
      <c r="H166" s="325">
        <v>0</v>
      </c>
      <c r="I166" s="8"/>
      <c r="J166" s="93">
        <f>+H166*E166</f>
        <v>0</v>
      </c>
      <c r="K166" s="8"/>
      <c r="L166" s="8"/>
      <c r="N166" s="8"/>
    </row>
    <row r="167" spans="1:15" ht="27.75" customHeight="1">
      <c r="A167" s="9">
        <f t="shared" si="4"/>
        <v>55</v>
      </c>
      <c r="C167" s="7" t="s">
        <v>73</v>
      </c>
      <c r="D167" s="916" t="s">
        <v>884</v>
      </c>
      <c r="E167" s="1055">
        <v>720</v>
      </c>
      <c r="F167" s="8"/>
      <c r="G167" s="8" t="str">
        <f>+G165</f>
        <v>AEP</v>
      </c>
      <c r="H167" s="702">
        <f>H165</f>
        <v>1.4444767987278218E-2</v>
      </c>
      <c r="I167" s="8"/>
      <c r="J167" s="316">
        <f>+H167*E167</f>
        <v>10.400232950840318</v>
      </c>
      <c r="K167" s="1024"/>
      <c r="L167" s="8"/>
      <c r="N167" s="8"/>
    </row>
    <row r="168" spans="1:15">
      <c r="A168" s="9">
        <f>+A167+1</f>
        <v>56</v>
      </c>
      <c r="C168" s="7" t="str">
        <f>"TOTAL OTHER TAXES  (sum lines "&amp;A162&amp;"-"&amp;A167&amp;")"</f>
        <v>TOTAL OTHER TAXES  (sum lines 51-55)</v>
      </c>
      <c r="D168" s="8"/>
      <c r="E168" s="106">
        <f>SUM(E162:E167)</f>
        <v>51589611</v>
      </c>
      <c r="F168" s="8"/>
      <c r="G168" s="8"/>
      <c r="H168" s="466"/>
      <c r="I168" s="8"/>
      <c r="J168" s="106">
        <f>SUM(J162:J167)</f>
        <v>681458.00765594246</v>
      </c>
      <c r="K168" s="8"/>
      <c r="L168" s="8"/>
      <c r="N168" s="8"/>
      <c r="O168" s="88"/>
    </row>
    <row r="169" spans="1:15">
      <c r="A169" s="9"/>
      <c r="C169" s="7"/>
      <c r="D169" s="8"/>
      <c r="E169" s="8"/>
      <c r="F169" s="8"/>
      <c r="G169" s="8"/>
      <c r="H169" s="466"/>
      <c r="I169" s="8"/>
      <c r="J169" s="106"/>
      <c r="K169" s="8"/>
      <c r="L169" s="8"/>
      <c r="N169" s="8"/>
    </row>
    <row r="170" spans="1:15">
      <c r="A170" s="9"/>
      <c r="C170" s="7" t="s">
        <v>74</v>
      </c>
      <c r="D170" s="8" t="str">
        <f>" (Note "&amp;A303&amp;")"</f>
        <v xml:space="preserve"> (Note F)</v>
      </c>
      <c r="E170" s="8"/>
      <c r="F170" s="8"/>
      <c r="H170" s="473"/>
      <c r="I170" s="8"/>
      <c r="J170" s="93"/>
      <c r="K170" s="8"/>
      <c r="L170" s="8"/>
      <c r="N170" s="8"/>
    </row>
    <row r="171" spans="1:15">
      <c r="A171" s="9">
        <f>+A168+1</f>
        <v>57</v>
      </c>
      <c r="C171" s="44" t="s">
        <v>408</v>
      </c>
      <c r="D171" s="8"/>
      <c r="E171" s="992">
        <f>IF(E306&gt;0,1-(((1-E307)*(1-E306))/(1-E307*E306*E308)),0)*(1-E309)</f>
        <v>0.26134999999999997</v>
      </c>
      <c r="F171" s="8"/>
      <c r="H171" s="43"/>
      <c r="I171" s="23"/>
      <c r="J171" s="976">
        <f>E171</f>
        <v>0.26134999999999997</v>
      </c>
      <c r="K171" s="8"/>
      <c r="L171" s="8"/>
      <c r="N171" s="8"/>
    </row>
    <row r="172" spans="1:15">
      <c r="A172" s="9">
        <f t="shared" ref="A172:A176" si="5">+A171+1</f>
        <v>58</v>
      </c>
      <c r="C172" s="1" t="s">
        <v>75</v>
      </c>
      <c r="D172" s="8"/>
      <c r="E172" s="975">
        <f>IF(J253&gt;0,(E171/(1-E171))*(1-J250/J253),0)</f>
        <v>0.24771684300541777</v>
      </c>
      <c r="F172" s="8"/>
      <c r="H172" s="43"/>
      <c r="I172" s="23"/>
      <c r="J172" s="976">
        <f>E172</f>
        <v>0.24771684300541777</v>
      </c>
      <c r="K172" s="8"/>
      <c r="L172" s="8"/>
      <c r="N172" s="8"/>
    </row>
    <row r="173" spans="1:15">
      <c r="A173" s="9">
        <f t="shared" si="5"/>
        <v>59</v>
      </c>
      <c r="C173" s="7" t="str">
        <f>"       where WCLTD=(line "&amp;A250&amp;") and R= (line "&amp;A253&amp;")"</f>
        <v xml:space="preserve">       where WCLTD=(line 90) and R= (line 93)</v>
      </c>
      <c r="D173" s="8"/>
      <c r="E173" s="8"/>
      <c r="F173" s="8"/>
      <c r="H173" s="43"/>
      <c r="I173" s="23"/>
      <c r="J173" s="93"/>
      <c r="K173" s="8"/>
      <c r="L173" s="8"/>
      <c r="N173" s="8"/>
    </row>
    <row r="174" spans="1:15">
      <c r="A174" s="9">
        <f t="shared" si="5"/>
        <v>60</v>
      </c>
      <c r="C174" s="7" t="str">
        <f>"       and FIT, SIT, p, &amp; n are as given in footnote "&amp;A303&amp;"."</f>
        <v xml:space="preserve">       and FIT, SIT, p, &amp; n are as given in footnote F.</v>
      </c>
      <c r="D174" s="8"/>
      <c r="E174" s="8"/>
      <c r="F174" s="8"/>
      <c r="H174" s="43"/>
      <c r="I174" s="23"/>
      <c r="J174" s="93"/>
      <c r="K174" s="8"/>
      <c r="L174" s="8"/>
      <c r="N174" s="8"/>
    </row>
    <row r="175" spans="1:15">
      <c r="A175" s="9">
        <f t="shared" si="5"/>
        <v>61</v>
      </c>
      <c r="C175" s="44" t="str">
        <f>"      1 / (1 - T)  = (T from line "&amp;A171&amp;")"</f>
        <v xml:space="preserve">      1 / (1 - T)  = (T from line 57)</v>
      </c>
      <c r="D175" s="8"/>
      <c r="E175" s="975">
        <f>IF(E171&gt;0,1/(1-E171),0)</f>
        <v>1.3538211602247343</v>
      </c>
      <c r="F175" s="8"/>
      <c r="H175" s="43"/>
      <c r="I175" s="23"/>
      <c r="J175" s="976">
        <f>E175</f>
        <v>1.3538211602247343</v>
      </c>
      <c r="K175" s="8"/>
      <c r="L175" s="8"/>
      <c r="N175" s="8"/>
    </row>
    <row r="176" spans="1:15">
      <c r="A176" s="9">
        <f t="shared" si="5"/>
        <v>62</v>
      </c>
      <c r="C176" s="7" t="s">
        <v>849</v>
      </c>
      <c r="D176" s="8"/>
      <c r="E176" s="117">
        <v>0</v>
      </c>
      <c r="F176" s="8"/>
      <c r="H176" s="43"/>
      <c r="I176" s="8"/>
      <c r="J176" s="93"/>
      <c r="K176" s="8"/>
      <c r="L176" s="8"/>
      <c r="N176" s="8"/>
    </row>
    <row r="177" spans="1:17">
      <c r="A177" s="9"/>
      <c r="C177" s="7"/>
      <c r="D177" s="8"/>
      <c r="E177" s="106"/>
      <c r="F177" s="8"/>
      <c r="H177" s="43"/>
      <c r="I177" s="8"/>
      <c r="J177" s="93"/>
      <c r="K177" s="8"/>
      <c r="L177" s="8"/>
      <c r="N177" s="8"/>
    </row>
    <row r="178" spans="1:17">
      <c r="A178" s="9">
        <f>+A176+1</f>
        <v>63</v>
      </c>
      <c r="C178" s="44" t="str">
        <f>"Income Tax Calculation = line "&amp;A172&amp;" * line "&amp;A183&amp;" * (1-n) "</f>
        <v xml:space="preserve">Income Tax Calculation = line 58 * line 66 * (1-n) </v>
      </c>
      <c r="D178" s="45"/>
      <c r="E178" s="106">
        <f>+E172*E183*(1-E309)</f>
        <v>22385650.03470514</v>
      </c>
      <c r="F178" s="8"/>
      <c r="G178" s="8"/>
      <c r="H178" s="15"/>
      <c r="I178" s="8"/>
      <c r="J178" s="106">
        <f>+J172*J183*(1-J309)</f>
        <v>145838.11335497382</v>
      </c>
      <c r="K178" s="8"/>
      <c r="L178" s="8"/>
      <c r="N178" s="8"/>
    </row>
    <row r="179" spans="1:17">
      <c r="A179" s="9">
        <f>+A178+1</f>
        <v>64</v>
      </c>
      <c r="C179" s="317" t="str">
        <f>"ITC adjustment (line "&amp;A175&amp;" * line "&amp;A176&amp;" * (1- n))"</f>
        <v>ITC adjustment (line 61 * line 62 * (1- n))</v>
      </c>
      <c r="D179" s="318"/>
      <c r="E179" s="315">
        <f>+E175*E176*(1-E309)</f>
        <v>0</v>
      </c>
      <c r="F179" s="313"/>
      <c r="G179" s="317" t="s">
        <v>59</v>
      </c>
      <c r="H179" s="1007">
        <f>+H$96</f>
        <v>6.4444218972739926E-3</v>
      </c>
      <c r="I179" s="313"/>
      <c r="J179" s="315">
        <f>+H179*E179*(1-E309)</f>
        <v>0</v>
      </c>
      <c r="K179" s="8"/>
      <c r="L179" s="8"/>
      <c r="N179" s="8"/>
    </row>
    <row r="180" spans="1:17">
      <c r="A180" s="9">
        <f>+A179+1</f>
        <v>65</v>
      </c>
      <c r="C180" s="46" t="s">
        <v>77</v>
      </c>
      <c r="D180" s="1" t="str">
        <f>"(line "&amp;A178&amp;" plus line "&amp;A179&amp;")"</f>
        <v>(line 63 plus line 64)</v>
      </c>
      <c r="E180" s="116">
        <f>+E179+E178</f>
        <v>22385650.03470514</v>
      </c>
      <c r="F180" s="8"/>
      <c r="G180" s="8" t="s">
        <v>28</v>
      </c>
      <c r="H180" s="15" t="s">
        <v>28</v>
      </c>
      <c r="I180" s="8"/>
      <c r="J180" s="116">
        <f>+J178+J179</f>
        <v>145838.11335497382</v>
      </c>
      <c r="K180" s="8"/>
      <c r="L180" s="48"/>
      <c r="N180" s="8"/>
    </row>
    <row r="181" spans="1:17">
      <c r="A181" s="9"/>
      <c r="D181" s="48"/>
      <c r="E181" s="106"/>
      <c r="F181" s="8"/>
      <c r="G181" s="8"/>
      <c r="H181" s="15"/>
      <c r="I181" s="8"/>
      <c r="J181" s="106"/>
      <c r="K181" s="8"/>
      <c r="L181" s="48"/>
      <c r="N181" s="8"/>
    </row>
    <row r="182" spans="1:17">
      <c r="A182" s="9"/>
      <c r="C182" s="7" t="s">
        <v>78</v>
      </c>
      <c r="D182" s="35"/>
      <c r="E182" s="93"/>
      <c r="H182" s="43"/>
      <c r="I182" s="8"/>
      <c r="K182" s="8"/>
      <c r="L182" s="48"/>
      <c r="N182" s="8"/>
    </row>
    <row r="183" spans="1:17">
      <c r="A183" s="9">
        <f>+A180+1</f>
        <v>66</v>
      </c>
      <c r="C183" s="46" t="str">
        <f>" [ Rate Base (line "&amp;A116&amp;") * Rate of Return (line "&amp;A253&amp;")]"</f>
        <v xml:space="preserve"> [ Rate Base (line 38) * Rate of Return (line 93)]</v>
      </c>
      <c r="D183" s="7"/>
      <c r="E183" s="106">
        <f>+J253*E116</f>
        <v>90367896.518911913</v>
      </c>
      <c r="F183" s="8"/>
      <c r="G183" s="8" t="s">
        <v>52</v>
      </c>
      <c r="H183" s="43"/>
      <c r="I183" s="8"/>
      <c r="J183" s="74">
        <f>+J116*J253</f>
        <v>588729.09724505176</v>
      </c>
      <c r="K183" s="8"/>
      <c r="L183" s="48"/>
      <c r="N183" s="8"/>
    </row>
    <row r="184" spans="1:17">
      <c r="A184" s="9"/>
      <c r="C184" s="7"/>
      <c r="D184" s="7"/>
      <c r="E184" s="8"/>
      <c r="F184" s="8"/>
      <c r="G184" s="8"/>
      <c r="H184" s="43"/>
      <c r="I184" s="8"/>
      <c r="J184" s="548"/>
      <c r="K184" s="8"/>
      <c r="L184" s="48"/>
      <c r="N184" s="8"/>
    </row>
    <row r="185" spans="1:17">
      <c r="A185" s="9">
        <f>+A183+1</f>
        <v>67</v>
      </c>
      <c r="C185" s="7" t="str">
        <f>"Rev Requirement before Incentive Projects  (sum lines "&amp;A152&amp;", "&amp;A158&amp;", "&amp;A168&amp;", "&amp;A180&amp;", "&amp;A183&amp;")"</f>
        <v>Rev Requirement before Incentive Projects  (sum lines 45, 49, 56, 65, 66)</v>
      </c>
      <c r="D185" s="7"/>
      <c r="E185" s="548">
        <f>+E152+E158+E168+E180+E183</f>
        <v>243049666.55361706</v>
      </c>
      <c r="F185" s="513"/>
      <c r="G185" s="513"/>
      <c r="H185" s="591"/>
      <c r="I185" s="513"/>
      <c r="J185" s="548">
        <f>+J152+J158+J168+J180+J183</f>
        <v>2411919.2147203158</v>
      </c>
      <c r="L185" s="48"/>
      <c r="N185" s="8"/>
      <c r="O185" s="88"/>
    </row>
    <row r="186" spans="1:17">
      <c r="A186" s="9"/>
      <c r="C186" s="7"/>
      <c r="D186" s="7"/>
      <c r="E186" s="562"/>
      <c r="F186" s="8"/>
      <c r="G186" s="8"/>
      <c r="H186" s="43"/>
      <c r="I186" s="8"/>
      <c r="J186" s="548"/>
      <c r="K186" s="8"/>
      <c r="L186" s="48"/>
      <c r="M186" s="8"/>
      <c r="N186" s="23"/>
    </row>
    <row r="187" spans="1:17">
      <c r="A187" s="9">
        <f>+A185+1</f>
        <v>68</v>
      </c>
      <c r="C187" s="7" t="s">
        <v>477</v>
      </c>
      <c r="D187" s="7"/>
      <c r="E187" s="314">
        <f>+'4 - Incentives'!I134</f>
        <v>0</v>
      </c>
      <c r="F187" s="8"/>
      <c r="G187" s="8" t="s">
        <v>144</v>
      </c>
      <c r="H187" s="549">
        <v>1</v>
      </c>
      <c r="I187" s="8"/>
      <c r="J187" s="315">
        <f>+H187*E187</f>
        <v>0</v>
      </c>
      <c r="K187" s="8"/>
      <c r="L187" s="8"/>
      <c r="M187" s="8"/>
      <c r="N187" s="23"/>
    </row>
    <row r="188" spans="1:17">
      <c r="A188" s="9"/>
      <c r="C188" s="7"/>
      <c r="D188" s="7"/>
      <c r="E188" s="8"/>
      <c r="F188" s="8"/>
      <c r="G188" s="8"/>
      <c r="H188" s="43"/>
      <c r="I188" s="8"/>
      <c r="J188" s="548"/>
      <c r="K188" s="8"/>
      <c r="L188" s="8"/>
      <c r="M188" s="8"/>
      <c r="N188" s="23"/>
    </row>
    <row r="189" spans="1:17" ht="15.6" thickBot="1">
      <c r="A189" s="9">
        <f>+A187+1</f>
        <v>69</v>
      </c>
      <c r="C189" s="7" t="str">
        <f>"Total Revenue Requirement  (sum lines "&amp;A185&amp;" &amp; "&amp;A187&amp;")"</f>
        <v>Total Revenue Requirement  (sum lines 67 &amp; 68)</v>
      </c>
      <c r="D189" s="8"/>
      <c r="E189" s="107">
        <f>+E183+E180+E168+E158+E152+E187</f>
        <v>243049666.55361706</v>
      </c>
      <c r="F189" s="8"/>
      <c r="G189" s="8"/>
      <c r="H189" s="8"/>
      <c r="I189" s="8"/>
      <c r="J189" s="107">
        <f>+J183+J180+J168+J158+J152+J187</f>
        <v>2411919.2147203162</v>
      </c>
      <c r="K189" s="8"/>
      <c r="L189" s="326"/>
      <c r="M189" s="8"/>
    </row>
    <row r="190" spans="1:17" ht="15.6" thickTop="1">
      <c r="A190" s="9"/>
      <c r="C190" s="49"/>
      <c r="D190" s="49"/>
      <c r="E190" s="49"/>
      <c r="F190" s="49"/>
      <c r="G190" s="49"/>
      <c r="H190" s="49"/>
      <c r="I190" s="49"/>
      <c r="J190" s="49"/>
      <c r="K190" s="49"/>
      <c r="L190" s="49"/>
      <c r="M190" s="49"/>
      <c r="N190" s="49"/>
      <c r="O190" s="49"/>
      <c r="P190" s="49"/>
      <c r="Q190" s="49"/>
    </row>
    <row r="191" spans="1:17">
      <c r="A191" s="9"/>
      <c r="C191" s="7"/>
      <c r="D191" s="49"/>
      <c r="E191" s="49"/>
      <c r="F191" s="49"/>
      <c r="G191" s="49"/>
      <c r="H191" s="49"/>
      <c r="I191" s="49"/>
      <c r="J191" s="49"/>
      <c r="K191" s="49"/>
      <c r="L191" s="49"/>
      <c r="M191" s="49"/>
      <c r="N191" s="49"/>
      <c r="O191" s="49"/>
      <c r="P191" s="49"/>
      <c r="Q191" s="49"/>
    </row>
    <row r="192" spans="1:17">
      <c r="A192" s="9"/>
      <c r="C192" s="71"/>
      <c r="D192" s="49"/>
      <c r="E192" s="49"/>
      <c r="F192" s="49"/>
      <c r="G192" s="49"/>
      <c r="H192" s="49"/>
      <c r="I192" s="49"/>
      <c r="J192" s="49"/>
      <c r="K192" s="49"/>
      <c r="L192" s="49"/>
      <c r="M192" s="49"/>
      <c r="N192" s="49"/>
      <c r="O192" s="49"/>
      <c r="P192" s="49"/>
      <c r="Q192" s="49"/>
    </row>
    <row r="193" spans="1:17">
      <c r="A193" s="9"/>
      <c r="C193" s="72"/>
      <c r="D193" s="49"/>
      <c r="E193" s="49"/>
      <c r="F193" s="49"/>
      <c r="G193" s="49"/>
      <c r="H193" s="49"/>
      <c r="I193" s="49"/>
      <c r="J193" s="49"/>
      <c r="K193" s="49"/>
      <c r="L193" s="49"/>
      <c r="M193" s="49"/>
      <c r="N193" s="49"/>
      <c r="O193" s="49"/>
      <c r="P193" s="49"/>
      <c r="Q193" s="49"/>
    </row>
    <row r="194" spans="1:17">
      <c r="A194" s="9"/>
      <c r="C194" s="72"/>
      <c r="D194" s="49"/>
      <c r="E194" s="49"/>
      <c r="F194" s="49"/>
      <c r="G194" s="49"/>
      <c r="H194" s="49"/>
      <c r="I194" s="49"/>
      <c r="J194" s="49"/>
      <c r="K194" s="49"/>
      <c r="L194" s="49"/>
      <c r="M194" s="49"/>
      <c r="N194" s="49"/>
      <c r="O194" s="49"/>
      <c r="P194" s="49"/>
      <c r="Q194" s="49"/>
    </row>
    <row r="195" spans="1:17">
      <c r="A195" s="9"/>
      <c r="C195" s="72"/>
      <c r="D195" s="49"/>
      <c r="E195" s="49"/>
      <c r="F195" s="49"/>
      <c r="G195" s="49"/>
      <c r="H195" s="49"/>
      <c r="I195" s="49"/>
      <c r="J195" s="49"/>
      <c r="K195" s="49"/>
      <c r="L195" s="49"/>
      <c r="M195" s="49"/>
      <c r="N195" s="49"/>
      <c r="O195" s="49"/>
      <c r="P195" s="49"/>
      <c r="Q195" s="49"/>
    </row>
    <row r="196" spans="1:17">
      <c r="A196" s="9"/>
      <c r="C196" s="69"/>
      <c r="D196" s="49"/>
      <c r="E196" s="49"/>
      <c r="F196" s="49"/>
      <c r="G196" s="49"/>
      <c r="H196" s="49"/>
      <c r="I196" s="49"/>
      <c r="J196" s="49"/>
      <c r="K196" s="49"/>
      <c r="L196" s="49"/>
      <c r="M196" s="49"/>
      <c r="N196" s="49"/>
      <c r="O196" s="49"/>
      <c r="P196" s="49"/>
      <c r="Q196" s="49"/>
    </row>
    <row r="197" spans="1:17">
      <c r="A197" s="9"/>
      <c r="C197" s="69"/>
      <c r="D197" s="49"/>
      <c r="E197" s="49"/>
      <c r="F197" s="49"/>
      <c r="G197" s="49"/>
      <c r="H197" s="49"/>
      <c r="I197" s="49"/>
      <c r="J197" s="49"/>
      <c r="K197" s="49"/>
      <c r="L197" s="49"/>
      <c r="M197" s="49"/>
      <c r="N197" s="49"/>
      <c r="O197" s="49"/>
      <c r="P197" s="49"/>
      <c r="Q197" s="49"/>
    </row>
    <row r="198" spans="1:17">
      <c r="A198" s="9"/>
      <c r="C198" s="50"/>
      <c r="D198" s="49"/>
      <c r="E198" s="49"/>
      <c r="F198" s="49"/>
      <c r="G198" s="49"/>
      <c r="H198" s="49"/>
      <c r="I198" s="49"/>
      <c r="J198" s="49"/>
      <c r="K198" s="49"/>
      <c r="L198" s="49"/>
      <c r="M198" s="49"/>
      <c r="N198" s="49"/>
      <c r="O198" s="49"/>
      <c r="P198" s="49"/>
      <c r="Q198" s="49"/>
    </row>
    <row r="199" spans="1:17">
      <c r="A199" s="9"/>
      <c r="C199" s="71"/>
      <c r="D199" s="49"/>
      <c r="E199" s="49"/>
      <c r="F199" s="49"/>
      <c r="G199" s="49"/>
      <c r="H199" s="49"/>
      <c r="I199" s="49"/>
      <c r="J199" s="49"/>
      <c r="K199" s="49"/>
      <c r="L199" s="49"/>
      <c r="M199" s="49"/>
      <c r="N199" s="49"/>
      <c r="O199" s="49"/>
      <c r="P199" s="49"/>
      <c r="Q199" s="49"/>
    </row>
    <row r="200" spans="1:17">
      <c r="A200" s="9"/>
      <c r="C200" s="69"/>
      <c r="D200" s="49"/>
      <c r="E200" s="49"/>
      <c r="F200" s="49"/>
      <c r="G200" s="49"/>
      <c r="H200" s="49"/>
      <c r="I200" s="49"/>
      <c r="J200" s="49"/>
      <c r="K200" s="49"/>
      <c r="L200" s="49"/>
      <c r="M200" s="49"/>
      <c r="N200" s="49"/>
      <c r="O200" s="49"/>
      <c r="P200" s="49"/>
      <c r="Q200" s="49"/>
    </row>
    <row r="201" spans="1:17">
      <c r="A201" s="9"/>
      <c r="C201" s="7"/>
      <c r="D201" s="49"/>
      <c r="E201" s="49"/>
      <c r="F201" s="49"/>
      <c r="G201" s="49"/>
      <c r="H201" s="49"/>
      <c r="I201" s="49"/>
      <c r="J201" s="49"/>
      <c r="K201" s="49"/>
      <c r="L201" s="49"/>
      <c r="M201" s="49"/>
      <c r="N201" s="49"/>
      <c r="O201" s="49"/>
      <c r="P201" s="49"/>
      <c r="Q201" s="49"/>
    </row>
    <row r="202" spans="1:17">
      <c r="A202" s="9"/>
      <c r="C202" s="2"/>
      <c r="D202" s="2"/>
      <c r="E202" s="3"/>
      <c r="F202" s="2"/>
      <c r="G202" s="2"/>
      <c r="H202" s="2"/>
      <c r="I202" s="2"/>
      <c r="J202" s="2"/>
      <c r="K202" s="4"/>
      <c r="L202" s="4"/>
      <c r="M202" s="5"/>
    </row>
    <row r="203" spans="1:17">
      <c r="A203" s="9"/>
      <c r="C203" s="2"/>
      <c r="D203" s="2"/>
      <c r="E203" s="3"/>
      <c r="F203" s="2"/>
      <c r="G203" s="2"/>
      <c r="H203" s="2"/>
      <c r="I203" s="2"/>
      <c r="J203" s="5"/>
      <c r="K203" s="5"/>
      <c r="L203" s="5"/>
      <c r="M203" s="5" t="s">
        <v>370</v>
      </c>
    </row>
    <row r="204" spans="1:17">
      <c r="A204" s="9"/>
      <c r="C204" s="2"/>
      <c r="D204" s="2"/>
      <c r="E204" s="3"/>
      <c r="F204" s="2"/>
      <c r="G204" s="2"/>
      <c r="H204" s="2"/>
      <c r="I204" s="2"/>
      <c r="J204" s="6"/>
      <c r="K204" s="6"/>
      <c r="L204" s="6"/>
      <c r="M204" s="6" t="s">
        <v>373</v>
      </c>
    </row>
    <row r="205" spans="1:17">
      <c r="A205" s="9"/>
      <c r="C205" s="2"/>
      <c r="D205" s="2"/>
      <c r="E205" s="3"/>
      <c r="F205" s="2"/>
      <c r="G205" s="2"/>
      <c r="H205" s="2"/>
      <c r="I205" s="2"/>
      <c r="J205" s="2"/>
      <c r="K205" s="7"/>
      <c r="L205" s="6"/>
      <c r="M205" s="6"/>
    </row>
    <row r="206" spans="1:17">
      <c r="A206" s="9"/>
      <c r="C206" s="2"/>
      <c r="D206" s="2"/>
      <c r="E206" s="3"/>
      <c r="F206" s="2"/>
      <c r="G206" s="2"/>
      <c r="H206" s="2"/>
      <c r="I206" s="2"/>
      <c r="J206" s="2"/>
      <c r="K206" s="7"/>
      <c r="L206" s="6"/>
    </row>
    <row r="207" spans="1:17">
      <c r="A207" s="9"/>
      <c r="C207" s="2" t="s">
        <v>27</v>
      </c>
      <c r="D207" s="73"/>
      <c r="E207" s="4" t="s">
        <v>122</v>
      </c>
      <c r="F207" s="2"/>
      <c r="G207" s="2"/>
      <c r="H207" s="2"/>
      <c r="I207" s="2"/>
      <c r="K207" s="7"/>
      <c r="L207" s="7"/>
    </row>
    <row r="208" spans="1:17">
      <c r="A208" s="9"/>
      <c r="C208" s="2"/>
      <c r="D208" s="8"/>
      <c r="E208" s="55" t="s">
        <v>29</v>
      </c>
      <c r="F208" s="8"/>
      <c r="G208" s="8"/>
      <c r="H208" s="8"/>
      <c r="I208" s="2"/>
      <c r="J208" s="2"/>
      <c r="K208" s="7"/>
      <c r="L208" s="7"/>
    </row>
    <row r="209" spans="1:13">
      <c r="A209" s="9"/>
      <c r="C209" s="7"/>
      <c r="D209" s="7"/>
      <c r="E209" s="7"/>
      <c r="F209" s="7"/>
      <c r="G209" s="7"/>
      <c r="H209" s="7"/>
      <c r="I209" s="7"/>
      <c r="J209" s="7"/>
      <c r="K209" s="203"/>
      <c r="L209" s="204"/>
      <c r="M209" s="202" t="str">
        <f>+M135</f>
        <v>For the 12 months ended 5/31/24</v>
      </c>
    </row>
    <row r="210" spans="1:13" ht="15.6">
      <c r="A210" s="9"/>
      <c r="D210" s="7"/>
      <c r="E210" s="30" t="str">
        <f>E9</f>
        <v>HURLEY AVENUE PROJECT - SYSTEM DELIVERABILITY UPGRADE</v>
      </c>
      <c r="F210" s="7"/>
      <c r="G210" s="7"/>
      <c r="H210" s="7"/>
      <c r="I210" s="7"/>
      <c r="J210" s="7"/>
      <c r="K210" s="8"/>
      <c r="M210" s="320"/>
    </row>
    <row r="211" spans="1:13" ht="15.6">
      <c r="A211" s="9"/>
      <c r="C211" s="7"/>
      <c r="E211" s="30" t="s">
        <v>270</v>
      </c>
      <c r="F211" s="7"/>
      <c r="G211" s="7"/>
      <c r="H211" s="7"/>
      <c r="I211" s="7"/>
      <c r="J211" s="7"/>
      <c r="K211" s="8"/>
      <c r="L211" s="8"/>
    </row>
    <row r="212" spans="1:13" ht="15.6">
      <c r="A212" s="9"/>
      <c r="C212" s="33"/>
      <c r="D212" s="7"/>
      <c r="E212" s="7"/>
      <c r="F212" s="7"/>
      <c r="G212" s="7"/>
      <c r="H212" s="7"/>
      <c r="I212" s="7"/>
      <c r="J212" s="7"/>
      <c r="K212" s="8"/>
      <c r="L212" s="8"/>
    </row>
    <row r="213" spans="1:13">
      <c r="A213" s="9"/>
      <c r="C213" s="2" t="s">
        <v>274</v>
      </c>
      <c r="D213" s="7"/>
      <c r="E213" s="7"/>
      <c r="F213" s="7"/>
      <c r="G213" s="7"/>
      <c r="H213" s="7"/>
      <c r="J213" s="51"/>
      <c r="K213" s="47"/>
      <c r="L213" s="47"/>
      <c r="M213" s="51"/>
    </row>
    <row r="214" spans="1:13">
      <c r="A214" s="9"/>
      <c r="C214" s="2"/>
      <c r="D214" s="7"/>
      <c r="E214" s="7"/>
      <c r="F214" s="7"/>
      <c r="G214" s="7"/>
      <c r="H214" s="7"/>
      <c r="I214" s="7"/>
      <c r="J214" s="47"/>
      <c r="K214" s="47"/>
      <c r="L214" s="47"/>
      <c r="M214" s="52"/>
    </row>
    <row r="215" spans="1:13">
      <c r="A215" s="9">
        <f>+A189+1</f>
        <v>70</v>
      </c>
      <c r="C215" s="2" t="str">
        <f>"Total transmission plant    (line "&amp;A79&amp;", column 3)"</f>
        <v>Total transmission plant    (line 7, column 3)</v>
      </c>
      <c r="D215" s="7"/>
      <c r="E215" s="8"/>
      <c r="F215" s="8"/>
      <c r="G215" s="8"/>
      <c r="H215" s="8"/>
      <c r="I215" s="8"/>
      <c r="J215" s="74">
        <f>+E79</f>
        <v>500221374.76923078</v>
      </c>
      <c r="K215" s="8"/>
      <c r="L215" s="8"/>
      <c r="M215" s="8"/>
    </row>
    <row r="216" spans="1:13">
      <c r="A216" s="9">
        <f>+A215+1</f>
        <v>71</v>
      </c>
      <c r="C216" s="2" t="str">
        <f>"Less transmission plant excluded from RTO rates       (Note "&amp;A317&amp;")"</f>
        <v>Less transmission plant excluded from RTO rates       (Note H)</v>
      </c>
      <c r="D216" s="7"/>
      <c r="E216" s="7" t="s">
        <v>745</v>
      </c>
      <c r="F216" s="7"/>
      <c r="G216" s="7"/>
      <c r="H216" s="7"/>
      <c r="I216" s="7"/>
      <c r="J216" s="74">
        <f>+'3 - Cost Support'!G90</f>
        <v>-492158578.76923078</v>
      </c>
      <c r="K216" s="8"/>
    </row>
    <row r="217" spans="1:13" ht="15.6" thickBot="1">
      <c r="A217" s="9">
        <f>+A216+1</f>
        <v>72</v>
      </c>
      <c r="C217" s="53" t="str">
        <f>"Less transmission plant included in OATT Ancillary Services    (Note "&amp;A317&amp;")"</f>
        <v>Less transmission plant included in OATT Ancillary Services    (Note H)</v>
      </c>
      <c r="D217" s="54"/>
      <c r="E217" s="7" t="s">
        <v>745</v>
      </c>
      <c r="F217" s="8"/>
      <c r="G217" s="8"/>
      <c r="H217" s="55"/>
      <c r="I217" s="8"/>
      <c r="J217" s="314">
        <f>+'3 - Cost Support'!H90</f>
        <v>0</v>
      </c>
      <c r="K217" s="8"/>
    </row>
    <row r="218" spans="1:13">
      <c r="A218" s="9">
        <f>+A217+1</f>
        <v>73</v>
      </c>
      <c r="C218" s="2" t="str">
        <f>"Transmission plant included in RTO rates  (line "&amp;A215&amp;" less lines "&amp;A216&amp;" &amp; "&amp;A217&amp;")"</f>
        <v>Transmission plant included in RTO rates  (line 70 less lines 71 &amp; 72)</v>
      </c>
      <c r="D218" s="7"/>
      <c r="E218" s="8"/>
      <c r="F218" s="8"/>
      <c r="G218" s="8"/>
      <c r="H218" s="55"/>
      <c r="I218" s="8"/>
      <c r="J218" s="74">
        <f>SUM(J215:J217)</f>
        <v>8062796</v>
      </c>
      <c r="K218" s="8"/>
    </row>
    <row r="219" spans="1:13">
      <c r="A219" s="9"/>
      <c r="C219" s="7"/>
      <c r="D219" s="7"/>
      <c r="E219" s="8"/>
      <c r="F219" s="8"/>
      <c r="G219" s="8"/>
      <c r="H219" s="55"/>
      <c r="I219" s="8"/>
      <c r="K219" s="8"/>
    </row>
    <row r="220" spans="1:13">
      <c r="A220" s="9">
        <f>+A218+1</f>
        <v>74</v>
      </c>
      <c r="C220" s="2" t="str">
        <f>"Percentage of transmission plant included in RTO Rates (line "&amp;A218&amp;" divided by line "&amp;A215&amp;") [If line "&amp;A215&amp;" equal zero, enter 1)"</f>
        <v>Percentage of transmission plant included in RTO Rates (line 73 divided by line 70) [If line 70 equal zero, enter 1)</v>
      </c>
      <c r="D220" s="11"/>
      <c r="E220" s="11"/>
      <c r="F220" s="11"/>
      <c r="G220" s="11"/>
      <c r="H220" s="26"/>
      <c r="I220" s="8" t="s">
        <v>80</v>
      </c>
      <c r="J220" s="975">
        <f>IF(J215=0,1,J218/J215)</f>
        <v>1.6118455561239548E-2</v>
      </c>
      <c r="K220" s="36"/>
    </row>
    <row r="221" spans="1:13">
      <c r="A221" s="9"/>
      <c r="K221" s="8"/>
    </row>
    <row r="222" spans="1:13">
      <c r="A222" s="9"/>
      <c r="C222" s="2" t="s">
        <v>891</v>
      </c>
      <c r="D222" s="7"/>
      <c r="E222" s="7"/>
      <c r="F222" s="7"/>
      <c r="G222" s="7"/>
      <c r="H222" s="7"/>
      <c r="J222" s="51"/>
      <c r="K222" s="47"/>
      <c r="L222" s="47"/>
      <c r="M222" s="51"/>
    </row>
    <row r="223" spans="1:13">
      <c r="A223" s="9"/>
      <c r="C223" s="2"/>
      <c r="D223" s="7"/>
      <c r="E223" s="7"/>
      <c r="F223" s="7"/>
      <c r="G223" s="7"/>
      <c r="H223" s="7"/>
      <c r="I223" s="7"/>
      <c r="J223" s="47"/>
      <c r="K223" s="47"/>
      <c r="L223" s="47"/>
      <c r="M223" s="52"/>
    </row>
    <row r="224" spans="1:13">
      <c r="A224" s="9">
        <f>+A220+1</f>
        <v>75</v>
      </c>
      <c r="C224" s="2" t="str">
        <f>"Total transmission plant    (line "&amp;A88&amp;", column 3)"</f>
        <v>Total transmission plant    (line 15, column 3)</v>
      </c>
      <c r="D224" s="7"/>
      <c r="E224" s="8"/>
      <c r="F224" s="8"/>
      <c r="G224" s="8"/>
      <c r="H224" s="8"/>
      <c r="I224" s="8"/>
      <c r="J224" s="74">
        <f>+J79</f>
        <v>8062796</v>
      </c>
      <c r="K224" s="8"/>
      <c r="L224" s="8"/>
      <c r="M224" s="8"/>
    </row>
    <row r="225" spans="1:13">
      <c r="A225" s="9">
        <f>+A224+1</f>
        <v>76</v>
      </c>
      <c r="C225" s="2" t="s">
        <v>906</v>
      </c>
      <c r="D225" s="7"/>
      <c r="E225" s="8"/>
      <c r="F225" s="8"/>
      <c r="G225" s="8"/>
      <c r="H225" s="8"/>
      <c r="I225" s="8"/>
      <c r="J225" s="314">
        <f>+'9 - Workpaper'!O104</f>
        <v>16089141</v>
      </c>
      <c r="K225" s="8"/>
      <c r="L225" s="8"/>
      <c r="M225" s="8"/>
    </row>
    <row r="226" spans="1:13" ht="15.6" thickBot="1">
      <c r="A226" s="9">
        <f>+A225+1</f>
        <v>77</v>
      </c>
      <c r="C226" s="53" t="s">
        <v>886</v>
      </c>
      <c r="D226" s="7"/>
      <c r="E226" s="8"/>
      <c r="F226" s="8"/>
      <c r="G226" s="8"/>
      <c r="H226" s="55"/>
      <c r="I226" s="8"/>
      <c r="J226" s="74">
        <f>SUM(J224:J225)</f>
        <v>24151937</v>
      </c>
      <c r="K226" s="8"/>
    </row>
    <row r="227" spans="1:13">
      <c r="A227" s="9">
        <f>+A226+1</f>
        <v>78</v>
      </c>
      <c r="C227" s="2" t="str">
        <f>"Transmission plant included in RTO rates  (line "&amp;A224&amp;" less lines "&amp;A225&amp;" &amp; "&amp;A226&amp;")"</f>
        <v>Transmission plant included in RTO rates  (line 75 less lines 76 &amp; 77)</v>
      </c>
      <c r="D227" s="7"/>
      <c r="E227" s="8"/>
      <c r="F227" s="8"/>
      <c r="G227" s="8"/>
      <c r="H227" s="55"/>
      <c r="I227" s="8"/>
      <c r="J227" s="103">
        <f>E79</f>
        <v>500221374.76923078</v>
      </c>
      <c r="K227" s="8"/>
    </row>
    <row r="228" spans="1:13">
      <c r="A228" s="9"/>
      <c r="C228" s="2"/>
      <c r="D228" s="11"/>
      <c r="E228" s="11"/>
      <c r="F228" s="11"/>
      <c r="G228" s="11"/>
      <c r="H228" s="26"/>
      <c r="I228" s="8" t="s">
        <v>888</v>
      </c>
      <c r="J228" s="975">
        <f>J226/J227</f>
        <v>4.8282496946761053E-2</v>
      </c>
      <c r="K228" s="36"/>
    </row>
    <row r="229" spans="1:13">
      <c r="A229" s="9"/>
      <c r="C229" s="2"/>
      <c r="D229" s="11"/>
      <c r="E229" s="11"/>
      <c r="F229" s="11"/>
      <c r="G229" s="11"/>
      <c r="H229" s="26"/>
      <c r="I229" s="8"/>
      <c r="J229" s="325"/>
      <c r="K229" s="36"/>
    </row>
    <row r="230" spans="1:13">
      <c r="A230" s="9"/>
      <c r="C230" s="2" t="s">
        <v>892</v>
      </c>
      <c r="D230" s="7"/>
      <c r="E230" s="7"/>
      <c r="F230" s="7"/>
      <c r="G230" s="7"/>
      <c r="H230" s="7"/>
      <c r="J230" s="51"/>
      <c r="K230" s="36"/>
    </row>
    <row r="231" spans="1:13">
      <c r="A231" s="9"/>
      <c r="C231" s="2"/>
      <c r="D231" s="7"/>
      <c r="E231" s="7"/>
      <c r="F231" s="7"/>
      <c r="G231" s="7"/>
      <c r="H231" s="7"/>
      <c r="I231" s="7"/>
      <c r="J231" s="47"/>
      <c r="K231" s="36"/>
    </row>
    <row r="232" spans="1:13">
      <c r="A232" s="9">
        <f>+A227+1</f>
        <v>79</v>
      </c>
      <c r="C232" s="2" t="str">
        <f>"Total transmission plant    (line "&amp;A96&amp;", column 3)"</f>
        <v>Total transmission plant    (line 22, column 3)</v>
      </c>
      <c r="D232" s="7"/>
      <c r="E232" s="8"/>
      <c r="F232" s="8"/>
      <c r="G232" s="8"/>
      <c r="H232" s="8"/>
      <c r="I232" s="8"/>
      <c r="J232" s="74">
        <f>J224</f>
        <v>8062796</v>
      </c>
      <c r="K232" s="36"/>
    </row>
    <row r="233" spans="1:13">
      <c r="A233" s="9">
        <f>+A232+1</f>
        <v>80</v>
      </c>
      <c r="C233" s="2" t="s">
        <v>885</v>
      </c>
      <c r="D233" s="7"/>
      <c r="E233" s="8"/>
      <c r="F233" s="8"/>
      <c r="G233" s="8"/>
      <c r="H233" s="8"/>
      <c r="I233" s="8"/>
      <c r="J233" s="314">
        <f>+J225</f>
        <v>16089141</v>
      </c>
      <c r="K233" s="36"/>
    </row>
    <row r="234" spans="1:13" ht="15.6" thickBot="1">
      <c r="A234" s="9">
        <v>83</v>
      </c>
      <c r="C234" s="53" t="s">
        <v>886</v>
      </c>
      <c r="D234" s="7"/>
      <c r="E234" s="8"/>
      <c r="F234" s="8"/>
      <c r="G234" s="8"/>
      <c r="H234" s="55"/>
      <c r="I234" s="8"/>
      <c r="J234" s="74">
        <f>SUM(J232:J233)</f>
        <v>24151937</v>
      </c>
      <c r="K234" s="36"/>
    </row>
    <row r="235" spans="1:13">
      <c r="A235" s="9">
        <f>+A234+1</f>
        <v>84</v>
      </c>
      <c r="C235" s="7" t="s">
        <v>887</v>
      </c>
      <c r="D235" s="7"/>
      <c r="E235" s="8"/>
      <c r="F235" s="8"/>
      <c r="G235" s="8"/>
      <c r="H235" s="55"/>
      <c r="I235" s="8"/>
      <c r="J235" s="1050">
        <f>E82</f>
        <v>1672019725.153846</v>
      </c>
      <c r="K235" s="36"/>
    </row>
    <row r="236" spans="1:13">
      <c r="A236" s="9"/>
      <c r="C236" s="2"/>
      <c r="D236" s="11"/>
      <c r="E236" s="11"/>
      <c r="F236" s="11"/>
      <c r="G236" s="11"/>
      <c r="H236" s="26"/>
      <c r="I236" s="8" t="s">
        <v>893</v>
      </c>
      <c r="J236" s="975">
        <f>J234/J235</f>
        <v>1.4444767987278218E-2</v>
      </c>
      <c r="K236" s="8"/>
    </row>
    <row r="237" spans="1:13">
      <c r="A237" s="9"/>
      <c r="C237" s="2"/>
      <c r="D237" s="11"/>
      <c r="E237" s="11"/>
      <c r="F237" s="11"/>
      <c r="G237" s="11"/>
      <c r="H237" s="26"/>
      <c r="I237" s="8"/>
      <c r="J237" s="325"/>
      <c r="K237" s="8"/>
    </row>
    <row r="238" spans="1:13">
      <c r="A238" s="9"/>
      <c r="K238" s="8"/>
      <c r="L238" s="8"/>
      <c r="M238" s="23"/>
    </row>
    <row r="239" spans="1:13">
      <c r="A239" s="9"/>
      <c r="M239" s="23"/>
    </row>
    <row r="240" spans="1:13">
      <c r="A240" s="9"/>
      <c r="C240" s="7" t="s">
        <v>284</v>
      </c>
      <c r="D240" s="8"/>
      <c r="F240" s="8"/>
      <c r="G240" s="8"/>
      <c r="H240" s="8"/>
      <c r="I240" s="47"/>
      <c r="J240" s="23"/>
      <c r="K240" s="8"/>
      <c r="L240" s="85"/>
      <c r="M240" s="82"/>
    </row>
    <row r="241" spans="1:14" ht="15.6" thickBot="1">
      <c r="A241" s="9"/>
      <c r="C241" s="7"/>
      <c r="D241" s="17" t="s">
        <v>81</v>
      </c>
      <c r="E241" s="56" t="s">
        <v>82</v>
      </c>
      <c r="F241" s="56" t="s">
        <v>889</v>
      </c>
      <c r="G241" s="8"/>
      <c r="H241" s="56" t="s">
        <v>83</v>
      </c>
      <c r="I241" s="8"/>
      <c r="K241" s="8"/>
      <c r="L241" s="8"/>
      <c r="M241" s="23"/>
    </row>
    <row r="242" spans="1:14">
      <c r="A242" s="9">
        <f>+A235+1</f>
        <v>85</v>
      </c>
      <c r="C242" s="7" t="s">
        <v>51</v>
      </c>
      <c r="D242" s="8" t="s">
        <v>84</v>
      </c>
      <c r="E242" s="117">
        <v>2692974</v>
      </c>
      <c r="F242" s="57">
        <v>0</v>
      </c>
      <c r="G242" s="57"/>
      <c r="H242" s="465">
        <f>+F242*E242</f>
        <v>0</v>
      </c>
      <c r="I242" s="8"/>
      <c r="K242" s="8"/>
      <c r="L242" s="8"/>
      <c r="M242" s="23"/>
    </row>
    <row r="243" spans="1:14">
      <c r="A243" s="9">
        <f t="shared" ref="A243:A246" si="6">+A242+1</f>
        <v>86</v>
      </c>
      <c r="C243" s="7" t="s">
        <v>53</v>
      </c>
      <c r="D243" s="8" t="s">
        <v>265</v>
      </c>
      <c r="E243" s="607">
        <v>3389676</v>
      </c>
      <c r="F243" s="1003">
        <f>+J228</f>
        <v>4.8282496946761053E-2</v>
      </c>
      <c r="H243" s="106">
        <f>+F243*E243</f>
        <v>163662.02112050922</v>
      </c>
      <c r="I243" s="8"/>
      <c r="M243" s="23"/>
    </row>
    <row r="244" spans="1:14" ht="15.6">
      <c r="A244" s="9">
        <f t="shared" si="6"/>
        <v>87</v>
      </c>
      <c r="C244" s="7" t="s">
        <v>54</v>
      </c>
      <c r="D244" s="8" t="s">
        <v>266</v>
      </c>
      <c r="E244" s="117">
        <v>25895435</v>
      </c>
      <c r="F244" s="57">
        <v>0</v>
      </c>
      <c r="G244" s="57"/>
      <c r="H244" s="465">
        <f>+F244*E244</f>
        <v>0</v>
      </c>
      <c r="I244" s="8"/>
      <c r="J244" s="55" t="s">
        <v>85</v>
      </c>
      <c r="M244" s="610"/>
      <c r="N244" s="34"/>
    </row>
    <row r="245" spans="1:14" ht="15.6" thickBot="1">
      <c r="A245" s="9">
        <f t="shared" si="6"/>
        <v>88</v>
      </c>
      <c r="C245" s="7" t="s">
        <v>86</v>
      </c>
      <c r="D245" s="8" t="s">
        <v>267</v>
      </c>
      <c r="E245" s="989">
        <v>31336359</v>
      </c>
      <c r="F245" s="57">
        <v>0</v>
      </c>
      <c r="G245" s="57"/>
      <c r="H245" s="469">
        <f>+F245*E245</f>
        <v>0</v>
      </c>
      <c r="I245" s="8"/>
      <c r="J245" s="12" t="s">
        <v>87</v>
      </c>
      <c r="M245" s="23"/>
    </row>
    <row r="246" spans="1:14">
      <c r="A246" s="9">
        <f t="shared" si="6"/>
        <v>89</v>
      </c>
      <c r="C246" s="7" t="str">
        <f>"  Total  (sum lines "&amp;A242&amp;"-"&amp;A245&amp;") [TP equals 1 if there are no wages &amp; salaries]"</f>
        <v xml:space="preserve">  Total  (sum lines 85-88) [TP equals 1 if there are no wages &amp; salaries]</v>
      </c>
      <c r="D246" s="8"/>
      <c r="E246" s="106">
        <f>SUM(E242:E245)</f>
        <v>63314444</v>
      </c>
      <c r="F246" s="8"/>
      <c r="G246" s="8"/>
      <c r="H246" s="106">
        <f>SUM(H242:H245)</f>
        <v>163662.02112050922</v>
      </c>
      <c r="I246" s="24" t="s">
        <v>88</v>
      </c>
      <c r="J246" s="702">
        <f>IF(E246=0,0,H246/E246)</f>
        <v>2.5849081312395196E-3</v>
      </c>
      <c r="K246" s="55"/>
      <c r="M246" s="23"/>
      <c r="N246" s="34"/>
    </row>
    <row r="247" spans="1:14">
      <c r="A247" s="9"/>
      <c r="B247" s="37"/>
      <c r="C247" s="2"/>
      <c r="D247" s="8"/>
      <c r="E247" s="8"/>
      <c r="F247" s="8"/>
      <c r="G247" s="8"/>
      <c r="H247" s="8"/>
      <c r="I247" s="8"/>
      <c r="J247" s="55" t="s">
        <v>89</v>
      </c>
      <c r="M247" s="23"/>
      <c r="N247" s="23"/>
    </row>
    <row r="248" spans="1:14">
      <c r="A248" s="9"/>
      <c r="B248" s="37"/>
      <c r="C248" s="2" t="str">
        <f>"RETURN (R)      (Note "&amp;A320&amp;")"</f>
        <v>RETURN (R)      (Note J)</v>
      </c>
      <c r="D248" s="8"/>
      <c r="E248" s="37"/>
      <c r="F248" s="37"/>
      <c r="G248" s="37"/>
      <c r="H248" s="37"/>
      <c r="I248" s="37"/>
      <c r="J248" s="8"/>
      <c r="L248" s="807"/>
      <c r="M248" s="23"/>
      <c r="N248" s="23"/>
    </row>
    <row r="249" spans="1:14" ht="15.6" thickBot="1">
      <c r="A249" s="9"/>
      <c r="C249" s="7"/>
      <c r="D249" s="8"/>
      <c r="F249" s="13" t="s">
        <v>82</v>
      </c>
      <c r="G249" s="13" t="s">
        <v>91</v>
      </c>
      <c r="H249" s="56" t="s">
        <v>950</v>
      </c>
      <c r="J249" s="13" t="s">
        <v>951</v>
      </c>
      <c r="K249" s="8"/>
      <c r="M249" s="483"/>
    </row>
    <row r="250" spans="1:14">
      <c r="A250" s="9">
        <f>+A246+1</f>
        <v>90</v>
      </c>
      <c r="C250" s="2" t="s">
        <v>478</v>
      </c>
      <c r="D250" s="8" t="s">
        <v>747</v>
      </c>
      <c r="F250" s="470">
        <f>+'3 - Cost Support (cont.)'!Q14</f>
        <v>1041984615.3846154</v>
      </c>
      <c r="G250" s="702">
        <f>F250/F253</f>
        <v>0.50885450791631948</v>
      </c>
      <c r="H250" s="1074">
        <f>'3 - Cost Support (cont.)'!Q35</f>
        <v>4.0928818305304961E-2</v>
      </c>
      <c r="J250" s="1001">
        <f>+H250*G250</f>
        <v>2.0826813698342404E-2</v>
      </c>
      <c r="K250" s="58" t="s">
        <v>93</v>
      </c>
      <c r="M250" s="88"/>
      <c r="N250" s="23"/>
    </row>
    <row r="251" spans="1:14">
      <c r="A251" s="9">
        <f t="shared" ref="A251:A253" si="7">+A250+1</f>
        <v>91</v>
      </c>
      <c r="C251" s="2" t="s">
        <v>221</v>
      </c>
      <c r="D251" s="8" t="s">
        <v>749</v>
      </c>
      <c r="F251" s="467">
        <f>+'3 - Cost Support (cont.)'!Q16</f>
        <v>100</v>
      </c>
      <c r="G251" s="702">
        <f>IF(F$253=0,0,F251/F$253)</f>
        <v>4.8835126776655144E-8</v>
      </c>
      <c r="H251" s="467">
        <f>+'3 - Cost Support (cont.)'!P40</f>
        <v>0</v>
      </c>
      <c r="J251" s="1001">
        <f>+H251*G251</f>
        <v>0</v>
      </c>
      <c r="K251" s="8"/>
      <c r="M251" s="103"/>
    </row>
    <row r="252" spans="1:14" ht="15.6" thickBot="1">
      <c r="A252" s="9">
        <f t="shared" si="7"/>
        <v>92</v>
      </c>
      <c r="C252" s="2" t="str">
        <f>"  Common Stock "</f>
        <v xml:space="preserve">  Common Stock </v>
      </c>
      <c r="D252" s="8" t="s">
        <v>748</v>
      </c>
      <c r="F252" s="471">
        <f>+'3 - Cost Support (cont.)'!Q22</f>
        <v>1005721650.923077</v>
      </c>
      <c r="G252" s="702">
        <f>F252/F253</f>
        <v>0.49114544324855375</v>
      </c>
      <c r="H252" s="702">
        <v>9.9000000000000005E-2</v>
      </c>
      <c r="J252" s="1072">
        <f>+H252*G252</f>
        <v>4.862339888160682E-2</v>
      </c>
      <c r="K252" s="8"/>
      <c r="M252" s="103"/>
    </row>
    <row r="253" spans="1:14">
      <c r="A253" s="9">
        <f t="shared" si="7"/>
        <v>93</v>
      </c>
      <c r="C253" s="7" t="str">
        <f>"Total  (sum lines "&amp;A250&amp;"-"&amp;A252&amp;")"</f>
        <v>Total  (sum lines 90-92)</v>
      </c>
      <c r="F253" s="465">
        <f>SUM(F250:F252)</f>
        <v>2047706366.3076925</v>
      </c>
      <c r="G253" s="949" t="s">
        <v>28</v>
      </c>
      <c r="H253" s="8"/>
      <c r="I253" s="8"/>
      <c r="J253" s="1001">
        <f>SUM(J250:J252)</f>
        <v>6.9450212579949225E-2</v>
      </c>
      <c r="K253" s="58" t="s">
        <v>94</v>
      </c>
      <c r="M253" s="103"/>
    </row>
    <row r="254" spans="1:14">
      <c r="F254" s="8"/>
      <c r="G254" s="8"/>
      <c r="H254" s="8"/>
      <c r="I254" s="8"/>
      <c r="M254" s="103"/>
    </row>
    <row r="255" spans="1:14" ht="27.75" customHeight="1">
      <c r="F255" s="8"/>
      <c r="G255" s="8"/>
      <c r="H255" s="8"/>
      <c r="I255" s="8"/>
      <c r="K255" s="920"/>
      <c r="L255" s="920"/>
      <c r="M255" s="103"/>
    </row>
    <row r="256" spans="1:14" ht="15.6">
      <c r="C256" s="484" t="s">
        <v>809</v>
      </c>
      <c r="E256" s="1" t="s">
        <v>988</v>
      </c>
      <c r="F256" s="8"/>
      <c r="G256" s="8"/>
      <c r="H256" s="55" t="s">
        <v>394</v>
      </c>
      <c r="I256" s="55"/>
      <c r="J256" s="483" t="s">
        <v>395</v>
      </c>
      <c r="M256" s="103"/>
    </row>
    <row r="257" spans="1:13" ht="60">
      <c r="A257" s="29"/>
      <c r="C257" s="88"/>
      <c r="D257" s="88" t="s">
        <v>808</v>
      </c>
      <c r="F257" s="55"/>
      <c r="G257" s="55"/>
      <c r="H257" s="856" t="s">
        <v>750</v>
      </c>
      <c r="J257" s="446" t="s">
        <v>751</v>
      </c>
      <c r="M257" s="103"/>
    </row>
    <row r="258" spans="1:13">
      <c r="A258" s="29">
        <f>+A253+1</f>
        <v>94</v>
      </c>
      <c r="C258" s="1" t="s">
        <v>838</v>
      </c>
      <c r="D258" s="1" t="str">
        <f>"(Line "&amp;A93&amp;" and Transmission CIACs)"</f>
        <v>(Line 19 and Transmission CIACs)</v>
      </c>
      <c r="F258" s="8"/>
      <c r="G258" s="8"/>
      <c r="H258" s="918">
        <f>+'4 - Incentives'!C117</f>
        <v>0</v>
      </c>
      <c r="I258" s="8"/>
      <c r="J258" s="918">
        <f>'4 - Incentives'!C116</f>
        <v>0</v>
      </c>
      <c r="M258" s="474"/>
    </row>
    <row r="259" spans="1:13">
      <c r="A259" s="29">
        <f t="shared" ref="A259:A265" si="8">+A258+1</f>
        <v>95</v>
      </c>
      <c r="C259" s="88" t="s">
        <v>438</v>
      </c>
      <c r="D259" s="1" t="str">
        <f>"(Line "&amp;A102&amp;")"</f>
        <v>(Line 27)</v>
      </c>
      <c r="F259" s="8"/>
      <c r="G259" s="8"/>
      <c r="H259" s="918">
        <v>0</v>
      </c>
      <c r="J259" s="753">
        <v>0</v>
      </c>
      <c r="M259" s="482"/>
    </row>
    <row r="260" spans="1:13">
      <c r="A260" s="29">
        <f t="shared" si="8"/>
        <v>96</v>
      </c>
      <c r="C260" s="480" t="s">
        <v>24</v>
      </c>
      <c r="D260" s="1" t="str">
        <f>"(Line "&amp;A105&amp;")"</f>
        <v>(Line 30)</v>
      </c>
      <c r="F260" s="8"/>
      <c r="G260" s="8"/>
      <c r="H260" s="918">
        <v>0</v>
      </c>
      <c r="I260" s="8"/>
      <c r="M260" s="23"/>
    </row>
    <row r="261" spans="1:13">
      <c r="A261" s="29">
        <f t="shared" si="8"/>
        <v>97</v>
      </c>
      <c r="C261" s="480" t="s">
        <v>363</v>
      </c>
      <c r="D261" s="1" t="str">
        <f>"(Line "&amp;A104&amp;")"</f>
        <v>(Line 29)</v>
      </c>
      <c r="F261" s="8"/>
      <c r="G261" s="8"/>
      <c r="H261" s="918">
        <f>+J104</f>
        <v>0</v>
      </c>
      <c r="I261" s="8"/>
      <c r="M261" s="23"/>
    </row>
    <row r="262" spans="1:13">
      <c r="A262" s="29">
        <f t="shared" si="8"/>
        <v>98</v>
      </c>
      <c r="C262" s="529" t="str">
        <f>+C256</f>
        <v>Development of Base Carrying charge and Summary of Incentive and Non-Incentive Investments</v>
      </c>
      <c r="F262" s="8"/>
      <c r="G262" s="8"/>
      <c r="H262" s="919">
        <v>0</v>
      </c>
      <c r="I262" s="8"/>
      <c r="J262" s="919">
        <v>0</v>
      </c>
      <c r="K262" s="7"/>
      <c r="L262" s="8"/>
      <c r="M262" s="23"/>
    </row>
    <row r="263" spans="1:13">
      <c r="A263" s="29">
        <f t="shared" si="8"/>
        <v>99</v>
      </c>
      <c r="C263" s="1" t="s">
        <v>835</v>
      </c>
      <c r="D263" s="1" t="s">
        <v>837</v>
      </c>
      <c r="F263" s="8"/>
      <c r="G263" s="8"/>
      <c r="H263" s="8"/>
      <c r="I263" s="8"/>
      <c r="K263" s="49"/>
    </row>
    <row r="264" spans="1:13">
      <c r="A264" s="29">
        <f t="shared" si="8"/>
        <v>100</v>
      </c>
      <c r="C264" s="1" t="str">
        <f>+C19</f>
        <v>Total Revenue Credits</v>
      </c>
      <c r="D264" s="945" t="s">
        <v>836</v>
      </c>
      <c r="F264" s="8"/>
      <c r="G264" s="8"/>
      <c r="H264" s="8"/>
      <c r="I264" s="8"/>
      <c r="K264" s="4"/>
      <c r="L264" s="4"/>
      <c r="M264" s="5"/>
    </row>
    <row r="265" spans="1:13">
      <c r="A265" s="29">
        <f t="shared" si="8"/>
        <v>101</v>
      </c>
      <c r="C265" s="88" t="s">
        <v>816</v>
      </c>
      <c r="D265" s="88" t="s">
        <v>446</v>
      </c>
      <c r="F265" s="8"/>
      <c r="G265" s="8"/>
      <c r="H265" s="8"/>
      <c r="I265" s="8"/>
      <c r="K265" s="5"/>
      <c r="L265" s="5"/>
      <c r="M265" s="5"/>
    </row>
    <row r="266" spans="1:13">
      <c r="C266" s="24"/>
      <c r="D266" s="24"/>
      <c r="E266" s="24"/>
      <c r="F266" s="8"/>
      <c r="G266" s="8"/>
      <c r="H266" s="25"/>
      <c r="I266" s="8"/>
      <c r="J266" s="481"/>
      <c r="K266" s="6"/>
      <c r="L266" s="6"/>
      <c r="M266" s="5" t="s">
        <v>370</v>
      </c>
    </row>
    <row r="267" spans="1:13">
      <c r="E267" s="474"/>
      <c r="F267" s="8"/>
      <c r="G267" s="8"/>
      <c r="H267" s="74"/>
      <c r="I267" s="8"/>
      <c r="K267" s="7"/>
      <c r="L267" s="6"/>
      <c r="M267" s="6" t="s">
        <v>372</v>
      </c>
    </row>
    <row r="268" spans="1:13">
      <c r="F268" s="8"/>
      <c r="G268" s="8"/>
      <c r="H268" s="8"/>
      <c r="I268" s="8"/>
      <c r="K268" s="7"/>
      <c r="L268" s="6"/>
    </row>
    <row r="269" spans="1:13">
      <c r="A269" s="9"/>
      <c r="C269" s="7"/>
      <c r="E269" s="7"/>
      <c r="F269" s="7"/>
      <c r="G269" s="7"/>
      <c r="H269" s="7"/>
      <c r="I269" s="7"/>
      <c r="J269" s="7"/>
      <c r="K269" s="7"/>
      <c r="L269" s="7"/>
    </row>
    <row r="270" spans="1:13" ht="17.399999999999999">
      <c r="A270" s="61"/>
      <c r="B270" s="61"/>
      <c r="C270" s="61"/>
      <c r="D270" s="49"/>
      <c r="E270" s="49"/>
      <c r="F270" s="49"/>
      <c r="G270" s="49"/>
      <c r="H270" s="49"/>
      <c r="I270" s="49"/>
      <c r="J270" s="49"/>
      <c r="K270" s="7"/>
      <c r="L270" s="7"/>
    </row>
    <row r="271" spans="1:13">
      <c r="C271" s="2"/>
      <c r="D271" s="2"/>
      <c r="E271" s="3"/>
      <c r="F271" s="2"/>
      <c r="G271" s="2"/>
      <c r="H271" s="2"/>
      <c r="I271" s="2"/>
      <c r="J271" s="2"/>
      <c r="K271" s="203"/>
      <c r="L271" s="204"/>
      <c r="M271" s="202" t="str">
        <f>+M209</f>
        <v>For the 12 months ended 5/31/24</v>
      </c>
    </row>
    <row r="272" spans="1:13">
      <c r="C272" s="2"/>
      <c r="D272" s="2"/>
      <c r="E272" s="3"/>
      <c r="F272" s="2"/>
      <c r="G272" s="2"/>
      <c r="H272" s="2"/>
      <c r="I272" s="2"/>
      <c r="J272" s="5"/>
      <c r="K272" s="8"/>
      <c r="M272" s="320"/>
    </row>
    <row r="273" spans="1:14">
      <c r="C273" s="2"/>
      <c r="D273" s="2"/>
      <c r="E273" s="3"/>
      <c r="F273" s="2"/>
      <c r="G273" s="2"/>
      <c r="H273" s="2"/>
      <c r="I273" s="2"/>
      <c r="J273" s="6"/>
      <c r="K273" s="8"/>
      <c r="L273" s="8"/>
    </row>
    <row r="274" spans="1:14" ht="15.6">
      <c r="C274" s="2"/>
      <c r="D274" s="2"/>
      <c r="E274" s="3"/>
      <c r="F274" s="2"/>
      <c r="G274" s="2"/>
      <c r="H274" s="2"/>
      <c r="I274" s="2"/>
      <c r="J274" s="2"/>
      <c r="K274" s="59"/>
      <c r="L274" s="62"/>
      <c r="M274" s="63"/>
    </row>
    <row r="275" spans="1:14" s="61" customFormat="1" ht="18">
      <c r="A275" s="1"/>
      <c r="B275" s="1"/>
      <c r="C275" s="2"/>
      <c r="D275" s="33" t="s">
        <v>79</v>
      </c>
      <c r="E275" s="1"/>
      <c r="F275" s="2"/>
      <c r="G275" s="2"/>
      <c r="H275" s="2"/>
      <c r="I275" s="2"/>
      <c r="J275" s="2"/>
      <c r="K275" s="762"/>
      <c r="L275" s="763"/>
      <c r="M275" s="67"/>
    </row>
    <row r="276" spans="1:14" s="61" customFormat="1" ht="18">
      <c r="A276" s="1"/>
      <c r="B276" s="1"/>
      <c r="C276" s="2" t="s">
        <v>27</v>
      </c>
      <c r="D276" s="73"/>
      <c r="E276" s="73" t="s">
        <v>121</v>
      </c>
      <c r="F276" s="2"/>
      <c r="G276" s="2"/>
      <c r="H276" s="2"/>
      <c r="I276" s="2"/>
      <c r="J276" s="1"/>
      <c r="K276" s="762"/>
      <c r="L276" s="763"/>
      <c r="M276" s="67"/>
    </row>
    <row r="277" spans="1:14" s="61" customFormat="1" ht="18">
      <c r="A277" s="1"/>
      <c r="B277" s="1"/>
      <c r="C277" s="2"/>
      <c r="D277" s="8" t="s">
        <v>28</v>
      </c>
      <c r="E277" s="8" t="s">
        <v>29</v>
      </c>
      <c r="F277" s="8"/>
      <c r="G277" s="8"/>
      <c r="H277" s="8"/>
      <c r="I277" s="2"/>
      <c r="J277" s="2"/>
      <c r="K277" s="65"/>
      <c r="L277" s="66"/>
      <c r="M277" s="67"/>
    </row>
    <row r="278" spans="1:14" s="61" customFormat="1" ht="18">
      <c r="A278" s="9"/>
      <c r="B278" s="1"/>
      <c r="C278" s="7"/>
      <c r="D278" s="7"/>
      <c r="E278" s="7"/>
      <c r="F278" s="7"/>
      <c r="G278" s="7"/>
      <c r="H278" s="7"/>
      <c r="I278" s="7"/>
      <c r="J278" s="7"/>
      <c r="K278" s="65"/>
      <c r="L278" s="66"/>
      <c r="M278" s="67"/>
    </row>
    <row r="279" spans="1:14" s="61" customFormat="1" ht="18">
      <c r="A279" s="9"/>
      <c r="B279" s="1"/>
      <c r="C279" s="1"/>
      <c r="D279" s="7"/>
      <c r="E279" s="27" t="str">
        <f>E9</f>
        <v>HURLEY AVENUE PROJECT - SYSTEM DELIVERABILITY UPGRADE</v>
      </c>
      <c r="F279" s="7"/>
      <c r="G279" s="7"/>
      <c r="H279" s="7"/>
      <c r="I279" s="7"/>
      <c r="J279" s="7"/>
      <c r="K279" s="65"/>
      <c r="L279" s="66"/>
      <c r="M279" s="67"/>
    </row>
    <row r="280" spans="1:14" s="61" customFormat="1" ht="18">
      <c r="A280" s="9"/>
      <c r="B280" s="1"/>
      <c r="C280" s="7"/>
      <c r="D280" s="4"/>
      <c r="E280" s="1"/>
      <c r="F280" s="7"/>
      <c r="G280" s="7"/>
      <c r="H280" s="7"/>
      <c r="I280" s="7"/>
      <c r="J280" s="7"/>
      <c r="K280" s="65"/>
      <c r="L280" s="66"/>
      <c r="M280" s="67"/>
    </row>
    <row r="281" spans="1:14" s="61" customFormat="1" ht="18">
      <c r="A281" s="9"/>
      <c r="B281" s="37"/>
      <c r="C281" s="60"/>
      <c r="D281" s="4"/>
      <c r="E281" s="8"/>
      <c r="F281" s="8"/>
      <c r="G281" s="8"/>
      <c r="H281" s="8"/>
      <c r="I281" s="2"/>
      <c r="J281" s="73"/>
      <c r="K281" s="428"/>
      <c r="L281" s="428"/>
      <c r="M281" s="754"/>
    </row>
    <row r="282" spans="1:14" s="61" customFormat="1" ht="18">
      <c r="A282" s="64"/>
      <c r="B282" s="65"/>
      <c r="C282" s="758"/>
      <c r="F282" s="759"/>
      <c r="G282" s="759"/>
      <c r="H282" s="759"/>
      <c r="I282" s="760"/>
      <c r="J282" s="761"/>
      <c r="K282" s="428"/>
      <c r="L282" s="428"/>
      <c r="M282" s="754"/>
    </row>
    <row r="283" spans="1:14" s="61" customFormat="1" ht="18">
      <c r="A283" s="64"/>
      <c r="B283" s="65"/>
      <c r="C283" s="758"/>
      <c r="D283" s="764"/>
      <c r="E283" s="759"/>
      <c r="F283" s="759"/>
      <c r="G283" s="759"/>
      <c r="H283" s="759"/>
      <c r="I283" s="760"/>
      <c r="J283" s="761"/>
      <c r="K283" s="428"/>
      <c r="L283" s="428"/>
      <c r="M283" s="754"/>
    </row>
    <row r="284" spans="1:14" s="61" customFormat="1" ht="18">
      <c r="A284" s="64"/>
      <c r="B284" s="65"/>
      <c r="C284" s="65" t="s">
        <v>95</v>
      </c>
      <c r="D284" s="64"/>
      <c r="E284" s="66"/>
      <c r="F284" s="66"/>
      <c r="G284" s="66"/>
      <c r="H284" s="66"/>
      <c r="I284" s="65"/>
      <c r="J284" s="66"/>
      <c r="K284" s="428"/>
      <c r="L284" s="428"/>
      <c r="M284" s="754"/>
    </row>
    <row r="285" spans="1:14" s="61" customFormat="1" ht="18">
      <c r="A285" s="64"/>
      <c r="B285" s="65"/>
      <c r="C285" s="65" t="s">
        <v>96</v>
      </c>
      <c r="D285" s="64"/>
      <c r="E285" s="66"/>
      <c r="F285" s="66"/>
      <c r="G285" s="66"/>
      <c r="H285" s="66"/>
      <c r="I285" s="65"/>
      <c r="J285" s="66"/>
      <c r="K285" s="428"/>
      <c r="L285" s="428"/>
      <c r="M285" s="754"/>
    </row>
    <row r="286" spans="1:14" s="61" customFormat="1" ht="18">
      <c r="A286" s="64" t="s">
        <v>97</v>
      </c>
      <c r="B286" s="65"/>
      <c r="C286" s="65"/>
      <c r="D286" s="65"/>
      <c r="E286" s="66"/>
      <c r="F286" s="66"/>
      <c r="G286" s="66"/>
      <c r="H286" s="66"/>
      <c r="I286" s="65"/>
      <c r="J286" s="66"/>
      <c r="K286" s="428"/>
      <c r="L286" s="428"/>
      <c r="M286" s="754"/>
    </row>
    <row r="287" spans="1:14" s="61" customFormat="1" ht="18.600000000000001" thickBot="1">
      <c r="A287" s="68" t="s">
        <v>98</v>
      </c>
      <c r="B287" s="65"/>
      <c r="C287" s="65"/>
      <c r="D287" s="65"/>
      <c r="E287" s="66"/>
      <c r="F287" s="66"/>
      <c r="G287" s="66"/>
      <c r="H287" s="66"/>
      <c r="I287" s="65"/>
      <c r="J287" s="66"/>
      <c r="K287" s="478"/>
      <c r="L287" s="428"/>
      <c r="M287" s="754"/>
      <c r="N287" s="428"/>
    </row>
    <row r="288" spans="1:14" s="61" customFormat="1" ht="18">
      <c r="A288" s="754" t="s">
        <v>99</v>
      </c>
      <c r="B288" s="428"/>
      <c r="C288" s="1152" t="s">
        <v>534</v>
      </c>
      <c r="D288" s="1152"/>
      <c r="E288" s="1152"/>
      <c r="F288" s="1152"/>
      <c r="G288" s="1152"/>
      <c r="H288" s="1152"/>
      <c r="I288" s="1152"/>
      <c r="J288" s="1152"/>
      <c r="K288" s="1152"/>
      <c r="L288" s="1152"/>
      <c r="M288" s="754"/>
      <c r="N288" s="428"/>
    </row>
    <row r="289" spans="1:14" s="61" customFormat="1" ht="18">
      <c r="A289" s="754"/>
      <c r="B289" s="428"/>
      <c r="C289" s="1152" t="s">
        <v>646</v>
      </c>
      <c r="D289" s="1152"/>
      <c r="E289" s="1152"/>
      <c r="F289" s="1152"/>
      <c r="G289" s="1152"/>
      <c r="H289" s="1152"/>
      <c r="I289" s="1152"/>
      <c r="J289" s="1152"/>
      <c r="K289" s="1152"/>
      <c r="L289" s="1152"/>
      <c r="M289" s="754"/>
      <c r="N289" s="429"/>
    </row>
    <row r="290" spans="1:14" s="61" customFormat="1" ht="18">
      <c r="A290" s="754"/>
      <c r="B290" s="428"/>
      <c r="C290" s="1152" t="str">
        <f>"   is reduced by prior flow throughs and excluded if the utility chose to utilize amortization of tax credits against taxable income as discussed in Note "&amp;A303&amp;".  Account 281 is not allocated."</f>
        <v xml:space="preserve">   is reduced by prior flow throughs and excluded if the utility chose to utilize amortization of tax credits against taxable income as discussed in Note F.  Account 281 is not allocated.</v>
      </c>
      <c r="D290" s="1152"/>
      <c r="E290" s="1152"/>
      <c r="F290" s="1152"/>
      <c r="G290" s="1152"/>
      <c r="H290" s="1152"/>
      <c r="I290" s="1152"/>
      <c r="J290" s="1152"/>
      <c r="K290" s="1152"/>
      <c r="L290" s="1152"/>
      <c r="M290" s="754"/>
      <c r="N290" s="428"/>
    </row>
    <row r="291" spans="1:14" s="61" customFormat="1" ht="18">
      <c r="A291" s="754" t="s">
        <v>100</v>
      </c>
      <c r="B291" s="428"/>
      <c r="C291" s="1152" t="s">
        <v>920</v>
      </c>
      <c r="D291" s="1152"/>
      <c r="E291" s="1152"/>
      <c r="F291" s="1152"/>
      <c r="G291" s="1152"/>
      <c r="H291" s="1152"/>
      <c r="I291" s="1152"/>
      <c r="J291" s="1152"/>
      <c r="K291" s="1152"/>
      <c r="L291" s="1152"/>
      <c r="M291" s="754"/>
      <c r="N291" s="428"/>
    </row>
    <row r="292" spans="1:14" s="61" customFormat="1" ht="18">
      <c r="A292" s="754" t="s">
        <v>101</v>
      </c>
      <c r="B292" s="428"/>
      <c r="C292" s="1152" t="s">
        <v>223</v>
      </c>
      <c r="D292" s="1152"/>
      <c r="E292" s="1152"/>
      <c r="F292" s="1152"/>
      <c r="G292" s="1152"/>
      <c r="H292" s="1152"/>
      <c r="I292" s="1152"/>
      <c r="J292" s="1152"/>
      <c r="K292" s="1152"/>
      <c r="L292" s="1152"/>
      <c r="M292" s="754"/>
      <c r="N292" s="428"/>
    </row>
    <row r="293" spans="1:14" s="61" customFormat="1" ht="18">
      <c r="A293" s="754"/>
      <c r="B293" s="428"/>
      <c r="C293" s="1152" t="s">
        <v>107</v>
      </c>
      <c r="D293" s="1152"/>
      <c r="E293" s="1152"/>
      <c r="F293" s="1152"/>
      <c r="G293" s="1152"/>
      <c r="H293" s="1152"/>
      <c r="I293" s="1152"/>
      <c r="J293" s="1152"/>
      <c r="K293" s="1152"/>
      <c r="L293" s="1152"/>
      <c r="M293" s="754"/>
    </row>
    <row r="294" spans="1:14" s="61" customFormat="1" ht="18">
      <c r="A294" s="754" t="s">
        <v>102</v>
      </c>
      <c r="B294" s="428"/>
      <c r="C294" s="1153" t="s">
        <v>752</v>
      </c>
      <c r="D294" s="1153"/>
      <c r="E294" s="1153"/>
      <c r="F294" s="1153"/>
      <c r="G294" s="1153"/>
      <c r="H294" s="1153"/>
      <c r="I294" s="1153"/>
      <c r="J294" s="1153"/>
      <c r="K294" s="1153"/>
      <c r="L294" s="1153"/>
      <c r="M294" s="754"/>
    </row>
    <row r="295" spans="1:14" s="61" customFormat="1" ht="18">
      <c r="A295" s="754"/>
      <c r="B295" s="428"/>
      <c r="C295" s="1153" t="s">
        <v>753</v>
      </c>
      <c r="D295" s="1153"/>
      <c r="E295" s="1153"/>
      <c r="F295" s="1153"/>
      <c r="G295" s="1153"/>
      <c r="H295" s="1153"/>
      <c r="I295" s="1153"/>
      <c r="J295" s="1153"/>
      <c r="K295" s="1153"/>
      <c r="L295" s="1153"/>
      <c r="M295" s="754"/>
    </row>
    <row r="296" spans="1:14" s="61" customFormat="1" ht="18">
      <c r="A296" s="754"/>
      <c r="B296" s="428"/>
      <c r="C296" s="1153" t="s">
        <v>754</v>
      </c>
      <c r="D296" s="1153"/>
      <c r="E296" s="1153"/>
      <c r="F296" s="1153"/>
      <c r="G296" s="1153"/>
      <c r="H296" s="1153"/>
      <c r="I296" s="1153"/>
      <c r="J296" s="1153"/>
      <c r="K296" s="1153"/>
      <c r="L296" s="1153"/>
      <c r="M296" s="754"/>
    </row>
    <row r="297" spans="1:14" s="61" customFormat="1" ht="18">
      <c r="A297" s="754"/>
      <c r="B297" s="428"/>
      <c r="C297" s="1153" t="s">
        <v>921</v>
      </c>
      <c r="D297" s="1153"/>
      <c r="E297" s="1153"/>
      <c r="F297" s="1153"/>
      <c r="G297" s="1153"/>
      <c r="H297" s="1153"/>
      <c r="I297" s="1153"/>
      <c r="J297" s="1153"/>
      <c r="K297" s="1153"/>
      <c r="L297" s="1153"/>
      <c r="M297" s="754"/>
    </row>
    <row r="298" spans="1:14" s="61" customFormat="1" ht="18">
      <c r="A298" s="754"/>
      <c r="B298" s="428"/>
      <c r="C298" s="1153" t="s">
        <v>755</v>
      </c>
      <c r="D298" s="1153"/>
      <c r="E298" s="1153"/>
      <c r="F298" s="1153"/>
      <c r="G298" s="1153"/>
      <c r="H298" s="1153"/>
      <c r="I298" s="1153"/>
      <c r="J298" s="1153"/>
      <c r="K298" s="1153"/>
      <c r="L298" s="1153"/>
      <c r="M298" s="754"/>
    </row>
    <row r="299" spans="1:14" s="61" customFormat="1" ht="18">
      <c r="A299" s="754"/>
      <c r="B299" s="428"/>
      <c r="C299" s="1153" t="s">
        <v>455</v>
      </c>
      <c r="D299" s="1153"/>
      <c r="E299" s="1153"/>
      <c r="F299" s="1153"/>
      <c r="G299" s="1153"/>
      <c r="H299" s="1153"/>
      <c r="I299" s="1153"/>
      <c r="J299" s="1153"/>
      <c r="K299" s="1153"/>
      <c r="L299" s="1153"/>
      <c r="M299" s="754"/>
    </row>
    <row r="300" spans="1:14" s="61" customFormat="1" ht="18">
      <c r="A300" s="754" t="s">
        <v>103</v>
      </c>
      <c r="B300" s="428"/>
      <c r="C300" s="1152" t="s">
        <v>110</v>
      </c>
      <c r="D300" s="1152"/>
      <c r="E300" s="1152"/>
      <c r="F300" s="1152"/>
      <c r="G300" s="1152"/>
      <c r="H300" s="1152"/>
      <c r="I300" s="1152"/>
      <c r="J300" s="1152"/>
      <c r="K300" s="1152"/>
      <c r="L300" s="1152"/>
      <c r="M300" s="754"/>
    </row>
    <row r="301" spans="1:14" s="61" customFormat="1" ht="18">
      <c r="A301" s="754"/>
      <c r="B301" s="428"/>
      <c r="C301" s="1152" t="s">
        <v>111</v>
      </c>
      <c r="D301" s="1152"/>
      <c r="E301" s="1152"/>
      <c r="F301" s="1152"/>
      <c r="G301" s="1152"/>
      <c r="H301" s="1152"/>
      <c r="I301" s="1152"/>
      <c r="J301" s="1152"/>
      <c r="K301" s="1152"/>
      <c r="L301" s="1152"/>
      <c r="M301" s="755"/>
    </row>
    <row r="302" spans="1:14" s="61" customFormat="1" ht="18">
      <c r="A302" s="754"/>
      <c r="B302" s="428"/>
      <c r="C302" s="1152" t="s">
        <v>112</v>
      </c>
      <c r="D302" s="1152"/>
      <c r="E302" s="1152"/>
      <c r="F302" s="1152"/>
      <c r="G302" s="1152"/>
      <c r="H302" s="1152"/>
      <c r="I302" s="1152"/>
      <c r="J302" s="1152"/>
      <c r="K302" s="1152"/>
      <c r="L302" s="1152"/>
      <c r="M302" s="754"/>
    </row>
    <row r="303" spans="1:14" s="61" customFormat="1" ht="18">
      <c r="A303" s="754" t="s">
        <v>104</v>
      </c>
      <c r="B303" s="428"/>
      <c r="C303" s="1152" t="s">
        <v>922</v>
      </c>
      <c r="D303" s="1152"/>
      <c r="E303" s="1152"/>
      <c r="F303" s="1152"/>
      <c r="G303" s="1152"/>
      <c r="H303" s="1152"/>
      <c r="I303" s="1152"/>
      <c r="J303" s="1152"/>
      <c r="K303" s="1152"/>
      <c r="L303" s="1152"/>
      <c r="M303" s="765"/>
      <c r="N303" s="766"/>
    </row>
    <row r="304" spans="1:14" s="61" customFormat="1" ht="18">
      <c r="A304" s="754"/>
      <c r="B304" s="428"/>
      <c r="C304" s="1152" t="s">
        <v>923</v>
      </c>
      <c r="D304" s="1152"/>
      <c r="E304" s="1152"/>
      <c r="F304" s="1152"/>
      <c r="G304" s="1152"/>
      <c r="H304" s="1152"/>
      <c r="I304" s="1152"/>
      <c r="J304" s="1152"/>
      <c r="K304" s="1152"/>
      <c r="L304" s="1152"/>
      <c r="M304" s="429"/>
      <c r="N304" s="428"/>
    </row>
    <row r="305" spans="1:256" s="61" customFormat="1" ht="18">
      <c r="A305" s="754"/>
      <c r="B305" s="428"/>
      <c r="C305" s="428" t="s">
        <v>465</v>
      </c>
      <c r="D305" s="428"/>
      <c r="E305" s="428"/>
      <c r="F305" s="428"/>
      <c r="G305" s="428"/>
      <c r="H305" s="428"/>
      <c r="I305" s="428"/>
      <c r="J305" s="428"/>
      <c r="K305" s="428"/>
      <c r="L305" s="428"/>
      <c r="M305" s="754"/>
    </row>
    <row r="306" spans="1:256" s="61" customFormat="1" ht="18">
      <c r="A306" s="754" t="s">
        <v>28</v>
      </c>
      <c r="B306" s="428"/>
      <c r="C306" s="428" t="s">
        <v>113</v>
      </c>
      <c r="D306" s="428" t="s">
        <v>941</v>
      </c>
      <c r="E306" s="1056">
        <v>0.21</v>
      </c>
      <c r="F306" s="428"/>
      <c r="G306" s="428"/>
      <c r="H306" s="428"/>
      <c r="I306" s="428"/>
      <c r="J306" s="428"/>
      <c r="K306" s="428"/>
      <c r="L306" s="428"/>
      <c r="M306" s="754"/>
    </row>
    <row r="307" spans="1:256" s="61" customFormat="1" ht="18">
      <c r="A307" s="754"/>
      <c r="B307" s="428"/>
      <c r="C307" s="428"/>
      <c r="D307" s="428" t="s">
        <v>114</v>
      </c>
      <c r="E307" s="977">
        <f>'3 - Cost Support'!M73</f>
        <v>6.5000000000000002E-2</v>
      </c>
      <c r="F307" s="428" t="s">
        <v>474</v>
      </c>
      <c r="G307" s="428"/>
      <c r="H307" s="428"/>
      <c r="I307" s="428"/>
      <c r="J307" s="428"/>
      <c r="K307" s="429"/>
      <c r="L307" s="429"/>
      <c r="M307" s="754"/>
    </row>
    <row r="308" spans="1:256" s="61" customFormat="1" ht="18">
      <c r="A308" s="754"/>
      <c r="B308" s="428"/>
      <c r="C308" s="428"/>
      <c r="D308" s="428" t="s">
        <v>115</v>
      </c>
      <c r="E308" s="472">
        <v>0</v>
      </c>
      <c r="F308" s="428" t="s">
        <v>116</v>
      </c>
      <c r="G308" s="428"/>
      <c r="H308" s="428"/>
      <c r="I308" s="428"/>
      <c r="J308" s="428"/>
      <c r="K308" s="429"/>
      <c r="L308" s="429"/>
      <c r="M308" s="754"/>
    </row>
    <row r="309" spans="1:256" s="61" customFormat="1" ht="18">
      <c r="A309" s="754"/>
      <c r="B309" s="428"/>
      <c r="C309" s="428"/>
      <c r="D309" s="428" t="s">
        <v>404</v>
      </c>
      <c r="E309" s="563">
        <v>0</v>
      </c>
      <c r="F309" s="428" t="s">
        <v>405</v>
      </c>
      <c r="G309" s="428"/>
      <c r="H309" s="428"/>
      <c r="I309" s="428"/>
      <c r="J309" s="428"/>
      <c r="K309" s="429"/>
      <c r="L309" s="429"/>
      <c r="M309" s="754"/>
    </row>
    <row r="310" spans="1:256" s="61" customFormat="1" ht="18">
      <c r="A310" s="754"/>
      <c r="B310" s="428"/>
      <c r="C310" s="1153" t="s">
        <v>22</v>
      </c>
      <c r="D310" s="1153"/>
      <c r="E310" s="1153"/>
      <c r="F310" s="1153"/>
      <c r="G310" s="1153"/>
      <c r="H310" s="1153"/>
      <c r="I310" s="1153"/>
      <c r="J310" s="1153"/>
      <c r="K310" s="1153"/>
      <c r="L310" s="1153"/>
      <c r="M310" s="754"/>
    </row>
    <row r="311" spans="1:256" s="61" customFormat="1" ht="18">
      <c r="A311" s="754"/>
      <c r="B311" s="428"/>
      <c r="C311" s="1152" t="s">
        <v>23</v>
      </c>
      <c r="D311" s="1152"/>
      <c r="E311" s="1152"/>
      <c r="F311" s="1152"/>
      <c r="G311" s="1152"/>
      <c r="H311" s="1152"/>
      <c r="I311" s="1152"/>
      <c r="J311" s="1152"/>
      <c r="K311" s="1152"/>
      <c r="L311" s="1152"/>
      <c r="M311" s="754"/>
    </row>
    <row r="312" spans="1:256" s="61" customFormat="1" ht="18">
      <c r="A312" s="754"/>
      <c r="B312" s="428"/>
      <c r="C312" s="1152" t="s">
        <v>350</v>
      </c>
      <c r="D312" s="1152"/>
      <c r="E312" s="1152"/>
      <c r="F312" s="1152"/>
      <c r="G312" s="1152"/>
      <c r="H312" s="1152"/>
      <c r="I312" s="1152"/>
      <c r="J312" s="1152"/>
      <c r="K312" s="1152"/>
      <c r="L312" s="1152"/>
      <c r="M312" s="754"/>
    </row>
    <row r="313" spans="1:256" s="61" customFormat="1" ht="18">
      <c r="A313" s="754" t="s">
        <v>105</v>
      </c>
      <c r="B313" s="428"/>
      <c r="C313" s="1153" t="s">
        <v>440</v>
      </c>
      <c r="D313" s="1153"/>
      <c r="E313" s="1153"/>
      <c r="F313" s="1153"/>
      <c r="G313" s="1153"/>
      <c r="H313" s="1153"/>
      <c r="I313" s="1153"/>
      <c r="J313" s="1153"/>
      <c r="K313" s="1153"/>
      <c r="L313" s="1153"/>
      <c r="M313" s="754"/>
    </row>
    <row r="314" spans="1:256" s="61" customFormat="1" ht="18">
      <c r="A314" s="754"/>
      <c r="B314" s="428"/>
      <c r="C314" s="1154" t="s">
        <v>834</v>
      </c>
      <c r="D314" s="1154"/>
      <c r="E314" s="1154"/>
      <c r="F314" s="1154"/>
      <c r="G314" s="1154"/>
      <c r="H314" s="1154"/>
      <c r="I314" s="1154"/>
      <c r="J314" s="1154"/>
      <c r="K314" s="1154"/>
      <c r="L314" s="1154"/>
      <c r="M314" s="754"/>
    </row>
    <row r="315" spans="1:256" s="61" customFormat="1" ht="13.5" customHeight="1">
      <c r="A315" s="754"/>
      <c r="B315" s="428"/>
      <c r="C315" s="1154" t="s">
        <v>441</v>
      </c>
      <c r="D315" s="1154"/>
      <c r="E315" s="1154"/>
      <c r="F315" s="1154"/>
      <c r="G315" s="1154"/>
      <c r="H315" s="1154"/>
      <c r="I315" s="1154"/>
      <c r="J315" s="1154"/>
      <c r="K315" s="1154"/>
      <c r="L315" s="1154"/>
      <c r="M315" s="461"/>
      <c r="N315" s="767"/>
      <c r="O315" s="767"/>
      <c r="P315" s="767"/>
      <c r="Q315" s="767"/>
      <c r="R315" s="767"/>
      <c r="S315" s="767"/>
      <c r="T315" s="767"/>
      <c r="U315" s="767"/>
      <c r="V315" s="767"/>
      <c r="W315" s="767"/>
      <c r="X315" s="767"/>
      <c r="Y315" s="767"/>
      <c r="Z315" s="767"/>
      <c r="AA315" s="767"/>
      <c r="AB315" s="767"/>
      <c r="AC315" s="767"/>
      <c r="AD315" s="767"/>
      <c r="AE315" s="767"/>
      <c r="AF315" s="767"/>
      <c r="AG315" s="767"/>
      <c r="AH315" s="767"/>
      <c r="AI315" s="767"/>
      <c r="AJ315" s="767"/>
      <c r="AK315" s="767"/>
      <c r="AL315" s="767"/>
      <c r="AM315" s="767"/>
      <c r="AN315" s="767"/>
      <c r="AO315" s="767"/>
      <c r="AP315" s="767"/>
      <c r="AQ315" s="767"/>
      <c r="AR315" s="767"/>
      <c r="AS315" s="767"/>
      <c r="AT315" s="767"/>
      <c r="AU315" s="767"/>
      <c r="AV315" s="767"/>
      <c r="AW315" s="767"/>
      <c r="AX315" s="767"/>
      <c r="AY315" s="767"/>
      <c r="AZ315" s="767"/>
      <c r="BA315" s="767"/>
      <c r="BB315" s="767"/>
      <c r="BC315" s="767"/>
      <c r="BD315" s="767"/>
      <c r="BE315" s="767"/>
      <c r="BF315" s="767"/>
      <c r="BG315" s="767"/>
      <c r="BH315" s="767"/>
      <c r="BI315" s="767"/>
      <c r="BJ315" s="767"/>
      <c r="BK315" s="767"/>
      <c r="BL315" s="767"/>
      <c r="BM315" s="767"/>
      <c r="BN315" s="767"/>
      <c r="BO315" s="767"/>
      <c r="BP315" s="767"/>
      <c r="BQ315" s="767"/>
      <c r="BR315" s="767"/>
      <c r="BS315" s="767"/>
      <c r="BT315" s="767"/>
      <c r="BU315" s="767"/>
      <c r="BV315" s="767"/>
      <c r="BW315" s="767"/>
      <c r="BX315" s="767"/>
      <c r="BY315" s="767"/>
      <c r="BZ315" s="767"/>
      <c r="CA315" s="767"/>
      <c r="CB315" s="767"/>
      <c r="CC315" s="767"/>
      <c r="CD315" s="767"/>
      <c r="CE315" s="767"/>
      <c r="CF315" s="767"/>
      <c r="CG315" s="767"/>
      <c r="CH315" s="767"/>
      <c r="CI315" s="767"/>
      <c r="CJ315" s="767"/>
      <c r="CK315" s="767"/>
      <c r="CL315" s="767"/>
      <c r="CM315" s="767"/>
      <c r="CN315" s="767"/>
      <c r="CO315" s="767"/>
      <c r="CP315" s="767"/>
      <c r="CQ315" s="767"/>
      <c r="CR315" s="767"/>
      <c r="CS315" s="767"/>
      <c r="CT315" s="767"/>
      <c r="CU315" s="767"/>
      <c r="CV315" s="767"/>
      <c r="CW315" s="767"/>
      <c r="CX315" s="767"/>
      <c r="CY315" s="767"/>
      <c r="CZ315" s="767"/>
      <c r="DA315" s="767"/>
      <c r="DB315" s="767"/>
      <c r="DC315" s="767"/>
      <c r="DD315" s="767"/>
      <c r="DE315" s="767"/>
      <c r="DF315" s="767"/>
      <c r="DG315" s="767"/>
      <c r="DH315" s="767"/>
      <c r="DI315" s="767"/>
      <c r="DJ315" s="767"/>
      <c r="DK315" s="767"/>
      <c r="DL315" s="767"/>
      <c r="DM315" s="767"/>
      <c r="DN315" s="767"/>
      <c r="DO315" s="767"/>
      <c r="DP315" s="767"/>
      <c r="DQ315" s="767"/>
      <c r="DR315" s="767"/>
      <c r="DS315" s="767"/>
      <c r="DT315" s="767"/>
      <c r="DU315" s="767"/>
      <c r="DV315" s="767"/>
      <c r="DW315" s="767"/>
      <c r="DX315" s="767"/>
      <c r="DY315" s="767"/>
      <c r="DZ315" s="767"/>
      <c r="EA315" s="767"/>
      <c r="EB315" s="767"/>
      <c r="EC315" s="767"/>
      <c r="ED315" s="767"/>
      <c r="EE315" s="767"/>
      <c r="EF315" s="767"/>
      <c r="EG315" s="767"/>
      <c r="EH315" s="767"/>
      <c r="EI315" s="767"/>
      <c r="EJ315" s="767"/>
      <c r="EK315" s="767"/>
      <c r="EL315" s="767"/>
      <c r="EM315" s="767"/>
      <c r="EN315" s="767"/>
      <c r="EO315" s="767"/>
      <c r="EP315" s="767"/>
      <c r="EQ315" s="767"/>
      <c r="ER315" s="767"/>
      <c r="ES315" s="767"/>
      <c r="ET315" s="767"/>
      <c r="EU315" s="767"/>
      <c r="EV315" s="767"/>
      <c r="EW315" s="767"/>
      <c r="EX315" s="767"/>
      <c r="EY315" s="767"/>
      <c r="EZ315" s="767"/>
      <c r="FA315" s="767"/>
      <c r="FB315" s="767"/>
      <c r="FC315" s="767"/>
      <c r="FD315" s="767"/>
      <c r="FE315" s="767"/>
      <c r="FF315" s="767"/>
      <c r="FG315" s="767"/>
      <c r="FH315" s="767"/>
      <c r="FI315" s="767"/>
      <c r="FJ315" s="767"/>
      <c r="FK315" s="767"/>
      <c r="FL315" s="767"/>
      <c r="FM315" s="767"/>
      <c r="FN315" s="767"/>
      <c r="FO315" s="767"/>
      <c r="FP315" s="767"/>
      <c r="FQ315" s="767"/>
      <c r="FR315" s="767"/>
      <c r="FS315" s="767"/>
      <c r="FT315" s="767"/>
      <c r="FU315" s="767"/>
      <c r="FV315" s="767"/>
      <c r="FW315" s="767"/>
      <c r="FX315" s="767"/>
      <c r="FY315" s="767"/>
      <c r="FZ315" s="767"/>
      <c r="GA315" s="767"/>
      <c r="GB315" s="767"/>
      <c r="GC315" s="767"/>
      <c r="GD315" s="767"/>
      <c r="GE315" s="767"/>
      <c r="GF315" s="767"/>
      <c r="GG315" s="767"/>
      <c r="GH315" s="767"/>
      <c r="GI315" s="767"/>
      <c r="GJ315" s="767"/>
      <c r="GK315" s="767"/>
      <c r="GL315" s="767"/>
      <c r="GM315" s="767"/>
      <c r="GN315" s="767"/>
      <c r="GO315" s="767"/>
      <c r="GP315" s="767"/>
      <c r="GQ315" s="767"/>
      <c r="GR315" s="767"/>
      <c r="GS315" s="767"/>
      <c r="GT315" s="767"/>
      <c r="GU315" s="767"/>
      <c r="GV315" s="767"/>
      <c r="GW315" s="767"/>
      <c r="GX315" s="767"/>
      <c r="GY315" s="767"/>
      <c r="GZ315" s="767"/>
      <c r="HA315" s="767"/>
      <c r="HB315" s="767"/>
      <c r="HC315" s="767"/>
      <c r="HD315" s="767"/>
      <c r="HE315" s="767"/>
      <c r="HF315" s="767"/>
      <c r="HG315" s="767"/>
      <c r="HH315" s="767"/>
      <c r="HI315" s="767"/>
      <c r="HJ315" s="767"/>
      <c r="HK315" s="767"/>
      <c r="HL315" s="767"/>
      <c r="HM315" s="767"/>
      <c r="HN315" s="767"/>
      <c r="HO315" s="767"/>
      <c r="HP315" s="767"/>
      <c r="HQ315" s="767"/>
      <c r="HR315" s="767"/>
      <c r="HS315" s="767"/>
      <c r="HT315" s="767"/>
      <c r="HU315" s="767"/>
      <c r="HV315" s="767"/>
      <c r="HW315" s="767"/>
      <c r="HX315" s="767"/>
      <c r="HY315" s="767"/>
      <c r="HZ315" s="767"/>
      <c r="IA315" s="767"/>
      <c r="IB315" s="767"/>
      <c r="IC315" s="767"/>
      <c r="ID315" s="767"/>
      <c r="IE315" s="767"/>
      <c r="IF315" s="767"/>
      <c r="IG315" s="767"/>
      <c r="IH315" s="767"/>
      <c r="II315" s="767"/>
      <c r="IJ315" s="767"/>
      <c r="IK315" s="767"/>
      <c r="IL315" s="767"/>
      <c r="IM315" s="767"/>
      <c r="IN315" s="767"/>
      <c r="IO315" s="767"/>
      <c r="IP315" s="767"/>
      <c r="IQ315" s="767"/>
      <c r="IR315" s="767"/>
      <c r="IS315" s="767"/>
      <c r="IT315" s="767"/>
      <c r="IU315" s="767"/>
      <c r="IV315" s="767"/>
    </row>
    <row r="316" spans="1:256" s="61" customFormat="1" ht="24" customHeight="1">
      <c r="A316" s="754"/>
      <c r="B316" s="428"/>
      <c r="C316" s="1154" t="s">
        <v>793</v>
      </c>
      <c r="D316" s="1154"/>
      <c r="E316" s="1154"/>
      <c r="F316" s="1154"/>
      <c r="G316" s="1154"/>
      <c r="H316" s="1154"/>
      <c r="I316" s="1154"/>
      <c r="J316" s="1154"/>
      <c r="K316" s="1154"/>
      <c r="L316" s="1154"/>
      <c r="M316" s="461"/>
      <c r="N316" s="767"/>
      <c r="O316" s="767"/>
      <c r="P316" s="767"/>
      <c r="Q316" s="767"/>
      <c r="R316" s="767"/>
      <c r="S316" s="767"/>
      <c r="T316" s="767"/>
      <c r="U316" s="767"/>
      <c r="V316" s="767"/>
      <c r="W316" s="767"/>
      <c r="X316" s="767"/>
      <c r="Y316" s="767"/>
      <c r="Z316" s="767"/>
      <c r="AA316" s="767"/>
      <c r="AB316" s="767"/>
      <c r="AC316" s="767"/>
      <c r="AD316" s="767"/>
      <c r="AE316" s="767"/>
      <c r="AF316" s="767"/>
      <c r="AG316" s="767"/>
      <c r="AH316" s="767"/>
      <c r="AI316" s="767"/>
      <c r="AJ316" s="767"/>
      <c r="AK316" s="767"/>
      <c r="AL316" s="767"/>
      <c r="AM316" s="767"/>
      <c r="AN316" s="767"/>
      <c r="AO316" s="767"/>
      <c r="AP316" s="767"/>
      <c r="AQ316" s="767"/>
      <c r="AR316" s="767"/>
      <c r="AS316" s="767"/>
      <c r="AT316" s="767"/>
      <c r="AU316" s="767"/>
      <c r="AV316" s="767"/>
      <c r="AW316" s="767"/>
      <c r="AX316" s="767"/>
      <c r="AY316" s="767"/>
      <c r="AZ316" s="767"/>
      <c r="BA316" s="767"/>
      <c r="BB316" s="767"/>
      <c r="BC316" s="767"/>
      <c r="BD316" s="767"/>
      <c r="BE316" s="767"/>
      <c r="BF316" s="767"/>
      <c r="BG316" s="767"/>
      <c r="BH316" s="767"/>
      <c r="BI316" s="767"/>
      <c r="BJ316" s="767"/>
      <c r="BK316" s="767"/>
      <c r="BL316" s="767"/>
      <c r="BM316" s="767"/>
      <c r="BN316" s="767"/>
      <c r="BO316" s="767"/>
      <c r="BP316" s="767"/>
      <c r="BQ316" s="767"/>
      <c r="BR316" s="767"/>
      <c r="BS316" s="767"/>
      <c r="BT316" s="767"/>
      <c r="BU316" s="767"/>
      <c r="BV316" s="767"/>
      <c r="BW316" s="767"/>
      <c r="BX316" s="767"/>
      <c r="BY316" s="767"/>
      <c r="BZ316" s="767"/>
      <c r="CA316" s="767"/>
      <c r="CB316" s="767"/>
      <c r="CC316" s="767"/>
      <c r="CD316" s="767"/>
      <c r="CE316" s="767"/>
      <c r="CF316" s="767"/>
      <c r="CG316" s="767"/>
      <c r="CH316" s="767"/>
      <c r="CI316" s="767"/>
      <c r="CJ316" s="767"/>
      <c r="CK316" s="767"/>
      <c r="CL316" s="767"/>
      <c r="CM316" s="767"/>
      <c r="CN316" s="767"/>
      <c r="CO316" s="767"/>
      <c r="CP316" s="767"/>
      <c r="CQ316" s="767"/>
      <c r="CR316" s="767"/>
      <c r="CS316" s="767"/>
      <c r="CT316" s="767"/>
      <c r="CU316" s="767"/>
      <c r="CV316" s="767"/>
      <c r="CW316" s="767"/>
      <c r="CX316" s="767"/>
      <c r="CY316" s="767"/>
      <c r="CZ316" s="767"/>
      <c r="DA316" s="767"/>
      <c r="DB316" s="767"/>
      <c r="DC316" s="767"/>
      <c r="DD316" s="767"/>
      <c r="DE316" s="767"/>
      <c r="DF316" s="767"/>
      <c r="DG316" s="767"/>
      <c r="DH316" s="767"/>
      <c r="DI316" s="767"/>
      <c r="DJ316" s="767"/>
      <c r="DK316" s="767"/>
      <c r="DL316" s="767"/>
      <c r="DM316" s="767"/>
      <c r="DN316" s="767"/>
      <c r="DO316" s="767"/>
      <c r="DP316" s="767"/>
      <c r="DQ316" s="767"/>
      <c r="DR316" s="767"/>
      <c r="DS316" s="767"/>
      <c r="DT316" s="767"/>
      <c r="DU316" s="767"/>
      <c r="DV316" s="767"/>
      <c r="DW316" s="767"/>
      <c r="DX316" s="767"/>
      <c r="DY316" s="767"/>
      <c r="DZ316" s="767"/>
      <c r="EA316" s="767"/>
      <c r="EB316" s="767"/>
      <c r="EC316" s="767"/>
      <c r="ED316" s="767"/>
      <c r="EE316" s="767"/>
      <c r="EF316" s="767"/>
      <c r="EG316" s="767"/>
      <c r="EH316" s="767"/>
      <c r="EI316" s="767"/>
      <c r="EJ316" s="767"/>
      <c r="EK316" s="767"/>
      <c r="EL316" s="767"/>
      <c r="EM316" s="767"/>
      <c r="EN316" s="767"/>
      <c r="EO316" s="767"/>
      <c r="EP316" s="767"/>
      <c r="EQ316" s="767"/>
      <c r="ER316" s="767"/>
      <c r="ES316" s="767"/>
      <c r="ET316" s="767"/>
      <c r="EU316" s="767"/>
      <c r="EV316" s="767"/>
      <c r="EW316" s="767"/>
      <c r="EX316" s="767"/>
      <c r="EY316" s="767"/>
      <c r="EZ316" s="767"/>
      <c r="FA316" s="767"/>
      <c r="FB316" s="767"/>
      <c r="FC316" s="767"/>
      <c r="FD316" s="767"/>
      <c r="FE316" s="767"/>
      <c r="FF316" s="767"/>
      <c r="FG316" s="767"/>
      <c r="FH316" s="767"/>
      <c r="FI316" s="767"/>
      <c r="FJ316" s="767"/>
      <c r="FK316" s="767"/>
      <c r="FL316" s="767"/>
      <c r="FM316" s="767"/>
      <c r="FN316" s="767"/>
      <c r="FO316" s="767"/>
      <c r="FP316" s="767"/>
      <c r="FQ316" s="767"/>
      <c r="FR316" s="767"/>
      <c r="FS316" s="767"/>
      <c r="FT316" s="767"/>
      <c r="FU316" s="767"/>
      <c r="FV316" s="767"/>
      <c r="FW316" s="767"/>
      <c r="FX316" s="767"/>
      <c r="FY316" s="767"/>
      <c r="FZ316" s="767"/>
      <c r="GA316" s="767"/>
      <c r="GB316" s="767"/>
      <c r="GC316" s="767"/>
      <c r="GD316" s="767"/>
      <c r="GE316" s="767"/>
      <c r="GF316" s="767"/>
      <c r="GG316" s="767"/>
      <c r="GH316" s="767"/>
      <c r="GI316" s="767"/>
      <c r="GJ316" s="767"/>
      <c r="GK316" s="767"/>
      <c r="GL316" s="767"/>
      <c r="GM316" s="767"/>
      <c r="GN316" s="767"/>
      <c r="GO316" s="767"/>
      <c r="GP316" s="767"/>
      <c r="GQ316" s="767"/>
      <c r="GR316" s="767"/>
      <c r="GS316" s="767"/>
      <c r="GT316" s="767"/>
      <c r="GU316" s="767"/>
      <c r="GV316" s="767"/>
      <c r="GW316" s="767"/>
      <c r="GX316" s="767"/>
      <c r="GY316" s="767"/>
      <c r="GZ316" s="767"/>
      <c r="HA316" s="767"/>
      <c r="HB316" s="767"/>
      <c r="HC316" s="767"/>
      <c r="HD316" s="767"/>
      <c r="HE316" s="767"/>
      <c r="HF316" s="767"/>
      <c r="HG316" s="767"/>
      <c r="HH316" s="767"/>
      <c r="HI316" s="767"/>
      <c r="HJ316" s="767"/>
      <c r="HK316" s="767"/>
      <c r="HL316" s="767"/>
      <c r="HM316" s="767"/>
      <c r="HN316" s="767"/>
      <c r="HO316" s="767"/>
      <c r="HP316" s="767"/>
      <c r="HQ316" s="767"/>
      <c r="HR316" s="767"/>
      <c r="HS316" s="767"/>
      <c r="HT316" s="767"/>
      <c r="HU316" s="767"/>
      <c r="HV316" s="767"/>
      <c r="HW316" s="767"/>
      <c r="HX316" s="767"/>
      <c r="HY316" s="767"/>
      <c r="HZ316" s="767"/>
      <c r="IA316" s="767"/>
      <c r="IB316" s="767"/>
      <c r="IC316" s="767"/>
      <c r="ID316" s="767"/>
      <c r="IE316" s="767"/>
      <c r="IF316" s="767"/>
      <c r="IG316" s="767"/>
      <c r="IH316" s="767"/>
      <c r="II316" s="767"/>
      <c r="IJ316" s="767"/>
      <c r="IK316" s="767"/>
      <c r="IL316" s="767"/>
      <c r="IM316" s="767"/>
      <c r="IN316" s="767"/>
      <c r="IO316" s="767"/>
      <c r="IP316" s="767"/>
      <c r="IQ316" s="767"/>
      <c r="IR316" s="767"/>
      <c r="IS316" s="767"/>
      <c r="IT316" s="767"/>
      <c r="IU316" s="767"/>
      <c r="IV316" s="767"/>
    </row>
    <row r="317" spans="1:256" s="61" customFormat="1" ht="15.75" hidden="1" customHeight="1">
      <c r="A317" s="754" t="s">
        <v>106</v>
      </c>
      <c r="B317" s="428"/>
      <c r="C317" s="428" t="s">
        <v>117</v>
      </c>
      <c r="D317" s="428"/>
      <c r="E317" s="428"/>
      <c r="F317" s="428"/>
      <c r="G317" s="428"/>
      <c r="H317" s="428"/>
      <c r="I317" s="428"/>
      <c r="J317" s="428"/>
      <c r="K317" s="556"/>
      <c r="L317" s="556"/>
      <c r="M317" s="461"/>
      <c r="N317" s="768"/>
      <c r="O317" s="768"/>
      <c r="P317" s="768"/>
      <c r="Q317" s="768"/>
      <c r="R317" s="768"/>
      <c r="S317" s="768"/>
      <c r="T317" s="768"/>
      <c r="U317" s="768"/>
      <c r="V317" s="768"/>
      <c r="W317" s="768"/>
      <c r="X317" s="768"/>
      <c r="Y317" s="768"/>
      <c r="Z317" s="768"/>
      <c r="AA317" s="768"/>
      <c r="AB317" s="768"/>
      <c r="AC317" s="768"/>
      <c r="AD317" s="768"/>
      <c r="AE317" s="768"/>
      <c r="AF317" s="768"/>
      <c r="AG317" s="768"/>
      <c r="AH317" s="768"/>
      <c r="AI317" s="768"/>
      <c r="AJ317" s="768"/>
      <c r="AK317" s="768"/>
      <c r="AL317" s="768"/>
      <c r="AM317" s="768"/>
      <c r="AN317" s="768"/>
      <c r="AO317" s="768"/>
      <c r="AP317" s="768"/>
      <c r="AQ317" s="768"/>
      <c r="AR317" s="768"/>
      <c r="AS317" s="768"/>
      <c r="AT317" s="768"/>
      <c r="AU317" s="768"/>
      <c r="AV317" s="768"/>
      <c r="AW317" s="768"/>
      <c r="AX317" s="768"/>
      <c r="AY317" s="768"/>
      <c r="AZ317" s="768"/>
      <c r="BA317" s="768"/>
      <c r="BB317" s="768"/>
      <c r="BC317" s="768"/>
      <c r="BD317" s="768"/>
      <c r="BE317" s="768"/>
      <c r="BF317" s="768"/>
      <c r="BG317" s="768"/>
      <c r="BH317" s="768"/>
      <c r="BI317" s="768"/>
      <c r="BJ317" s="768"/>
      <c r="BK317" s="768"/>
      <c r="BL317" s="768"/>
      <c r="BM317" s="768"/>
      <c r="BN317" s="768"/>
      <c r="BO317" s="768"/>
      <c r="BP317" s="768"/>
      <c r="BQ317" s="768"/>
      <c r="BR317" s="768"/>
      <c r="BS317" s="768"/>
      <c r="BT317" s="768"/>
      <c r="BU317" s="768"/>
      <c r="BV317" s="768"/>
      <c r="BW317" s="768"/>
      <c r="BX317" s="768"/>
      <c r="BY317" s="768"/>
      <c r="BZ317" s="768"/>
      <c r="CA317" s="768"/>
      <c r="CB317" s="768"/>
      <c r="CC317" s="768"/>
      <c r="CD317" s="768"/>
      <c r="CE317" s="768"/>
      <c r="CF317" s="768"/>
      <c r="CG317" s="768"/>
      <c r="CH317" s="768"/>
      <c r="CI317" s="768"/>
      <c r="CJ317" s="768"/>
      <c r="CK317" s="768"/>
      <c r="CL317" s="768"/>
      <c r="CM317" s="768"/>
      <c r="CN317" s="768"/>
      <c r="CO317" s="768"/>
      <c r="CP317" s="768"/>
      <c r="CQ317" s="768"/>
      <c r="CR317" s="768"/>
      <c r="CS317" s="768"/>
      <c r="CT317" s="768"/>
      <c r="CU317" s="768"/>
      <c r="CV317" s="768"/>
      <c r="CW317" s="768"/>
      <c r="CX317" s="768"/>
      <c r="CY317" s="768"/>
      <c r="CZ317" s="768"/>
      <c r="DA317" s="768"/>
      <c r="DB317" s="768"/>
      <c r="DC317" s="768"/>
      <c r="DD317" s="768"/>
      <c r="DE317" s="768"/>
      <c r="DF317" s="768"/>
      <c r="DG317" s="768"/>
      <c r="DH317" s="768"/>
      <c r="DI317" s="768"/>
      <c r="DJ317" s="768"/>
      <c r="DK317" s="768"/>
      <c r="DL317" s="768"/>
      <c r="DM317" s="768"/>
      <c r="DN317" s="768"/>
      <c r="DO317" s="768"/>
      <c r="DP317" s="768"/>
      <c r="DQ317" s="768"/>
      <c r="DR317" s="768"/>
      <c r="DS317" s="768"/>
      <c r="DT317" s="768"/>
      <c r="DU317" s="768"/>
      <c r="DV317" s="768"/>
      <c r="DW317" s="768"/>
      <c r="DX317" s="768"/>
      <c r="DY317" s="768"/>
      <c r="DZ317" s="768"/>
      <c r="EA317" s="768"/>
      <c r="EB317" s="768"/>
      <c r="EC317" s="768"/>
      <c r="ED317" s="768"/>
      <c r="EE317" s="768"/>
      <c r="EF317" s="768"/>
      <c r="EG317" s="768"/>
      <c r="EH317" s="768"/>
      <c r="EI317" s="768"/>
      <c r="EJ317" s="768"/>
      <c r="EK317" s="768"/>
      <c r="EL317" s="768"/>
      <c r="EM317" s="768"/>
      <c r="EN317" s="768"/>
      <c r="EO317" s="768"/>
      <c r="EP317" s="768"/>
      <c r="EQ317" s="768"/>
      <c r="ER317" s="768"/>
      <c r="ES317" s="768"/>
      <c r="ET317" s="768"/>
      <c r="EU317" s="768"/>
      <c r="EV317" s="768"/>
      <c r="EW317" s="768"/>
      <c r="EX317" s="768"/>
      <c r="EY317" s="768"/>
      <c r="EZ317" s="768"/>
      <c r="FA317" s="768"/>
      <c r="FB317" s="768"/>
      <c r="FC317" s="768"/>
      <c r="FD317" s="768"/>
      <c r="FE317" s="768"/>
      <c r="FF317" s="768"/>
      <c r="FG317" s="768"/>
      <c r="FH317" s="768"/>
      <c r="FI317" s="768"/>
      <c r="FJ317" s="768"/>
      <c r="FK317" s="768"/>
      <c r="FL317" s="768"/>
      <c r="FM317" s="768"/>
      <c r="FN317" s="768"/>
      <c r="FO317" s="768"/>
      <c r="FP317" s="768"/>
      <c r="FQ317" s="768"/>
      <c r="FR317" s="768"/>
      <c r="FS317" s="768"/>
      <c r="FT317" s="768"/>
      <c r="FU317" s="768"/>
      <c r="FV317" s="768"/>
      <c r="FW317" s="768"/>
      <c r="FX317" s="768"/>
      <c r="FY317" s="768"/>
      <c r="FZ317" s="768"/>
      <c r="GA317" s="768"/>
      <c r="GB317" s="768"/>
      <c r="GC317" s="768"/>
      <c r="GD317" s="768"/>
      <c r="GE317" s="768"/>
      <c r="GF317" s="768"/>
      <c r="GG317" s="768"/>
      <c r="GH317" s="768"/>
      <c r="GI317" s="768"/>
      <c r="GJ317" s="768"/>
      <c r="GK317" s="768"/>
      <c r="GL317" s="768"/>
      <c r="GM317" s="768"/>
      <c r="GN317" s="768"/>
      <c r="GO317" s="768"/>
      <c r="GP317" s="768"/>
      <c r="GQ317" s="768"/>
      <c r="GR317" s="768"/>
      <c r="GS317" s="768"/>
      <c r="GT317" s="768"/>
      <c r="GU317" s="768"/>
      <c r="GV317" s="768"/>
      <c r="GW317" s="768"/>
      <c r="GX317" s="768"/>
      <c r="GY317" s="768"/>
      <c r="GZ317" s="768"/>
      <c r="HA317" s="768"/>
      <c r="HB317" s="768"/>
      <c r="HC317" s="768"/>
      <c r="HD317" s="768"/>
      <c r="HE317" s="768"/>
      <c r="HF317" s="768"/>
      <c r="HG317" s="768"/>
      <c r="HH317" s="768"/>
      <c r="HI317" s="768"/>
      <c r="HJ317" s="768"/>
      <c r="HK317" s="768"/>
      <c r="HL317" s="768"/>
      <c r="HM317" s="768"/>
      <c r="HN317" s="768"/>
      <c r="HO317" s="768"/>
      <c r="HP317" s="768"/>
      <c r="HQ317" s="768"/>
      <c r="HR317" s="768"/>
      <c r="HS317" s="768"/>
      <c r="HT317" s="768"/>
      <c r="HU317" s="768"/>
      <c r="HV317" s="768"/>
      <c r="HW317" s="768"/>
      <c r="HX317" s="768"/>
      <c r="HY317" s="768"/>
      <c r="HZ317" s="768"/>
      <c r="IA317" s="768"/>
      <c r="IB317" s="768"/>
      <c r="IC317" s="768"/>
      <c r="ID317" s="768"/>
      <c r="IE317" s="768"/>
      <c r="IF317" s="768"/>
      <c r="IG317" s="768"/>
      <c r="IH317" s="768"/>
      <c r="II317" s="768"/>
      <c r="IJ317" s="768"/>
      <c r="IK317" s="768"/>
      <c r="IL317" s="768"/>
      <c r="IM317" s="768"/>
      <c r="IN317" s="768"/>
      <c r="IO317" s="768"/>
      <c r="IP317" s="768"/>
      <c r="IQ317" s="768"/>
      <c r="IR317" s="768"/>
      <c r="IS317" s="768"/>
      <c r="IT317" s="768"/>
      <c r="IU317" s="768"/>
      <c r="IV317" s="768"/>
    </row>
    <row r="318" spans="1:256" s="61" customFormat="1" ht="15.75" customHeight="1">
      <c r="A318" s="754" t="s">
        <v>106</v>
      </c>
      <c r="B318" s="428"/>
      <c r="C318" s="428" t="s">
        <v>926</v>
      </c>
      <c r="D318" s="428"/>
      <c r="E318" s="428"/>
      <c r="F318" s="428"/>
      <c r="G318" s="428"/>
      <c r="H318" s="428"/>
      <c r="I318" s="428"/>
      <c r="J318" s="428"/>
      <c r="K318" s="556"/>
      <c r="L318" s="556"/>
      <c r="M318" s="461"/>
      <c r="N318" s="768"/>
      <c r="O318" s="768"/>
      <c r="P318" s="768"/>
      <c r="Q318" s="768"/>
      <c r="R318" s="768"/>
      <c r="S318" s="768"/>
      <c r="T318" s="768"/>
      <c r="U318" s="768"/>
      <c r="V318" s="768"/>
      <c r="W318" s="768"/>
      <c r="X318" s="768"/>
      <c r="Y318" s="768"/>
      <c r="Z318" s="768"/>
      <c r="AA318" s="768"/>
      <c r="AB318" s="768"/>
      <c r="AC318" s="768"/>
      <c r="AD318" s="768"/>
      <c r="AE318" s="768"/>
      <c r="AF318" s="768"/>
      <c r="AG318" s="768"/>
      <c r="AH318" s="768"/>
      <c r="AI318" s="768"/>
      <c r="AJ318" s="768"/>
      <c r="AK318" s="768"/>
      <c r="AL318" s="768"/>
      <c r="AM318" s="768"/>
      <c r="AN318" s="768"/>
      <c r="AO318" s="768"/>
      <c r="AP318" s="768"/>
      <c r="AQ318" s="768"/>
      <c r="AR318" s="768"/>
      <c r="AS318" s="768"/>
      <c r="AT318" s="768"/>
      <c r="AU318" s="768"/>
      <c r="AV318" s="768"/>
      <c r="AW318" s="768"/>
      <c r="AX318" s="768"/>
      <c r="AY318" s="768"/>
      <c r="AZ318" s="768"/>
      <c r="BA318" s="768"/>
      <c r="BB318" s="768"/>
      <c r="BC318" s="768"/>
      <c r="BD318" s="768"/>
      <c r="BE318" s="768"/>
      <c r="BF318" s="768"/>
      <c r="BG318" s="768"/>
      <c r="BH318" s="768"/>
      <c r="BI318" s="768"/>
      <c r="BJ318" s="768"/>
      <c r="BK318" s="768"/>
      <c r="BL318" s="768"/>
      <c r="BM318" s="768"/>
      <c r="BN318" s="768"/>
      <c r="BO318" s="768"/>
      <c r="BP318" s="768"/>
      <c r="BQ318" s="768"/>
      <c r="BR318" s="768"/>
      <c r="BS318" s="768"/>
      <c r="BT318" s="768"/>
      <c r="BU318" s="768"/>
      <c r="BV318" s="768"/>
      <c r="BW318" s="768"/>
      <c r="BX318" s="768"/>
      <c r="BY318" s="768"/>
      <c r="BZ318" s="768"/>
      <c r="CA318" s="768"/>
      <c r="CB318" s="768"/>
      <c r="CC318" s="768"/>
      <c r="CD318" s="768"/>
      <c r="CE318" s="768"/>
      <c r="CF318" s="768"/>
      <c r="CG318" s="768"/>
      <c r="CH318" s="768"/>
      <c r="CI318" s="768"/>
      <c r="CJ318" s="768"/>
      <c r="CK318" s="768"/>
      <c r="CL318" s="768"/>
      <c r="CM318" s="768"/>
      <c r="CN318" s="768"/>
      <c r="CO318" s="768"/>
      <c r="CP318" s="768"/>
      <c r="CQ318" s="768"/>
      <c r="CR318" s="768"/>
      <c r="CS318" s="768"/>
      <c r="CT318" s="768"/>
      <c r="CU318" s="768"/>
      <c r="CV318" s="768"/>
      <c r="CW318" s="768"/>
      <c r="CX318" s="768"/>
      <c r="CY318" s="768"/>
      <c r="CZ318" s="768"/>
      <c r="DA318" s="768"/>
      <c r="DB318" s="768"/>
      <c r="DC318" s="768"/>
      <c r="DD318" s="768"/>
      <c r="DE318" s="768"/>
      <c r="DF318" s="768"/>
      <c r="DG318" s="768"/>
      <c r="DH318" s="768"/>
      <c r="DI318" s="768"/>
      <c r="DJ318" s="768"/>
      <c r="DK318" s="768"/>
      <c r="DL318" s="768"/>
      <c r="DM318" s="768"/>
      <c r="DN318" s="768"/>
      <c r="DO318" s="768"/>
      <c r="DP318" s="768"/>
      <c r="DQ318" s="768"/>
      <c r="DR318" s="768"/>
      <c r="DS318" s="768"/>
      <c r="DT318" s="768"/>
      <c r="DU318" s="768"/>
      <c r="DV318" s="768"/>
      <c r="DW318" s="768"/>
      <c r="DX318" s="768"/>
      <c r="DY318" s="768"/>
      <c r="DZ318" s="768"/>
      <c r="EA318" s="768"/>
      <c r="EB318" s="768"/>
      <c r="EC318" s="768"/>
      <c r="ED318" s="768"/>
      <c r="EE318" s="768"/>
      <c r="EF318" s="768"/>
      <c r="EG318" s="768"/>
      <c r="EH318" s="768"/>
      <c r="EI318" s="768"/>
      <c r="EJ318" s="768"/>
      <c r="EK318" s="768"/>
      <c r="EL318" s="768"/>
      <c r="EM318" s="768"/>
      <c r="EN318" s="768"/>
      <c r="EO318" s="768"/>
      <c r="EP318" s="768"/>
      <c r="EQ318" s="768"/>
      <c r="ER318" s="768"/>
      <c r="ES318" s="768"/>
      <c r="ET318" s="768"/>
      <c r="EU318" s="768"/>
      <c r="EV318" s="768"/>
      <c r="EW318" s="768"/>
      <c r="EX318" s="768"/>
      <c r="EY318" s="768"/>
      <c r="EZ318" s="768"/>
      <c r="FA318" s="768"/>
      <c r="FB318" s="768"/>
      <c r="FC318" s="768"/>
      <c r="FD318" s="768"/>
      <c r="FE318" s="768"/>
      <c r="FF318" s="768"/>
      <c r="FG318" s="768"/>
      <c r="FH318" s="768"/>
      <c r="FI318" s="768"/>
      <c r="FJ318" s="768"/>
      <c r="FK318" s="768"/>
      <c r="FL318" s="768"/>
      <c r="FM318" s="768"/>
      <c r="FN318" s="768"/>
      <c r="FO318" s="768"/>
      <c r="FP318" s="768"/>
      <c r="FQ318" s="768"/>
      <c r="FR318" s="768"/>
      <c r="FS318" s="768"/>
      <c r="FT318" s="768"/>
      <c r="FU318" s="768"/>
      <c r="FV318" s="768"/>
      <c r="FW318" s="768"/>
      <c r="FX318" s="768"/>
      <c r="FY318" s="768"/>
      <c r="FZ318" s="768"/>
      <c r="GA318" s="768"/>
      <c r="GB318" s="768"/>
      <c r="GC318" s="768"/>
      <c r="GD318" s="768"/>
      <c r="GE318" s="768"/>
      <c r="GF318" s="768"/>
      <c r="GG318" s="768"/>
      <c r="GH318" s="768"/>
      <c r="GI318" s="768"/>
      <c r="GJ318" s="768"/>
      <c r="GK318" s="768"/>
      <c r="GL318" s="768"/>
      <c r="GM318" s="768"/>
      <c r="GN318" s="768"/>
      <c r="GO318" s="768"/>
      <c r="GP318" s="768"/>
      <c r="GQ318" s="768"/>
      <c r="GR318" s="768"/>
      <c r="GS318" s="768"/>
      <c r="GT318" s="768"/>
      <c r="GU318" s="768"/>
      <c r="GV318" s="768"/>
      <c r="GW318" s="768"/>
      <c r="GX318" s="768"/>
      <c r="GY318" s="768"/>
      <c r="GZ318" s="768"/>
      <c r="HA318" s="768"/>
      <c r="HB318" s="768"/>
      <c r="HC318" s="768"/>
      <c r="HD318" s="768"/>
      <c r="HE318" s="768"/>
      <c r="HF318" s="768"/>
      <c r="HG318" s="768"/>
      <c r="HH318" s="768"/>
      <c r="HI318" s="768"/>
      <c r="HJ318" s="768"/>
      <c r="HK318" s="768"/>
      <c r="HL318" s="768"/>
      <c r="HM318" s="768"/>
      <c r="HN318" s="768"/>
      <c r="HO318" s="768"/>
      <c r="HP318" s="768"/>
      <c r="HQ318" s="768"/>
      <c r="HR318" s="768"/>
      <c r="HS318" s="768"/>
      <c r="HT318" s="768"/>
      <c r="HU318" s="768"/>
      <c r="HV318" s="768"/>
      <c r="HW318" s="768"/>
      <c r="HX318" s="768"/>
      <c r="HY318" s="768"/>
      <c r="HZ318" s="768"/>
      <c r="IA318" s="768"/>
      <c r="IB318" s="768"/>
      <c r="IC318" s="768"/>
      <c r="ID318" s="768"/>
      <c r="IE318" s="768"/>
      <c r="IF318" s="768"/>
      <c r="IG318" s="768"/>
      <c r="IH318" s="768"/>
      <c r="II318" s="768"/>
      <c r="IJ318" s="768"/>
      <c r="IK318" s="768"/>
      <c r="IL318" s="768"/>
      <c r="IM318" s="768"/>
      <c r="IN318" s="768"/>
      <c r="IO318" s="768"/>
      <c r="IP318" s="768"/>
      <c r="IQ318" s="768"/>
      <c r="IR318" s="768"/>
      <c r="IS318" s="768"/>
      <c r="IT318" s="768"/>
      <c r="IU318" s="768"/>
      <c r="IV318" s="768"/>
    </row>
    <row r="319" spans="1:256" s="61" customFormat="1" ht="18">
      <c r="A319" s="754" t="s">
        <v>108</v>
      </c>
      <c r="B319" s="428"/>
      <c r="C319" s="428" t="s">
        <v>118</v>
      </c>
      <c r="D319" s="428"/>
      <c r="E319" s="428"/>
      <c r="F319" s="428"/>
      <c r="G319" s="428"/>
      <c r="H319" s="428"/>
      <c r="I319" s="428"/>
      <c r="J319" s="428"/>
      <c r="K319" s="428"/>
      <c r="L319" s="428"/>
      <c r="M319" s="754"/>
    </row>
    <row r="320" spans="1:256" s="61" customFormat="1" ht="36.75" customHeight="1">
      <c r="A320" s="754" t="s">
        <v>109</v>
      </c>
      <c r="B320" s="428"/>
      <c r="C320" s="1155" t="s">
        <v>924</v>
      </c>
      <c r="D320" s="1156"/>
      <c r="E320" s="1156"/>
      <c r="F320" s="1156"/>
      <c r="G320" s="1156"/>
      <c r="H320" s="1156"/>
      <c r="I320" s="1156"/>
      <c r="J320" s="1156"/>
      <c r="K320" s="1156"/>
      <c r="L320" s="1156"/>
      <c r="M320" s="754"/>
    </row>
    <row r="321" spans="1:13" s="61" customFormat="1" ht="39" customHeight="1">
      <c r="A321" s="461"/>
      <c r="B321" s="461"/>
      <c r="C321" s="1155" t="s">
        <v>794</v>
      </c>
      <c r="D321" s="1155"/>
      <c r="E321" s="1155"/>
      <c r="F321" s="1155"/>
      <c r="G321" s="1155"/>
      <c r="H321" s="1155"/>
      <c r="I321" s="1155"/>
      <c r="J321" s="1155"/>
      <c r="K321" s="1155"/>
      <c r="L321" s="1155"/>
      <c r="M321" s="429"/>
    </row>
    <row r="322" spans="1:13" s="61" customFormat="1" ht="37.5" customHeight="1">
      <c r="A322" s="769" t="s">
        <v>312</v>
      </c>
      <c r="B322" s="461"/>
      <c r="C322" s="1150" t="s">
        <v>415</v>
      </c>
      <c r="D322" s="1150"/>
      <c r="E322" s="1150"/>
      <c r="F322" s="1150"/>
      <c r="G322" s="1150"/>
      <c r="H322" s="1150"/>
      <c r="I322" s="1150"/>
      <c r="J322" s="1150"/>
      <c r="K322" s="1150"/>
      <c r="L322" s="1150"/>
      <c r="M322" s="429"/>
    </row>
    <row r="323" spans="1:13" s="61" customFormat="1" ht="18">
      <c r="A323" s="770" t="s">
        <v>439</v>
      </c>
      <c r="B323" s="461"/>
      <c r="C323" s="478" t="s">
        <v>925</v>
      </c>
      <c r="D323" s="461"/>
      <c r="E323" s="461"/>
      <c r="F323" s="461"/>
      <c r="G323" s="461"/>
      <c r="H323" s="461"/>
      <c r="I323" s="461"/>
      <c r="J323" s="461"/>
      <c r="K323" s="429"/>
      <c r="L323" s="429"/>
      <c r="M323" s="429"/>
    </row>
    <row r="324" spans="1:13" s="61" customFormat="1" ht="18">
      <c r="A324" s="754"/>
      <c r="B324" s="428"/>
      <c r="C324" s="478" t="s">
        <v>639</v>
      </c>
      <c r="D324" s="428"/>
      <c r="E324" s="428"/>
      <c r="F324" s="428"/>
      <c r="G324" s="428"/>
      <c r="H324" s="428"/>
      <c r="I324" s="428"/>
      <c r="J324" s="428"/>
      <c r="K324" s="429"/>
      <c r="L324" s="429"/>
      <c r="M324" s="429"/>
    </row>
    <row r="325" spans="1:13" s="61" customFormat="1" ht="18">
      <c r="A325" s="754" t="s">
        <v>877</v>
      </c>
      <c r="B325" s="428"/>
      <c r="C325" s="429" t="s">
        <v>878</v>
      </c>
      <c r="D325" s="478"/>
      <c r="E325" s="478"/>
      <c r="F325" s="478"/>
      <c r="G325" s="478"/>
      <c r="H325" s="478"/>
      <c r="I325" s="478"/>
      <c r="J325" s="478"/>
      <c r="K325" s="429"/>
      <c r="L325" s="429"/>
      <c r="M325" s="429"/>
    </row>
    <row r="326" spans="1:13" s="61" customFormat="1" ht="18">
      <c r="A326" s="429"/>
      <c r="B326" s="429"/>
      <c r="C326" s="478"/>
      <c r="D326" s="478"/>
      <c r="E326" s="478"/>
      <c r="F326" s="478"/>
      <c r="G326" s="478"/>
      <c r="H326" s="478"/>
      <c r="I326" s="478"/>
      <c r="J326" s="478"/>
      <c r="K326" s="429"/>
      <c r="L326" s="429"/>
      <c r="M326" s="429"/>
    </row>
    <row r="327" spans="1:13" s="61" customFormat="1" ht="18">
      <c r="A327" s="429"/>
      <c r="B327" s="429"/>
      <c r="C327" s="478"/>
      <c r="D327" s="478"/>
      <c r="E327" s="478"/>
      <c r="F327" s="478"/>
      <c r="G327" s="478"/>
      <c r="H327" s="478"/>
      <c r="I327" s="478"/>
      <c r="J327" s="478"/>
      <c r="K327" s="429"/>
      <c r="L327" s="429"/>
      <c r="M327" s="429"/>
    </row>
    <row r="328" spans="1:13" s="61" customFormat="1" ht="18">
      <c r="A328" s="429"/>
      <c r="B328" s="429"/>
      <c r="C328" s="461"/>
      <c r="D328" s="461"/>
      <c r="E328" s="479"/>
      <c r="F328" s="479"/>
      <c r="G328" s="461"/>
      <c r="H328" s="461"/>
      <c r="I328" s="429"/>
      <c r="J328" s="429"/>
      <c r="K328" s="429"/>
      <c r="L328" s="429"/>
      <c r="M328" s="429"/>
    </row>
    <row r="329" spans="1:13" s="61" customFormat="1" ht="18">
      <c r="A329" s="429"/>
      <c r="B329" s="429"/>
      <c r="C329" s="461"/>
      <c r="D329" s="461"/>
      <c r="E329" s="479"/>
      <c r="F329" s="479"/>
      <c r="G329" s="461"/>
      <c r="H329" s="528"/>
      <c r="I329" s="429"/>
      <c r="J329" s="429"/>
      <c r="K329" s="429"/>
      <c r="L329" s="429"/>
      <c r="M329" s="429"/>
    </row>
    <row r="330" spans="1:13" s="61" customFormat="1" ht="18">
      <c r="A330" s="429"/>
      <c r="B330" s="429"/>
      <c r="C330" s="461"/>
      <c r="D330" s="461"/>
      <c r="E330" s="479"/>
      <c r="F330" s="479"/>
      <c r="G330" s="461"/>
      <c r="H330" s="756"/>
      <c r="I330" s="429"/>
      <c r="J330" s="429"/>
      <c r="K330" s="429"/>
      <c r="L330" s="429"/>
      <c r="M330" s="429"/>
    </row>
    <row r="331" spans="1:13" s="61" customFormat="1" ht="18">
      <c r="A331" s="429"/>
      <c r="B331" s="429"/>
      <c r="C331" s="461"/>
      <c r="D331" s="461"/>
      <c r="E331" s="479"/>
      <c r="F331" s="479"/>
      <c r="G331" s="461"/>
      <c r="H331" s="757"/>
      <c r="I331" s="429"/>
      <c r="J331" s="429"/>
      <c r="K331" s="429"/>
      <c r="L331" s="429"/>
      <c r="M331" s="429"/>
    </row>
    <row r="332" spans="1:13" s="61" customFormat="1" ht="18">
      <c r="A332" s="429"/>
      <c r="B332" s="429"/>
      <c r="C332" s="429"/>
      <c r="D332" s="429"/>
      <c r="E332" s="429"/>
      <c r="F332" s="429"/>
      <c r="G332" s="429"/>
      <c r="H332" s="429"/>
      <c r="I332" s="429"/>
      <c r="J332" s="429"/>
      <c r="K332" s="429"/>
      <c r="L332" s="429"/>
      <c r="M332" s="429"/>
    </row>
    <row r="333" spans="1:13" s="61" customFormat="1" ht="18">
      <c r="A333" s="429"/>
      <c r="B333" s="429"/>
      <c r="C333" s="429"/>
      <c r="D333" s="429"/>
      <c r="E333" s="429"/>
      <c r="F333" s="429"/>
      <c r="G333" s="429"/>
      <c r="H333" s="429"/>
      <c r="I333" s="429"/>
      <c r="J333" s="429"/>
      <c r="K333" s="429"/>
      <c r="L333" s="429"/>
      <c r="M333" s="429"/>
    </row>
    <row r="334" spans="1:13" s="61" customFormat="1" ht="18">
      <c r="A334" s="429"/>
      <c r="B334" s="429"/>
      <c r="C334" s="429"/>
      <c r="D334" s="429"/>
      <c r="E334" s="429"/>
      <c r="F334" s="429"/>
      <c r="G334" s="429"/>
      <c r="H334" s="429"/>
      <c r="I334" s="429"/>
      <c r="J334" s="429"/>
      <c r="K334" s="429"/>
      <c r="L334" s="429"/>
      <c r="M334" s="429"/>
    </row>
    <row r="335" spans="1:13" s="61" customFormat="1" ht="18">
      <c r="A335" s="429"/>
      <c r="B335" s="429"/>
      <c r="C335" s="429"/>
      <c r="D335" s="429"/>
      <c r="E335" s="429"/>
      <c r="F335" s="429"/>
      <c r="G335" s="429"/>
      <c r="H335" s="429"/>
      <c r="I335" s="429"/>
      <c r="J335" s="429"/>
      <c r="K335" s="429"/>
      <c r="L335" s="429"/>
      <c r="M335" s="429"/>
    </row>
    <row r="336" spans="1:13" s="61" customFormat="1" ht="18">
      <c r="A336" s="429"/>
      <c r="B336" s="429"/>
      <c r="C336" s="429"/>
      <c r="D336" s="429"/>
      <c r="E336" s="429"/>
      <c r="F336" s="429"/>
      <c r="G336" s="429"/>
      <c r="H336" s="429"/>
      <c r="I336" s="429"/>
      <c r="J336" s="429"/>
      <c r="K336" s="429"/>
      <c r="L336" s="429"/>
      <c r="M336" s="429"/>
    </row>
    <row r="337" spans="1:13" s="61" customFormat="1" ht="18">
      <c r="A337" s="429"/>
      <c r="B337" s="429"/>
      <c r="C337" s="429"/>
      <c r="D337" s="429"/>
      <c r="E337" s="429"/>
      <c r="F337" s="429"/>
      <c r="G337" s="429"/>
      <c r="H337" s="429"/>
      <c r="I337" s="429"/>
      <c r="J337" s="429"/>
      <c r="K337" s="429"/>
      <c r="L337" s="429"/>
      <c r="M337" s="429"/>
    </row>
    <row r="338" spans="1:13" s="61" customFormat="1" ht="18">
      <c r="A338" s="429"/>
      <c r="B338" s="429"/>
      <c r="C338" s="429"/>
      <c r="D338" s="429"/>
      <c r="E338" s="429"/>
      <c r="F338" s="429"/>
      <c r="G338" s="429"/>
      <c r="H338" s="429"/>
      <c r="I338" s="429"/>
      <c r="J338" s="429"/>
      <c r="K338" s="429"/>
      <c r="L338" s="429"/>
      <c r="M338" s="429"/>
    </row>
    <row r="339" spans="1:13" s="61" customFormat="1" ht="18">
      <c r="A339" s="429"/>
      <c r="B339" s="429"/>
      <c r="C339" s="429"/>
      <c r="D339" s="429"/>
      <c r="E339" s="429"/>
      <c r="F339" s="429"/>
      <c r="G339" s="429"/>
      <c r="H339" s="429"/>
      <c r="I339" s="429"/>
      <c r="J339" s="429"/>
      <c r="K339" s="429"/>
      <c r="L339" s="429"/>
      <c r="M339" s="429"/>
    </row>
    <row r="340" spans="1:13" s="61" customFormat="1" ht="18">
      <c r="A340" s="429"/>
      <c r="B340" s="429"/>
      <c r="C340" s="429"/>
      <c r="D340" s="429"/>
      <c r="E340" s="429"/>
      <c r="F340" s="429"/>
      <c r="G340" s="429"/>
      <c r="H340" s="429"/>
      <c r="I340" s="429"/>
      <c r="J340" s="429"/>
      <c r="K340" s="429"/>
      <c r="L340" s="429"/>
      <c r="M340" s="429"/>
    </row>
    <row r="341" spans="1:13" s="61" customFormat="1" ht="18">
      <c r="A341" s="429"/>
      <c r="B341" s="429"/>
      <c r="C341" s="429"/>
      <c r="D341" s="429"/>
      <c r="E341" s="429"/>
      <c r="F341" s="429"/>
      <c r="G341" s="429"/>
      <c r="H341" s="429"/>
      <c r="I341" s="429"/>
      <c r="J341" s="429"/>
      <c r="K341" s="429"/>
      <c r="L341" s="429"/>
      <c r="M341" s="429"/>
    </row>
    <row r="342" spans="1:13" s="61" customFormat="1" ht="18">
      <c r="A342" s="429"/>
      <c r="B342" s="429"/>
      <c r="C342" s="429"/>
      <c r="D342" s="429"/>
      <c r="E342" s="429"/>
      <c r="F342" s="429"/>
      <c r="G342" s="429"/>
      <c r="H342" s="429"/>
      <c r="I342" s="429"/>
      <c r="J342" s="429"/>
      <c r="K342" s="429"/>
      <c r="L342" s="429"/>
      <c r="M342" s="429"/>
    </row>
    <row r="343" spans="1:13" s="61" customFormat="1" ht="18">
      <c r="A343" s="429"/>
      <c r="B343" s="429"/>
      <c r="C343" s="429"/>
      <c r="D343" s="429"/>
      <c r="E343" s="429"/>
      <c r="F343" s="429"/>
      <c r="G343" s="429"/>
      <c r="H343" s="429"/>
      <c r="I343" s="429"/>
      <c r="J343" s="429"/>
      <c r="K343" s="429"/>
      <c r="L343" s="429"/>
      <c r="M343" s="429"/>
    </row>
    <row r="344" spans="1:13" s="61" customFormat="1" ht="18">
      <c r="A344" s="429"/>
      <c r="B344" s="429"/>
      <c r="C344" s="429"/>
      <c r="D344" s="429"/>
      <c r="E344" s="429"/>
      <c r="F344" s="429"/>
      <c r="G344" s="429"/>
      <c r="H344" s="429"/>
      <c r="I344" s="429"/>
      <c r="J344" s="429"/>
      <c r="K344" s="429"/>
      <c r="L344" s="429"/>
      <c r="M344" s="429"/>
    </row>
    <row r="345" spans="1:13" s="61" customFormat="1" ht="18">
      <c r="A345" s="429"/>
      <c r="B345" s="429"/>
      <c r="C345" s="429"/>
      <c r="D345" s="429"/>
      <c r="E345" s="429"/>
      <c r="F345" s="429"/>
      <c r="G345" s="429"/>
      <c r="H345" s="429"/>
      <c r="I345" s="429"/>
      <c r="J345" s="429"/>
      <c r="K345" s="429"/>
      <c r="L345" s="429"/>
      <c r="M345" s="429"/>
    </row>
    <row r="346" spans="1:13" s="61" customFormat="1" ht="18">
      <c r="A346" s="429"/>
      <c r="B346" s="429"/>
      <c r="C346" s="429"/>
      <c r="D346" s="429"/>
      <c r="E346" s="429"/>
      <c r="F346" s="429"/>
      <c r="G346" s="429"/>
      <c r="H346" s="429"/>
      <c r="I346" s="429"/>
      <c r="J346" s="429"/>
      <c r="K346" s="429"/>
      <c r="L346" s="429"/>
      <c r="M346" s="429"/>
    </row>
    <row r="347" spans="1:13" s="61" customFormat="1" ht="18">
      <c r="A347" s="429"/>
      <c r="B347" s="429"/>
      <c r="C347" s="429"/>
      <c r="D347" s="429"/>
      <c r="E347" s="429"/>
      <c r="F347" s="429"/>
      <c r="G347" s="429"/>
      <c r="H347" s="429"/>
      <c r="I347" s="429"/>
      <c r="J347" s="429"/>
      <c r="K347" s="429"/>
      <c r="L347" s="429"/>
      <c r="M347" s="429"/>
    </row>
    <row r="348" spans="1:13" s="61" customFormat="1" ht="18">
      <c r="A348" s="429"/>
      <c r="B348" s="429"/>
      <c r="C348" s="429"/>
      <c r="D348" s="429"/>
      <c r="E348" s="429"/>
      <c r="F348" s="429"/>
      <c r="G348" s="429"/>
      <c r="H348" s="429"/>
      <c r="I348" s="429"/>
      <c r="J348" s="429"/>
      <c r="K348" s="429"/>
      <c r="L348" s="429"/>
      <c r="M348" s="429"/>
    </row>
    <row r="349" spans="1:13" s="61" customFormat="1" ht="18">
      <c r="A349" s="429"/>
      <c r="B349" s="429"/>
      <c r="C349" s="429"/>
      <c r="D349" s="429"/>
      <c r="E349" s="429"/>
      <c r="F349" s="429"/>
      <c r="G349" s="429"/>
      <c r="H349" s="429"/>
      <c r="I349" s="429"/>
      <c r="J349" s="429"/>
      <c r="K349" s="429"/>
      <c r="L349" s="429"/>
      <c r="M349" s="429"/>
    </row>
    <row r="350" spans="1:13" s="61" customFormat="1" ht="18">
      <c r="A350" s="429"/>
      <c r="B350" s="429"/>
      <c r="C350" s="429"/>
      <c r="D350" s="429"/>
      <c r="E350" s="429"/>
      <c r="F350" s="429"/>
      <c r="G350" s="429"/>
      <c r="H350" s="429"/>
      <c r="I350" s="429"/>
      <c r="J350" s="429"/>
      <c r="K350" s="429"/>
      <c r="L350" s="429"/>
      <c r="M350" s="429"/>
    </row>
    <row r="351" spans="1:13" s="61" customFormat="1" ht="18">
      <c r="A351" s="429"/>
      <c r="B351" s="429"/>
      <c r="C351" s="429"/>
      <c r="D351" s="429"/>
      <c r="E351" s="429"/>
      <c r="F351" s="429"/>
      <c r="G351" s="429"/>
      <c r="H351" s="429"/>
      <c r="I351" s="429"/>
      <c r="J351" s="429"/>
      <c r="K351" s="429"/>
      <c r="L351" s="429"/>
      <c r="M351" s="429"/>
    </row>
    <row r="352" spans="1:13" s="61" customFormat="1" ht="18">
      <c r="A352" s="429"/>
      <c r="B352" s="429"/>
      <c r="C352" s="429"/>
      <c r="D352" s="429"/>
      <c r="E352" s="429"/>
      <c r="F352" s="429"/>
      <c r="G352" s="429"/>
      <c r="H352" s="429"/>
      <c r="I352" s="429"/>
      <c r="J352" s="429"/>
      <c r="K352" s="429"/>
      <c r="L352" s="429"/>
      <c r="M352" s="429"/>
    </row>
    <row r="353" spans="1:13" s="61" customFormat="1" ht="18">
      <c r="A353" s="429"/>
      <c r="B353" s="429"/>
      <c r="C353" s="429"/>
      <c r="D353" s="429"/>
      <c r="E353" s="429"/>
      <c r="F353" s="429"/>
      <c r="G353" s="429"/>
      <c r="H353" s="429"/>
      <c r="I353" s="429"/>
      <c r="J353" s="429"/>
      <c r="K353" s="429"/>
      <c r="L353" s="429"/>
      <c r="M353" s="429"/>
    </row>
    <row r="354" spans="1:13" s="61" customFormat="1" ht="18">
      <c r="A354" s="429"/>
      <c r="B354" s="429"/>
      <c r="C354" s="429"/>
      <c r="D354" s="429"/>
      <c r="E354" s="429"/>
      <c r="F354" s="429"/>
      <c r="G354" s="429"/>
      <c r="H354" s="429"/>
      <c r="I354" s="429"/>
      <c r="J354" s="429"/>
      <c r="K354" s="429"/>
      <c r="L354" s="429"/>
      <c r="M354" s="429"/>
    </row>
    <row r="355" spans="1:13" s="61" customFormat="1" ht="18">
      <c r="A355" s="429"/>
      <c r="B355" s="429"/>
      <c r="C355" s="429"/>
      <c r="D355" s="429"/>
      <c r="E355" s="429"/>
      <c r="F355" s="429"/>
      <c r="G355" s="429"/>
      <c r="H355" s="429"/>
      <c r="I355" s="429"/>
      <c r="J355" s="429"/>
      <c r="K355" s="429"/>
      <c r="L355" s="429"/>
      <c r="M355" s="429"/>
    </row>
    <row r="356" spans="1:13" s="61" customFormat="1" ht="18">
      <c r="A356" s="429"/>
      <c r="B356" s="429"/>
      <c r="C356" s="429"/>
      <c r="D356" s="429"/>
      <c r="E356" s="429"/>
      <c r="F356" s="429"/>
      <c r="G356" s="429"/>
      <c r="H356" s="429"/>
      <c r="I356" s="429"/>
      <c r="J356" s="429"/>
      <c r="K356" s="429"/>
      <c r="L356" s="429"/>
      <c r="M356" s="429"/>
    </row>
    <row r="357" spans="1:13" s="61" customFormat="1" ht="18">
      <c r="A357" s="429"/>
      <c r="B357" s="429"/>
      <c r="C357" s="429"/>
      <c r="D357" s="429"/>
      <c r="E357" s="429"/>
      <c r="F357" s="429"/>
      <c r="G357" s="429"/>
      <c r="H357" s="429"/>
      <c r="I357" s="429"/>
      <c r="J357" s="429"/>
      <c r="K357" s="429"/>
      <c r="L357" s="429"/>
      <c r="M357" s="429"/>
    </row>
    <row r="358" spans="1:13" s="61" customFormat="1" ht="18">
      <c r="A358" s="429"/>
      <c r="B358" s="429"/>
      <c r="C358" s="429"/>
      <c r="D358" s="429"/>
      <c r="E358" s="429"/>
      <c r="F358" s="429"/>
      <c r="G358" s="429"/>
      <c r="H358" s="429"/>
      <c r="I358" s="429"/>
      <c r="J358" s="429"/>
      <c r="K358" s="429"/>
      <c r="L358" s="429"/>
      <c r="M358" s="429"/>
    </row>
    <row r="359" spans="1:13" s="61" customFormat="1" ht="18">
      <c r="A359" s="429"/>
      <c r="B359" s="429"/>
      <c r="C359" s="429"/>
      <c r="D359" s="429"/>
      <c r="E359" s="429"/>
      <c r="F359" s="429"/>
      <c r="G359" s="429"/>
      <c r="H359" s="429"/>
      <c r="I359" s="429"/>
      <c r="J359" s="429"/>
      <c r="K359" s="429"/>
      <c r="L359" s="429"/>
      <c r="M359" s="429"/>
    </row>
    <row r="360" spans="1:13" s="61" customFormat="1" ht="18">
      <c r="A360" s="429"/>
      <c r="B360" s="429"/>
      <c r="C360" s="429"/>
      <c r="D360" s="429"/>
      <c r="E360" s="429"/>
      <c r="F360" s="429"/>
      <c r="G360" s="429"/>
      <c r="H360" s="429"/>
      <c r="I360" s="429"/>
      <c r="J360" s="429"/>
      <c r="K360" s="429"/>
      <c r="L360" s="429"/>
      <c r="M360" s="429"/>
    </row>
    <row r="361" spans="1:13" s="61" customFormat="1" ht="18">
      <c r="A361" s="429"/>
      <c r="B361" s="429"/>
      <c r="C361" s="429"/>
      <c r="D361" s="429"/>
      <c r="E361" s="429"/>
      <c r="F361" s="429"/>
      <c r="G361" s="429"/>
      <c r="H361" s="429"/>
      <c r="I361" s="429"/>
      <c r="J361" s="429"/>
      <c r="K361" s="429"/>
      <c r="L361" s="429"/>
      <c r="M361" s="429"/>
    </row>
    <row r="362" spans="1:13" s="61" customFormat="1" ht="18">
      <c r="A362" s="429"/>
      <c r="B362" s="429"/>
      <c r="C362" s="429"/>
      <c r="D362" s="429"/>
      <c r="E362" s="429"/>
      <c r="F362" s="429"/>
      <c r="G362" s="429"/>
      <c r="H362" s="429"/>
      <c r="I362" s="429"/>
      <c r="J362" s="429"/>
      <c r="K362" s="429"/>
      <c r="L362" s="429"/>
      <c r="M362" s="429"/>
    </row>
    <row r="363" spans="1:13" s="61" customFormat="1" ht="18">
      <c r="A363" s="429"/>
      <c r="B363" s="429"/>
      <c r="C363" s="429"/>
      <c r="D363" s="429"/>
      <c r="E363" s="429"/>
      <c r="F363" s="429"/>
      <c r="G363" s="429"/>
      <c r="H363" s="429"/>
      <c r="I363" s="429"/>
      <c r="J363" s="429"/>
      <c r="K363" s="429"/>
      <c r="L363" s="429"/>
      <c r="M363" s="429"/>
    </row>
    <row r="364" spans="1:13" s="61" customFormat="1" ht="18">
      <c r="A364" s="429"/>
      <c r="B364" s="429"/>
      <c r="C364" s="429"/>
      <c r="D364" s="429"/>
      <c r="E364" s="429"/>
      <c r="F364" s="429"/>
      <c r="G364" s="429"/>
      <c r="H364" s="429"/>
      <c r="I364" s="429"/>
      <c r="J364" s="429"/>
      <c r="K364" s="429"/>
      <c r="L364" s="429"/>
      <c r="M364" s="429"/>
    </row>
    <row r="365" spans="1:13" s="61" customFormat="1" ht="18">
      <c r="A365" s="429"/>
      <c r="B365" s="429"/>
      <c r="C365" s="429"/>
      <c r="D365" s="429"/>
      <c r="E365" s="429"/>
      <c r="F365" s="429"/>
      <c r="G365" s="429"/>
      <c r="H365" s="429"/>
      <c r="I365" s="429"/>
      <c r="J365" s="429"/>
      <c r="K365" s="429"/>
      <c r="L365" s="429"/>
      <c r="M365" s="429"/>
    </row>
    <row r="366" spans="1:13" s="61" customFormat="1" ht="18">
      <c r="A366" s="429"/>
      <c r="B366" s="429"/>
      <c r="C366" s="429"/>
      <c r="D366" s="429"/>
      <c r="E366" s="429"/>
      <c r="F366" s="429"/>
      <c r="G366" s="429"/>
      <c r="H366" s="429"/>
      <c r="I366" s="429"/>
      <c r="J366" s="429"/>
      <c r="K366" s="429"/>
      <c r="L366" s="429"/>
      <c r="M366" s="429"/>
    </row>
    <row r="367" spans="1:13" s="61" customFormat="1" ht="18">
      <c r="A367" s="429"/>
      <c r="B367" s="429"/>
      <c r="C367" s="429"/>
      <c r="D367" s="429"/>
      <c r="E367" s="429"/>
      <c r="F367" s="429"/>
      <c r="G367" s="429"/>
      <c r="H367" s="429"/>
      <c r="I367" s="429"/>
      <c r="J367" s="429"/>
      <c r="K367" s="429"/>
      <c r="L367" s="429"/>
      <c r="M367" s="429"/>
    </row>
    <row r="368" spans="1:13" s="61" customFormat="1" ht="18">
      <c r="A368" s="429"/>
      <c r="B368" s="429"/>
      <c r="C368" s="429"/>
      <c r="D368" s="429"/>
      <c r="E368" s="429"/>
      <c r="F368" s="429"/>
      <c r="G368" s="429"/>
      <c r="H368" s="429"/>
      <c r="I368" s="429"/>
      <c r="J368" s="429"/>
      <c r="K368" s="429"/>
      <c r="L368" s="429"/>
      <c r="M368" s="429"/>
    </row>
    <row r="369" spans="1:13" s="61" customFormat="1" ht="18">
      <c r="A369" s="429"/>
      <c r="B369" s="429"/>
      <c r="C369" s="429"/>
      <c r="D369" s="429"/>
      <c r="E369" s="429"/>
      <c r="F369" s="429"/>
      <c r="G369" s="429"/>
      <c r="H369" s="429"/>
      <c r="I369" s="429"/>
      <c r="J369" s="429"/>
      <c r="K369" s="429"/>
      <c r="L369" s="429"/>
      <c r="M369" s="429"/>
    </row>
    <row r="370" spans="1:13" s="61" customFormat="1" ht="18">
      <c r="A370" s="429"/>
      <c r="B370" s="429"/>
      <c r="C370" s="429"/>
      <c r="D370" s="429"/>
      <c r="E370" s="429"/>
      <c r="F370" s="429"/>
      <c r="G370" s="429"/>
      <c r="H370" s="429"/>
      <c r="I370" s="429"/>
      <c r="J370" s="429"/>
      <c r="K370" s="429"/>
      <c r="L370" s="429"/>
      <c r="M370" s="429"/>
    </row>
    <row r="371" spans="1:13" s="61" customFormat="1" ht="18">
      <c r="A371" s="429"/>
      <c r="B371" s="429"/>
      <c r="C371" s="429"/>
      <c r="D371" s="429"/>
      <c r="E371" s="429"/>
      <c r="F371" s="429"/>
      <c r="G371" s="429"/>
      <c r="H371" s="429"/>
      <c r="I371" s="429"/>
      <c r="J371" s="429"/>
      <c r="K371" s="429"/>
      <c r="L371" s="429"/>
      <c r="M371" s="429"/>
    </row>
    <row r="372" spans="1:13" s="61" customFormat="1" ht="18">
      <c r="A372" s="429"/>
      <c r="B372" s="429"/>
      <c r="C372" s="429"/>
      <c r="D372" s="429"/>
      <c r="E372" s="429"/>
      <c r="F372" s="429"/>
      <c r="G372" s="429"/>
      <c r="H372" s="429"/>
      <c r="I372" s="429"/>
      <c r="J372" s="429"/>
      <c r="K372" s="429"/>
      <c r="L372" s="429"/>
      <c r="M372" s="429"/>
    </row>
    <row r="373" spans="1:13" s="61" customFormat="1" ht="18">
      <c r="A373" s="429"/>
      <c r="B373" s="429"/>
      <c r="C373" s="429"/>
      <c r="D373" s="429"/>
      <c r="E373" s="429"/>
      <c r="F373" s="429"/>
      <c r="G373" s="429"/>
      <c r="H373" s="429"/>
      <c r="I373" s="429"/>
      <c r="J373" s="429"/>
      <c r="K373" s="429"/>
      <c r="L373" s="429"/>
      <c r="M373" s="429"/>
    </row>
    <row r="374" spans="1:13" s="61" customFormat="1" ht="18">
      <c r="A374" s="429"/>
      <c r="B374" s="429"/>
      <c r="C374" s="429"/>
      <c r="D374" s="429"/>
      <c r="E374" s="429"/>
      <c r="F374" s="429"/>
      <c r="G374" s="429"/>
      <c r="H374" s="429"/>
      <c r="I374" s="429"/>
      <c r="J374" s="429"/>
      <c r="K374" s="429"/>
      <c r="L374" s="429"/>
      <c r="M374" s="429"/>
    </row>
    <row r="375" spans="1:13" s="61" customFormat="1" ht="18">
      <c r="A375" s="429"/>
      <c r="B375" s="429"/>
      <c r="C375" s="429"/>
      <c r="D375" s="429"/>
      <c r="E375" s="429"/>
      <c r="F375" s="429"/>
      <c r="G375" s="429"/>
      <c r="H375" s="429"/>
      <c r="I375" s="429"/>
      <c r="J375" s="429"/>
      <c r="K375" s="429"/>
      <c r="L375" s="429"/>
      <c r="M375" s="429"/>
    </row>
    <row r="376" spans="1:13" s="61" customFormat="1" ht="18">
      <c r="A376" s="429"/>
      <c r="B376" s="429"/>
      <c r="C376" s="429"/>
      <c r="D376" s="429"/>
      <c r="E376" s="429"/>
      <c r="F376" s="429"/>
      <c r="G376" s="429"/>
      <c r="H376" s="429"/>
      <c r="I376" s="429"/>
      <c r="J376" s="429"/>
      <c r="K376" s="429"/>
      <c r="L376" s="429"/>
      <c r="M376" s="429"/>
    </row>
    <row r="377" spans="1:13" s="61" customFormat="1" ht="18">
      <c r="A377" s="429"/>
      <c r="B377" s="429"/>
      <c r="C377" s="429"/>
      <c r="D377" s="429"/>
      <c r="E377" s="429"/>
      <c r="F377" s="429"/>
      <c r="G377" s="429"/>
      <c r="H377" s="429"/>
      <c r="I377" s="429"/>
      <c r="J377" s="429"/>
      <c r="K377" s="429"/>
      <c r="L377" s="429"/>
      <c r="M377" s="429"/>
    </row>
    <row r="378" spans="1:13" s="61" customFormat="1" ht="18">
      <c r="A378" s="429"/>
      <c r="B378" s="429"/>
      <c r="C378" s="429"/>
      <c r="D378" s="429"/>
      <c r="E378" s="429"/>
      <c r="F378" s="429"/>
      <c r="G378" s="429"/>
      <c r="H378" s="429"/>
      <c r="I378" s="429"/>
      <c r="J378" s="429"/>
      <c r="K378" s="429"/>
      <c r="L378" s="429"/>
      <c r="M378" s="429"/>
    </row>
    <row r="379" spans="1:13" s="61" customFormat="1" ht="18">
      <c r="A379" s="429"/>
      <c r="B379" s="429"/>
      <c r="C379" s="429"/>
      <c r="D379" s="429"/>
      <c r="E379" s="429"/>
      <c r="F379" s="429"/>
      <c r="G379" s="429"/>
      <c r="H379" s="429"/>
      <c r="I379" s="429"/>
      <c r="J379" s="429"/>
      <c r="K379" s="429"/>
      <c r="L379" s="429"/>
      <c r="M379" s="429"/>
    </row>
    <row r="380" spans="1:13" s="61" customFormat="1" ht="18">
      <c r="A380" s="429"/>
      <c r="B380" s="429"/>
      <c r="C380" s="429"/>
      <c r="D380" s="429"/>
      <c r="E380" s="429"/>
      <c r="F380" s="429"/>
      <c r="G380" s="429"/>
      <c r="H380" s="429"/>
      <c r="I380" s="429"/>
      <c r="J380" s="429"/>
      <c r="K380" s="429"/>
      <c r="L380" s="429"/>
      <c r="M380" s="429"/>
    </row>
    <row r="381" spans="1:13" s="61" customFormat="1" ht="18">
      <c r="A381" s="429"/>
      <c r="B381" s="429"/>
      <c r="C381" s="429"/>
      <c r="D381" s="429"/>
      <c r="E381" s="429"/>
      <c r="F381" s="429"/>
      <c r="G381" s="429"/>
      <c r="H381" s="429"/>
      <c r="I381" s="429"/>
      <c r="J381" s="429"/>
      <c r="K381" s="429"/>
      <c r="L381" s="429"/>
      <c r="M381" s="429"/>
    </row>
    <row r="382" spans="1:13" s="61" customFormat="1" ht="18">
      <c r="A382" s="429"/>
      <c r="B382" s="429"/>
      <c r="C382" s="429"/>
      <c r="D382" s="429"/>
      <c r="E382" s="429"/>
      <c r="F382" s="429"/>
      <c r="G382" s="429"/>
      <c r="H382" s="429"/>
      <c r="I382" s="429"/>
      <c r="J382" s="429"/>
      <c r="K382" s="429"/>
      <c r="L382" s="429"/>
      <c r="M382" s="429"/>
    </row>
    <row r="383" spans="1:13" s="61" customFormat="1" ht="18">
      <c r="A383" s="429"/>
      <c r="B383" s="429"/>
      <c r="C383" s="429"/>
      <c r="D383" s="429"/>
      <c r="E383" s="429"/>
      <c r="F383" s="429"/>
      <c r="G383" s="429"/>
      <c r="H383" s="429"/>
      <c r="I383" s="429"/>
      <c r="J383" s="429"/>
      <c r="K383" s="429"/>
      <c r="L383" s="429"/>
      <c r="M383" s="429"/>
    </row>
    <row r="384" spans="1:13" s="61" customFormat="1" ht="18">
      <c r="A384" s="429"/>
      <c r="B384" s="429"/>
      <c r="C384" s="429"/>
      <c r="D384" s="429"/>
      <c r="E384" s="429"/>
      <c r="F384" s="429"/>
      <c r="G384" s="429"/>
      <c r="H384" s="429"/>
      <c r="I384" s="429"/>
      <c r="J384" s="429"/>
    </row>
    <row r="385" spans="1:10" s="61" customFormat="1" ht="18">
      <c r="A385" s="429"/>
      <c r="B385" s="429"/>
      <c r="C385" s="429"/>
      <c r="D385" s="429"/>
      <c r="E385" s="429"/>
      <c r="F385" s="429"/>
      <c r="G385" s="429"/>
      <c r="H385" s="429"/>
      <c r="I385" s="429"/>
      <c r="J385" s="429"/>
    </row>
    <row r="386" spans="1:10" s="61" customFormat="1" ht="18">
      <c r="A386" s="429"/>
      <c r="B386" s="429"/>
      <c r="C386" s="429"/>
      <c r="D386" s="429"/>
      <c r="E386" s="429"/>
      <c r="F386" s="429"/>
      <c r="G386" s="429"/>
      <c r="H386" s="429"/>
      <c r="I386" s="429"/>
      <c r="J386" s="429"/>
    </row>
    <row r="387" spans="1:10" s="61" customFormat="1" ht="18">
      <c r="A387" s="429"/>
      <c r="B387" s="429"/>
      <c r="C387" s="429"/>
      <c r="D387" s="429"/>
      <c r="E387" s="429"/>
      <c r="F387" s="429"/>
      <c r="G387" s="429"/>
      <c r="H387" s="429"/>
      <c r="I387" s="429"/>
      <c r="J387" s="429"/>
    </row>
    <row r="388" spans="1:10" s="61" customFormat="1" ht="18">
      <c r="A388" s="429"/>
      <c r="B388" s="429"/>
      <c r="C388" s="429"/>
      <c r="D388" s="429"/>
      <c r="E388" s="429"/>
      <c r="F388" s="429"/>
      <c r="G388" s="429"/>
      <c r="H388" s="429"/>
      <c r="I388" s="429"/>
      <c r="J388" s="429"/>
    </row>
    <row r="389" spans="1:10" s="61" customFormat="1" ht="18">
      <c r="A389" s="429"/>
      <c r="B389" s="429"/>
      <c r="C389" s="429"/>
      <c r="D389" s="429"/>
      <c r="E389" s="429"/>
      <c r="F389" s="429"/>
      <c r="G389" s="429"/>
      <c r="H389" s="429"/>
      <c r="I389" s="429"/>
      <c r="J389" s="429"/>
    </row>
    <row r="390" spans="1:10" s="61" customFormat="1" ht="18">
      <c r="A390" s="429"/>
      <c r="B390" s="429"/>
      <c r="C390" s="429"/>
      <c r="D390" s="429"/>
      <c r="E390" s="429"/>
      <c r="F390" s="429"/>
      <c r="G390" s="429"/>
      <c r="H390" s="429"/>
      <c r="I390" s="429"/>
      <c r="J390" s="429"/>
    </row>
    <row r="391" spans="1:10" s="61" customFormat="1" ht="17.399999999999999"/>
    <row r="392" spans="1:10" s="61" customFormat="1" ht="17.399999999999999"/>
    <row r="393" spans="1:10" s="61" customFormat="1" ht="17.399999999999999"/>
    <row r="394" spans="1:10" s="61" customFormat="1" ht="17.399999999999999"/>
    <row r="395" spans="1:10" s="61" customFormat="1" ht="17.399999999999999"/>
    <row r="396" spans="1:10" s="61" customFormat="1" ht="17.399999999999999"/>
    <row r="397" spans="1:10" s="61" customFormat="1" ht="17.399999999999999"/>
    <row r="398" spans="1:10" s="61" customFormat="1" ht="17.399999999999999"/>
    <row r="399" spans="1:10" s="61" customFormat="1" ht="17.399999999999999"/>
    <row r="400" spans="1:10" s="61" customFormat="1" ht="17.399999999999999"/>
    <row r="401" s="61" customFormat="1" ht="17.399999999999999"/>
    <row r="402" s="61" customFormat="1" ht="17.399999999999999"/>
    <row r="403" s="61" customFormat="1" ht="17.399999999999999"/>
    <row r="404" s="61" customFormat="1" ht="17.399999999999999"/>
    <row r="405" s="61" customFormat="1" ht="17.399999999999999"/>
    <row r="406" s="61" customFormat="1" ht="17.399999999999999"/>
    <row r="407" s="61" customFormat="1" ht="17.399999999999999"/>
    <row r="408" s="61" customFormat="1" ht="17.399999999999999"/>
    <row r="409" s="61" customFormat="1" ht="17.399999999999999"/>
    <row r="410" s="61" customFormat="1" ht="17.399999999999999"/>
    <row r="411" s="61" customFormat="1" ht="17.399999999999999"/>
    <row r="412" s="61" customFormat="1" ht="17.399999999999999"/>
    <row r="413" s="61" customFormat="1" ht="17.399999999999999"/>
    <row r="414" s="61" customFormat="1" ht="17.399999999999999"/>
    <row r="415" s="61" customFormat="1" ht="17.399999999999999"/>
    <row r="416" s="61" customFormat="1" ht="17.399999999999999"/>
    <row r="417" s="61" customFormat="1" ht="17.399999999999999"/>
    <row r="418" s="61" customFormat="1" ht="17.399999999999999"/>
    <row r="419" s="61" customFormat="1" ht="17.399999999999999"/>
    <row r="420" s="61" customFormat="1" ht="17.399999999999999"/>
    <row r="421" s="61" customFormat="1" ht="17.399999999999999"/>
    <row r="422" s="61" customFormat="1" ht="17.399999999999999"/>
    <row r="423" s="61" customFormat="1" ht="17.399999999999999"/>
    <row r="424" s="61" customFormat="1" ht="17.399999999999999"/>
    <row r="425" s="61" customFormat="1" ht="17.399999999999999"/>
    <row r="426" s="61" customFormat="1" ht="17.399999999999999"/>
    <row r="427" s="61" customFormat="1" ht="17.399999999999999"/>
    <row r="428" s="61" customFormat="1" ht="17.399999999999999"/>
    <row r="429" s="61" customFormat="1" ht="17.399999999999999"/>
    <row r="430" s="61" customFormat="1" ht="17.399999999999999"/>
    <row r="431" s="61" customFormat="1" ht="17.399999999999999"/>
    <row r="432" s="61" customFormat="1" ht="17.399999999999999"/>
    <row r="433" spans="1:17" s="61" customFormat="1" ht="17.399999999999999"/>
    <row r="434" spans="1:17" s="61" customFormat="1" ht="17.399999999999999"/>
    <row r="435" spans="1:17" s="61" customFormat="1" ht="17.399999999999999"/>
    <row r="436" spans="1:17" s="61" customFormat="1" ht="17.399999999999999"/>
    <row r="437" spans="1:17" s="61" customFormat="1" ht="17.399999999999999"/>
    <row r="438" spans="1:17" s="61" customFormat="1" ht="17.399999999999999"/>
    <row r="439" spans="1:17" s="61" customFormat="1" ht="17.399999999999999"/>
    <row r="440" spans="1:17" s="61" customFormat="1" ht="17.399999999999999"/>
    <row r="441" spans="1:17" ht="17.399999999999999">
      <c r="A441" s="61"/>
      <c r="B441" s="61"/>
      <c r="C441" s="61"/>
      <c r="D441" s="61"/>
      <c r="E441" s="61"/>
      <c r="F441" s="61"/>
      <c r="G441" s="61"/>
      <c r="H441" s="61"/>
      <c r="I441" s="61"/>
      <c r="J441" s="61"/>
      <c r="K441" s="49"/>
      <c r="L441" s="49"/>
      <c r="M441" s="49"/>
      <c r="N441" s="49"/>
      <c r="O441" s="49"/>
      <c r="P441" s="49"/>
      <c r="Q441" s="49"/>
    </row>
    <row r="442" spans="1:17" ht="17.399999999999999">
      <c r="A442" s="61"/>
      <c r="B442" s="61"/>
      <c r="C442" s="61"/>
      <c r="D442" s="61"/>
      <c r="E442" s="61"/>
      <c r="F442" s="61"/>
      <c r="G442" s="61"/>
      <c r="H442" s="61"/>
      <c r="I442" s="61"/>
      <c r="J442" s="61"/>
      <c r="K442" s="49"/>
      <c r="L442" s="49"/>
      <c r="M442" s="49"/>
      <c r="N442" s="49"/>
      <c r="O442" s="49"/>
      <c r="P442" s="49"/>
      <c r="Q442" s="49"/>
    </row>
    <row r="443" spans="1:17" ht="17.399999999999999">
      <c r="A443" s="61"/>
      <c r="B443" s="61"/>
      <c r="C443" s="61"/>
      <c r="D443" s="61"/>
      <c r="E443" s="61"/>
      <c r="F443" s="61"/>
      <c r="G443" s="61"/>
      <c r="H443" s="61"/>
      <c r="I443" s="61"/>
      <c r="J443" s="61"/>
      <c r="K443" s="49"/>
      <c r="L443" s="49"/>
      <c r="M443" s="49"/>
      <c r="N443" s="49"/>
      <c r="O443" s="49"/>
      <c r="P443" s="49"/>
      <c r="Q443" s="49"/>
    </row>
    <row r="444" spans="1:17" ht="17.399999999999999">
      <c r="A444" s="61"/>
      <c r="B444" s="61"/>
      <c r="C444" s="61"/>
      <c r="D444" s="61"/>
      <c r="E444" s="61"/>
      <c r="F444" s="61"/>
      <c r="G444" s="61"/>
      <c r="H444" s="61"/>
      <c r="I444" s="61"/>
      <c r="J444" s="61"/>
      <c r="K444" s="49"/>
      <c r="L444" s="49"/>
      <c r="M444" s="49"/>
      <c r="N444" s="49"/>
      <c r="O444" s="49"/>
      <c r="P444" s="49"/>
      <c r="Q444" s="49"/>
    </row>
    <row r="445" spans="1:17" ht="17.399999999999999">
      <c r="A445" s="61"/>
      <c r="B445" s="61"/>
      <c r="C445" s="61"/>
      <c r="D445" s="61"/>
      <c r="E445" s="61"/>
      <c r="F445" s="61"/>
      <c r="G445" s="61"/>
      <c r="H445" s="61"/>
      <c r="I445" s="61"/>
      <c r="J445" s="61"/>
      <c r="K445" s="49"/>
      <c r="L445" s="49"/>
      <c r="M445" s="49"/>
      <c r="N445" s="49"/>
      <c r="O445" s="49"/>
      <c r="P445" s="49"/>
      <c r="Q445" s="49"/>
    </row>
    <row r="446" spans="1:17" ht="17.399999999999999">
      <c r="A446" s="61"/>
      <c r="B446" s="61"/>
      <c r="C446" s="61"/>
      <c r="D446" s="61"/>
      <c r="E446" s="61"/>
      <c r="F446" s="61"/>
      <c r="G446" s="61"/>
      <c r="H446" s="61"/>
      <c r="I446" s="61"/>
      <c r="J446" s="61"/>
      <c r="K446" s="49"/>
      <c r="L446" s="49"/>
      <c r="M446" s="49"/>
      <c r="N446" s="49"/>
      <c r="O446" s="49"/>
      <c r="P446" s="49"/>
      <c r="Q446" s="49"/>
    </row>
    <row r="447" spans="1:17" ht="17.399999999999999">
      <c r="A447" s="61"/>
      <c r="B447" s="61"/>
      <c r="C447" s="61"/>
      <c r="D447" s="61"/>
      <c r="E447" s="61"/>
      <c r="F447" s="61"/>
      <c r="G447" s="61"/>
      <c r="H447" s="61"/>
      <c r="I447" s="61"/>
      <c r="J447" s="61"/>
      <c r="K447" s="49"/>
      <c r="L447" s="49"/>
      <c r="M447" s="49"/>
      <c r="N447" s="49"/>
      <c r="O447" s="49"/>
      <c r="P447" s="49"/>
      <c r="Q447" s="49"/>
    </row>
    <row r="448" spans="1:17">
      <c r="C448" s="49"/>
      <c r="D448" s="49"/>
      <c r="E448" s="49"/>
      <c r="F448" s="49"/>
      <c r="G448" s="49"/>
      <c r="H448" s="49"/>
      <c r="I448" s="49"/>
      <c r="J448" s="49"/>
      <c r="K448" s="49"/>
      <c r="L448" s="49"/>
      <c r="M448" s="49"/>
      <c r="N448" s="49"/>
      <c r="O448" s="49"/>
      <c r="P448" s="49"/>
      <c r="Q448" s="49"/>
    </row>
    <row r="449" spans="3:17">
      <c r="C449" s="49"/>
      <c r="D449" s="49"/>
      <c r="E449" s="49"/>
      <c r="F449" s="49"/>
      <c r="G449" s="49"/>
      <c r="H449" s="49"/>
      <c r="I449" s="49"/>
      <c r="J449" s="49"/>
      <c r="K449" s="49"/>
      <c r="L449" s="49"/>
      <c r="M449" s="49"/>
      <c r="N449" s="49"/>
      <c r="O449" s="49"/>
      <c r="P449" s="49"/>
      <c r="Q449" s="49"/>
    </row>
    <row r="450" spans="3:17">
      <c r="C450" s="49"/>
      <c r="D450" s="49"/>
      <c r="E450" s="49"/>
      <c r="F450" s="49"/>
      <c r="G450" s="49"/>
      <c r="H450" s="49"/>
      <c r="I450" s="49"/>
      <c r="J450" s="49"/>
      <c r="K450" s="49"/>
      <c r="L450" s="49"/>
      <c r="M450" s="49"/>
      <c r="N450" s="49"/>
      <c r="O450" s="49"/>
      <c r="P450" s="49"/>
      <c r="Q450" s="49"/>
    </row>
    <row r="451" spans="3:17">
      <c r="C451" s="49"/>
      <c r="D451" s="49"/>
      <c r="E451" s="49"/>
      <c r="F451" s="49"/>
      <c r="G451" s="49"/>
      <c r="H451" s="49"/>
      <c r="I451" s="49"/>
      <c r="J451" s="49"/>
      <c r="K451" s="49"/>
      <c r="L451" s="49"/>
      <c r="M451" s="49"/>
      <c r="N451" s="49"/>
      <c r="O451" s="49"/>
      <c r="P451" s="49"/>
      <c r="Q451" s="49"/>
    </row>
    <row r="452" spans="3:17">
      <c r="C452" s="49"/>
      <c r="D452" s="49"/>
      <c r="E452" s="49"/>
      <c r="F452" s="49"/>
      <c r="G452" s="49"/>
      <c r="H452" s="49"/>
      <c r="I452" s="49"/>
      <c r="J452" s="49"/>
      <c r="K452" s="49"/>
      <c r="L452" s="49"/>
      <c r="M452" s="49"/>
      <c r="N452" s="49"/>
      <c r="O452" s="49"/>
      <c r="P452" s="49"/>
      <c r="Q452" s="49"/>
    </row>
    <row r="453" spans="3:17">
      <c r="C453" s="49"/>
      <c r="D453" s="49"/>
      <c r="E453" s="49"/>
      <c r="F453" s="49"/>
      <c r="G453" s="49"/>
      <c r="H453" s="49"/>
      <c r="I453" s="49"/>
      <c r="J453" s="49"/>
      <c r="K453" s="49"/>
      <c r="L453" s="49"/>
      <c r="M453" s="49"/>
      <c r="N453" s="49"/>
      <c r="O453" s="49"/>
      <c r="P453" s="49"/>
      <c r="Q453" s="49"/>
    </row>
    <row r="454" spans="3:17">
      <c r="C454" s="49"/>
      <c r="D454" s="49"/>
      <c r="E454" s="49"/>
      <c r="F454" s="49"/>
      <c r="G454" s="49"/>
      <c r="H454" s="49"/>
      <c r="I454" s="49"/>
      <c r="J454" s="49"/>
      <c r="K454" s="49"/>
      <c r="L454" s="49"/>
      <c r="M454" s="49"/>
      <c r="N454" s="49"/>
      <c r="O454" s="49"/>
      <c r="P454" s="49"/>
      <c r="Q454" s="49"/>
    </row>
    <row r="455" spans="3:17">
      <c r="C455" s="49"/>
      <c r="D455" s="49"/>
      <c r="E455" s="49"/>
      <c r="F455" s="49"/>
      <c r="G455" s="49"/>
      <c r="H455" s="49"/>
      <c r="I455" s="49"/>
      <c r="J455" s="49"/>
      <c r="K455" s="49"/>
      <c r="L455" s="49"/>
      <c r="M455" s="49"/>
      <c r="N455" s="49"/>
      <c r="O455" s="49"/>
      <c r="P455" s="49"/>
      <c r="Q455" s="49"/>
    </row>
    <row r="456" spans="3:17">
      <c r="C456" s="49"/>
      <c r="D456" s="49"/>
      <c r="E456" s="49"/>
      <c r="F456" s="49"/>
      <c r="G456" s="49"/>
      <c r="H456" s="49"/>
      <c r="I456" s="49"/>
      <c r="J456" s="49"/>
      <c r="K456" s="49"/>
      <c r="L456" s="49"/>
      <c r="M456" s="49"/>
      <c r="N456" s="49"/>
      <c r="O456" s="49"/>
      <c r="P456" s="49"/>
      <c r="Q456" s="49"/>
    </row>
    <row r="457" spans="3:17">
      <c r="C457" s="49"/>
      <c r="D457" s="49"/>
      <c r="E457" s="49"/>
      <c r="F457" s="49"/>
      <c r="G457" s="49"/>
      <c r="H457" s="49"/>
      <c r="I457" s="49"/>
      <c r="J457" s="49"/>
      <c r="K457" s="49"/>
      <c r="L457" s="49"/>
      <c r="M457" s="49"/>
      <c r="N457" s="49"/>
      <c r="O457" s="49"/>
      <c r="P457" s="49"/>
      <c r="Q457" s="49"/>
    </row>
    <row r="458" spans="3:17">
      <c r="C458" s="49"/>
      <c r="D458" s="49"/>
      <c r="E458" s="49"/>
      <c r="F458" s="49"/>
      <c r="G458" s="49"/>
      <c r="H458" s="49"/>
      <c r="I458" s="49"/>
      <c r="J458" s="49"/>
      <c r="K458" s="49"/>
      <c r="L458" s="49"/>
      <c r="M458" s="49"/>
      <c r="N458" s="49"/>
      <c r="O458" s="49"/>
      <c r="P458" s="49"/>
      <c r="Q458" s="49"/>
    </row>
    <row r="459" spans="3:17">
      <c r="C459" s="49"/>
      <c r="D459" s="49"/>
      <c r="E459" s="49"/>
      <c r="F459" s="49"/>
      <c r="G459" s="49"/>
      <c r="H459" s="49"/>
      <c r="I459" s="49"/>
      <c r="J459" s="49"/>
      <c r="K459" s="49"/>
      <c r="L459" s="49"/>
      <c r="M459" s="49"/>
      <c r="N459" s="49"/>
      <c r="O459" s="49"/>
      <c r="P459" s="49"/>
      <c r="Q459" s="49"/>
    </row>
    <row r="460" spans="3:17">
      <c r="C460" s="49"/>
      <c r="D460" s="49"/>
      <c r="E460" s="49"/>
      <c r="F460" s="49"/>
      <c r="G460" s="49"/>
      <c r="H460" s="49"/>
      <c r="I460" s="49"/>
      <c r="J460" s="49"/>
      <c r="K460" s="49"/>
      <c r="L460" s="49"/>
      <c r="M460" s="49"/>
      <c r="N460" s="49"/>
      <c r="O460" s="49"/>
      <c r="P460" s="49"/>
      <c r="Q460" s="49"/>
    </row>
    <row r="461" spans="3:17">
      <c r="C461" s="49"/>
      <c r="D461" s="49"/>
      <c r="E461" s="49"/>
      <c r="F461" s="49"/>
      <c r="G461" s="49"/>
      <c r="H461" s="49"/>
      <c r="I461" s="49"/>
      <c r="J461" s="49"/>
      <c r="K461" s="49"/>
      <c r="L461" s="49"/>
      <c r="M461" s="49"/>
      <c r="N461" s="49"/>
      <c r="O461" s="49"/>
      <c r="P461" s="49"/>
      <c r="Q461" s="49"/>
    </row>
    <row r="462" spans="3:17">
      <c r="C462" s="49"/>
      <c r="D462" s="49"/>
      <c r="E462" s="49"/>
      <c r="F462" s="49"/>
      <c r="G462" s="49"/>
      <c r="H462" s="49"/>
      <c r="I462" s="49"/>
      <c r="J462" s="49"/>
      <c r="K462" s="49"/>
      <c r="L462" s="49"/>
      <c r="M462" s="49"/>
      <c r="N462" s="49"/>
      <c r="O462" s="49"/>
      <c r="P462" s="49"/>
      <c r="Q462" s="49"/>
    </row>
    <row r="463" spans="3:17">
      <c r="C463" s="49"/>
      <c r="D463" s="49"/>
      <c r="E463" s="49"/>
      <c r="F463" s="49"/>
      <c r="G463" s="49"/>
      <c r="H463" s="49"/>
      <c r="I463" s="49"/>
      <c r="J463" s="49"/>
      <c r="K463" s="49"/>
      <c r="L463" s="49"/>
      <c r="M463" s="49"/>
      <c r="N463" s="49"/>
      <c r="O463" s="49"/>
      <c r="P463" s="49"/>
      <c r="Q463" s="49"/>
    </row>
    <row r="464" spans="3:17">
      <c r="C464" s="49"/>
      <c r="D464" s="49"/>
      <c r="E464" s="49"/>
      <c r="F464" s="49"/>
      <c r="G464" s="49"/>
      <c r="H464" s="49"/>
      <c r="I464" s="49"/>
      <c r="J464" s="49"/>
      <c r="K464" s="49"/>
      <c r="L464" s="49"/>
      <c r="M464" s="49"/>
      <c r="N464" s="49"/>
      <c r="O464" s="49"/>
      <c r="P464" s="49"/>
      <c r="Q464" s="49"/>
    </row>
    <row r="465" spans="3:17">
      <c r="C465" s="49"/>
      <c r="D465" s="49"/>
      <c r="E465" s="49"/>
      <c r="F465" s="49"/>
      <c r="G465" s="49"/>
      <c r="H465" s="49"/>
      <c r="I465" s="49"/>
      <c r="J465" s="49"/>
      <c r="K465" s="49"/>
      <c r="L465" s="49"/>
      <c r="M465" s="49"/>
      <c r="N465" s="49"/>
      <c r="O465" s="49"/>
      <c r="P465" s="49"/>
      <c r="Q465" s="49"/>
    </row>
    <row r="466" spans="3:17">
      <c r="C466" s="49"/>
      <c r="D466" s="49"/>
      <c r="E466" s="49"/>
      <c r="F466" s="49"/>
      <c r="G466" s="49"/>
      <c r="H466" s="49"/>
      <c r="I466" s="49"/>
      <c r="J466" s="49"/>
      <c r="K466" s="49"/>
      <c r="L466" s="49"/>
      <c r="M466" s="49"/>
      <c r="N466" s="49"/>
      <c r="O466" s="49"/>
      <c r="P466" s="49"/>
      <c r="Q466" s="49"/>
    </row>
    <row r="467" spans="3:17">
      <c r="C467" s="49"/>
      <c r="D467" s="49"/>
      <c r="E467" s="49"/>
      <c r="F467" s="49"/>
      <c r="G467" s="49"/>
      <c r="H467" s="49"/>
      <c r="I467" s="49"/>
      <c r="J467" s="49"/>
      <c r="K467" s="49"/>
      <c r="L467" s="49"/>
      <c r="M467" s="49"/>
      <c r="N467" s="49"/>
      <c r="O467" s="49"/>
      <c r="P467" s="49"/>
      <c r="Q467" s="49"/>
    </row>
    <row r="468" spans="3:17">
      <c r="C468" s="49"/>
      <c r="D468" s="49"/>
      <c r="E468" s="49"/>
      <c r="F468" s="49"/>
      <c r="G468" s="49"/>
      <c r="H468" s="49"/>
      <c r="I468" s="49"/>
      <c r="J468" s="49"/>
      <c r="K468" s="49"/>
      <c r="L468" s="49"/>
      <c r="M468" s="49"/>
      <c r="N468" s="49"/>
      <c r="O468" s="49"/>
      <c r="P468" s="49"/>
      <c r="Q468" s="49"/>
    </row>
    <row r="469" spans="3:17">
      <c r="C469" s="49"/>
      <c r="D469" s="49"/>
      <c r="E469" s="49"/>
      <c r="F469" s="49"/>
      <c r="G469" s="49"/>
      <c r="H469" s="49"/>
      <c r="I469" s="49"/>
      <c r="J469" s="49"/>
      <c r="K469" s="49"/>
      <c r="L469" s="49"/>
      <c r="M469" s="49"/>
      <c r="N469" s="49"/>
      <c r="O469" s="49"/>
      <c r="P469" s="49"/>
      <c r="Q469" s="49"/>
    </row>
    <row r="470" spans="3:17">
      <c r="C470" s="49"/>
      <c r="D470" s="49"/>
      <c r="E470" s="49"/>
      <c r="F470" s="49"/>
      <c r="G470" s="49"/>
      <c r="H470" s="49"/>
      <c r="I470" s="49"/>
      <c r="J470" s="49"/>
      <c r="K470" s="49"/>
      <c r="L470" s="49"/>
      <c r="M470" s="49"/>
      <c r="N470" s="49"/>
      <c r="O470" s="49"/>
      <c r="P470" s="49"/>
      <c r="Q470" s="49"/>
    </row>
    <row r="471" spans="3:17">
      <c r="C471" s="49"/>
      <c r="D471" s="49"/>
      <c r="E471" s="49"/>
      <c r="F471" s="49"/>
      <c r="G471" s="49"/>
      <c r="H471" s="49"/>
      <c r="I471" s="49"/>
      <c r="J471" s="49"/>
      <c r="K471" s="49"/>
      <c r="L471" s="49"/>
      <c r="M471" s="49"/>
      <c r="N471" s="49"/>
      <c r="O471" s="49"/>
      <c r="P471" s="49"/>
      <c r="Q471" s="49"/>
    </row>
    <row r="472" spans="3:17">
      <c r="C472" s="49"/>
      <c r="D472" s="49"/>
      <c r="E472" s="49"/>
      <c r="F472" s="49"/>
      <c r="G472" s="49"/>
      <c r="H472" s="49"/>
      <c r="I472" s="49"/>
      <c r="J472" s="49"/>
      <c r="K472" s="49"/>
      <c r="L472" s="49"/>
      <c r="M472" s="49"/>
      <c r="N472" s="49"/>
      <c r="O472" s="49"/>
      <c r="P472" s="49"/>
      <c r="Q472" s="49"/>
    </row>
    <row r="473" spans="3:17">
      <c r="C473" s="49"/>
      <c r="D473" s="49"/>
      <c r="E473" s="49"/>
      <c r="F473" s="49"/>
      <c r="G473" s="49"/>
      <c r="H473" s="49"/>
      <c r="I473" s="49"/>
      <c r="J473" s="49"/>
      <c r="K473" s="49"/>
      <c r="L473" s="49"/>
      <c r="M473" s="49"/>
      <c r="N473" s="49"/>
      <c r="O473" s="49"/>
      <c r="P473" s="49"/>
      <c r="Q473" s="49"/>
    </row>
    <row r="474" spans="3:17">
      <c r="C474" s="49"/>
      <c r="D474" s="49"/>
      <c r="E474" s="49"/>
      <c r="F474" s="49"/>
      <c r="G474" s="49"/>
      <c r="H474" s="49"/>
      <c r="I474" s="49"/>
      <c r="J474" s="49"/>
      <c r="K474" s="49"/>
      <c r="L474" s="49"/>
      <c r="M474" s="49"/>
      <c r="N474" s="49"/>
      <c r="O474" s="49"/>
      <c r="P474" s="49"/>
      <c r="Q474" s="49"/>
    </row>
    <row r="475" spans="3:17">
      <c r="C475" s="49"/>
      <c r="D475" s="49"/>
      <c r="E475" s="49"/>
      <c r="F475" s="49"/>
      <c r="G475" s="49"/>
      <c r="H475" s="49"/>
      <c r="I475" s="49"/>
      <c r="J475" s="49"/>
      <c r="K475" s="49"/>
      <c r="L475" s="49"/>
      <c r="M475" s="49"/>
      <c r="N475" s="49"/>
      <c r="O475" s="49"/>
      <c r="P475" s="49"/>
      <c r="Q475" s="49"/>
    </row>
    <row r="476" spans="3:17">
      <c r="C476" s="49"/>
      <c r="D476" s="49"/>
      <c r="E476" s="49"/>
      <c r="F476" s="49"/>
      <c r="G476" s="49"/>
      <c r="H476" s="49"/>
      <c r="I476" s="49"/>
      <c r="J476" s="49"/>
      <c r="K476" s="49"/>
      <c r="L476" s="49"/>
      <c r="M476" s="49"/>
      <c r="N476" s="49"/>
      <c r="O476" s="49"/>
      <c r="P476" s="49"/>
      <c r="Q476" s="49"/>
    </row>
    <row r="477" spans="3:17">
      <c r="C477" s="49"/>
      <c r="D477" s="49"/>
      <c r="E477" s="49"/>
      <c r="F477" s="49"/>
      <c r="G477" s="49"/>
      <c r="H477" s="49"/>
      <c r="I477" s="49"/>
      <c r="J477" s="49"/>
      <c r="K477" s="49"/>
      <c r="L477" s="49"/>
      <c r="M477" s="49"/>
      <c r="N477" s="49"/>
      <c r="O477" s="49"/>
      <c r="P477" s="49"/>
      <c r="Q477" s="49"/>
    </row>
    <row r="478" spans="3:17">
      <c r="C478" s="49"/>
      <c r="D478" s="49"/>
      <c r="E478" s="49"/>
      <c r="F478" s="49"/>
      <c r="G478" s="49"/>
      <c r="H478" s="49"/>
      <c r="I478" s="49"/>
      <c r="J478" s="49"/>
      <c r="K478" s="49"/>
      <c r="L478" s="49"/>
      <c r="M478" s="49"/>
      <c r="N478" s="49"/>
      <c r="O478" s="49"/>
      <c r="P478" s="49"/>
      <c r="Q478" s="49"/>
    </row>
    <row r="479" spans="3:17">
      <c r="C479" s="49"/>
      <c r="D479" s="49"/>
      <c r="E479" s="49"/>
      <c r="F479" s="49"/>
      <c r="G479" s="49"/>
      <c r="H479" s="49"/>
      <c r="I479" s="49"/>
      <c r="J479" s="49"/>
      <c r="K479" s="49"/>
      <c r="L479" s="49"/>
      <c r="M479" s="49"/>
      <c r="N479" s="49"/>
      <c r="O479" s="49"/>
      <c r="P479" s="49"/>
      <c r="Q479" s="49"/>
    </row>
    <row r="480" spans="3:17">
      <c r="C480" s="49"/>
      <c r="D480" s="49"/>
      <c r="E480" s="49"/>
      <c r="F480" s="49"/>
      <c r="G480" s="49"/>
      <c r="H480" s="49"/>
      <c r="I480" s="49"/>
      <c r="J480" s="49"/>
      <c r="K480" s="49"/>
      <c r="L480" s="49"/>
      <c r="M480" s="49"/>
      <c r="N480" s="49"/>
      <c r="O480" s="49"/>
      <c r="P480" s="49"/>
      <c r="Q480" s="49"/>
    </row>
    <row r="481" spans="3:17">
      <c r="C481" s="49"/>
      <c r="D481" s="49"/>
      <c r="E481" s="49"/>
      <c r="F481" s="49"/>
      <c r="G481" s="49"/>
      <c r="H481" s="49"/>
      <c r="I481" s="49"/>
      <c r="J481" s="49"/>
      <c r="K481" s="49"/>
      <c r="L481" s="49"/>
      <c r="M481" s="49"/>
      <c r="N481" s="49"/>
      <c r="O481" s="49"/>
      <c r="P481" s="49"/>
      <c r="Q481" s="49"/>
    </row>
    <row r="482" spans="3:17">
      <c r="C482" s="49"/>
      <c r="D482" s="49"/>
      <c r="E482" s="49"/>
      <c r="F482" s="49"/>
      <c r="G482" s="49"/>
      <c r="H482" s="49"/>
      <c r="I482" s="49"/>
      <c r="J482" s="49"/>
      <c r="K482" s="49"/>
      <c r="L482" s="49"/>
      <c r="M482" s="49"/>
      <c r="N482" s="49"/>
      <c r="O482" s="49"/>
      <c r="P482" s="49"/>
      <c r="Q482" s="49"/>
    </row>
    <row r="483" spans="3:17">
      <c r="C483" s="49"/>
      <c r="D483" s="49"/>
      <c r="E483" s="49"/>
      <c r="F483" s="49"/>
      <c r="G483" s="49"/>
      <c r="H483" s="49"/>
      <c r="I483" s="49"/>
      <c r="J483" s="49"/>
      <c r="K483" s="49"/>
      <c r="L483" s="49"/>
      <c r="M483" s="49"/>
      <c r="N483" s="49"/>
      <c r="O483" s="49"/>
      <c r="P483" s="49"/>
      <c r="Q483" s="49"/>
    </row>
    <row r="484" spans="3:17">
      <c r="C484" s="49"/>
      <c r="D484" s="49"/>
      <c r="E484" s="49"/>
      <c r="F484" s="49"/>
      <c r="G484" s="49"/>
      <c r="H484" s="49"/>
      <c r="I484" s="49"/>
      <c r="J484" s="49"/>
      <c r="K484" s="49"/>
      <c r="L484" s="49"/>
      <c r="M484" s="49"/>
      <c r="N484" s="49"/>
      <c r="O484" s="49"/>
      <c r="P484" s="49"/>
      <c r="Q484" s="49"/>
    </row>
    <row r="485" spans="3:17">
      <c r="C485" s="49"/>
      <c r="D485" s="49"/>
      <c r="E485" s="49"/>
      <c r="F485" s="49"/>
      <c r="G485" s="49"/>
      <c r="H485" s="49"/>
      <c r="I485" s="49"/>
      <c r="J485" s="49"/>
      <c r="K485" s="49"/>
      <c r="L485" s="49"/>
      <c r="M485" s="49"/>
      <c r="N485" s="49"/>
      <c r="O485" s="49"/>
      <c r="P485" s="49"/>
      <c r="Q485" s="49"/>
    </row>
    <row r="486" spans="3:17">
      <c r="C486" s="49"/>
      <c r="D486" s="49"/>
      <c r="E486" s="49"/>
      <c r="F486" s="49"/>
      <c r="G486" s="49"/>
      <c r="H486" s="49"/>
      <c r="I486" s="49"/>
      <c r="J486" s="49"/>
      <c r="K486" s="49"/>
      <c r="L486" s="49"/>
      <c r="M486" s="49"/>
      <c r="N486" s="49"/>
      <c r="O486" s="49"/>
      <c r="P486" s="49"/>
      <c r="Q486" s="49"/>
    </row>
    <row r="487" spans="3:17">
      <c r="C487" s="49"/>
      <c r="D487" s="49"/>
      <c r="E487" s="49"/>
      <c r="F487" s="49"/>
      <c r="G487" s="49"/>
      <c r="H487" s="49"/>
      <c r="I487" s="49"/>
      <c r="J487" s="49"/>
      <c r="K487" s="49"/>
      <c r="L487" s="49"/>
      <c r="M487" s="49"/>
      <c r="N487" s="49"/>
      <c r="O487" s="49"/>
      <c r="P487" s="49"/>
      <c r="Q487" s="49"/>
    </row>
    <row r="488" spans="3:17">
      <c r="C488" s="49"/>
      <c r="D488" s="49"/>
      <c r="E488" s="49"/>
      <c r="F488" s="49"/>
      <c r="G488" s="49"/>
      <c r="H488" s="49"/>
      <c r="I488" s="49"/>
      <c r="J488" s="49"/>
      <c r="K488" s="49"/>
      <c r="L488" s="49"/>
      <c r="M488" s="49"/>
      <c r="N488" s="49"/>
      <c r="O488" s="49"/>
      <c r="P488" s="49"/>
      <c r="Q488" s="49"/>
    </row>
    <row r="489" spans="3:17">
      <c r="C489" s="49"/>
      <c r="D489" s="49"/>
      <c r="E489" s="49"/>
      <c r="F489" s="49"/>
      <c r="G489" s="49"/>
      <c r="H489" s="49"/>
      <c r="I489" s="49"/>
      <c r="J489" s="49"/>
      <c r="K489" s="49"/>
      <c r="L489" s="49"/>
      <c r="M489" s="49"/>
      <c r="N489" s="49"/>
      <c r="O489" s="49"/>
      <c r="P489" s="49"/>
      <c r="Q489" s="49"/>
    </row>
    <row r="490" spans="3:17">
      <c r="C490" s="49"/>
      <c r="D490" s="49"/>
      <c r="E490" s="49"/>
      <c r="F490" s="49"/>
      <c r="G490" s="49"/>
      <c r="H490" s="49"/>
      <c r="I490" s="49"/>
      <c r="J490" s="49"/>
      <c r="K490" s="49"/>
      <c r="L490" s="49"/>
      <c r="M490" s="49"/>
      <c r="N490" s="49"/>
      <c r="O490" s="49"/>
      <c r="P490" s="49"/>
      <c r="Q490" s="49"/>
    </row>
    <row r="491" spans="3:17">
      <c r="C491" s="49"/>
      <c r="D491" s="49"/>
      <c r="E491" s="49"/>
      <c r="F491" s="49"/>
      <c r="G491" s="49"/>
      <c r="H491" s="49"/>
      <c r="I491" s="49"/>
      <c r="J491" s="49"/>
      <c r="K491" s="49"/>
      <c r="L491" s="49"/>
      <c r="M491" s="49"/>
      <c r="N491" s="49"/>
      <c r="O491" s="49"/>
      <c r="P491" s="49"/>
      <c r="Q491" s="49"/>
    </row>
    <row r="492" spans="3:17">
      <c r="C492" s="49"/>
      <c r="D492" s="49"/>
      <c r="E492" s="49"/>
      <c r="F492" s="49"/>
      <c r="G492" s="49"/>
      <c r="H492" s="49"/>
      <c r="I492" s="49"/>
      <c r="J492" s="49"/>
      <c r="K492" s="49"/>
      <c r="L492" s="49"/>
      <c r="M492" s="49"/>
      <c r="N492" s="49"/>
      <c r="O492" s="49"/>
      <c r="P492" s="49"/>
      <c r="Q492" s="49"/>
    </row>
    <row r="493" spans="3:17">
      <c r="C493" s="49"/>
      <c r="D493" s="49"/>
      <c r="E493" s="49"/>
      <c r="F493" s="49"/>
      <c r="G493" s="49"/>
      <c r="H493" s="49"/>
      <c r="I493" s="49"/>
      <c r="J493" s="49"/>
      <c r="K493" s="49"/>
      <c r="L493" s="49"/>
      <c r="M493" s="49"/>
      <c r="N493" s="49"/>
      <c r="O493" s="49"/>
      <c r="P493" s="49"/>
      <c r="Q493" s="49"/>
    </row>
    <row r="494" spans="3:17">
      <c r="C494" s="49"/>
      <c r="D494" s="49"/>
      <c r="E494" s="49"/>
      <c r="F494" s="49"/>
      <c r="G494" s="49"/>
      <c r="H494" s="49"/>
      <c r="I494" s="49"/>
      <c r="J494" s="49"/>
      <c r="K494" s="49"/>
      <c r="L494" s="49"/>
      <c r="M494" s="49"/>
      <c r="N494" s="49"/>
      <c r="O494" s="49"/>
      <c r="P494" s="49"/>
      <c r="Q494" s="49"/>
    </row>
    <row r="495" spans="3:17">
      <c r="C495" s="49"/>
      <c r="D495" s="49"/>
      <c r="E495" s="49"/>
      <c r="F495" s="49"/>
      <c r="G495" s="49"/>
      <c r="H495" s="49"/>
      <c r="I495" s="49"/>
      <c r="J495" s="49"/>
      <c r="K495" s="49"/>
      <c r="L495" s="49"/>
      <c r="M495" s="49"/>
      <c r="N495" s="49"/>
      <c r="O495" s="49"/>
      <c r="P495" s="49"/>
      <c r="Q495" s="49"/>
    </row>
    <row r="496" spans="3:17">
      <c r="C496" s="49"/>
      <c r="D496" s="49"/>
      <c r="E496" s="49"/>
      <c r="F496" s="49"/>
      <c r="G496" s="49"/>
      <c r="H496" s="49"/>
      <c r="I496" s="49"/>
      <c r="J496" s="49"/>
      <c r="K496" s="49"/>
      <c r="L496" s="49"/>
      <c r="M496" s="49"/>
      <c r="N496" s="49"/>
      <c r="O496" s="49"/>
      <c r="P496" s="49"/>
      <c r="Q496" s="49"/>
    </row>
    <row r="497" spans="3:17">
      <c r="C497" s="49"/>
      <c r="D497" s="49"/>
      <c r="E497" s="49"/>
      <c r="F497" s="49"/>
      <c r="G497" s="49"/>
      <c r="H497" s="49"/>
      <c r="I497" s="49"/>
      <c r="J497" s="49"/>
      <c r="K497" s="49"/>
      <c r="L497" s="49"/>
      <c r="M497" s="49"/>
      <c r="N497" s="49"/>
      <c r="O497" s="49"/>
      <c r="P497" s="49"/>
      <c r="Q497" s="49"/>
    </row>
    <row r="498" spans="3:17">
      <c r="C498" s="49"/>
      <c r="D498" s="49"/>
      <c r="E498" s="49"/>
      <c r="F498" s="49"/>
      <c r="G498" s="49"/>
      <c r="H498" s="49"/>
      <c r="I498" s="49"/>
      <c r="J498" s="49"/>
      <c r="K498" s="49"/>
      <c r="L498" s="49"/>
      <c r="M498" s="49"/>
      <c r="N498" s="49"/>
      <c r="O498" s="49"/>
      <c r="P498" s="49"/>
      <c r="Q498" s="49"/>
    </row>
    <row r="499" spans="3:17">
      <c r="C499" s="49"/>
      <c r="D499" s="49"/>
      <c r="E499" s="49"/>
      <c r="F499" s="49"/>
      <c r="G499" s="49"/>
      <c r="H499" s="49"/>
      <c r="I499" s="49"/>
      <c r="J499" s="49"/>
      <c r="K499" s="49"/>
      <c r="L499" s="49"/>
      <c r="M499" s="49"/>
      <c r="N499" s="49"/>
      <c r="O499" s="49"/>
      <c r="P499" s="49"/>
      <c r="Q499" s="49"/>
    </row>
    <row r="500" spans="3:17">
      <c r="C500" s="49"/>
      <c r="D500" s="49"/>
      <c r="E500" s="49"/>
      <c r="F500" s="49"/>
      <c r="G500" s="49"/>
      <c r="H500" s="49"/>
      <c r="I500" s="49"/>
      <c r="J500" s="49"/>
      <c r="K500" s="49"/>
      <c r="L500" s="49"/>
      <c r="M500" s="49"/>
      <c r="N500" s="49"/>
      <c r="O500" s="49"/>
      <c r="P500" s="49"/>
      <c r="Q500" s="49"/>
    </row>
    <row r="501" spans="3:17">
      <c r="C501" s="49"/>
      <c r="D501" s="49"/>
      <c r="E501" s="49"/>
      <c r="F501" s="49"/>
      <c r="G501" s="49"/>
      <c r="H501" s="49"/>
      <c r="I501" s="49"/>
      <c r="J501" s="49"/>
      <c r="K501" s="49"/>
      <c r="L501" s="49"/>
      <c r="M501" s="49"/>
      <c r="N501" s="49"/>
      <c r="O501" s="49"/>
      <c r="P501" s="49"/>
      <c r="Q501" s="49"/>
    </row>
    <row r="502" spans="3:17">
      <c r="C502" s="49"/>
      <c r="D502" s="49"/>
      <c r="E502" s="49"/>
      <c r="F502" s="49"/>
      <c r="G502" s="49"/>
      <c r="H502" s="49"/>
      <c r="I502" s="49"/>
      <c r="J502" s="49"/>
      <c r="K502" s="49"/>
      <c r="L502" s="49"/>
      <c r="M502" s="49"/>
      <c r="N502" s="49"/>
      <c r="O502" s="49"/>
      <c r="P502" s="49"/>
      <c r="Q502" s="49"/>
    </row>
    <row r="503" spans="3:17">
      <c r="C503" s="49"/>
      <c r="D503" s="49"/>
      <c r="E503" s="49"/>
      <c r="F503" s="49"/>
      <c r="G503" s="49"/>
      <c r="H503" s="49"/>
      <c r="I503" s="49"/>
      <c r="J503" s="49"/>
      <c r="K503" s="49"/>
      <c r="L503" s="49"/>
      <c r="M503" s="49"/>
      <c r="N503" s="49"/>
      <c r="O503" s="49"/>
      <c r="P503" s="49"/>
      <c r="Q503" s="49"/>
    </row>
    <row r="504" spans="3:17">
      <c r="C504" s="49"/>
      <c r="D504" s="49"/>
      <c r="E504" s="49"/>
      <c r="F504" s="49"/>
      <c r="G504" s="49"/>
      <c r="H504" s="49"/>
      <c r="I504" s="49"/>
      <c r="J504" s="49"/>
      <c r="K504" s="49"/>
      <c r="L504" s="49"/>
      <c r="M504" s="49"/>
      <c r="N504" s="49"/>
      <c r="O504" s="49"/>
      <c r="P504" s="49"/>
      <c r="Q504" s="49"/>
    </row>
    <row r="505" spans="3:17">
      <c r="C505" s="49"/>
      <c r="D505" s="49"/>
      <c r="E505" s="49"/>
      <c r="F505" s="49"/>
      <c r="G505" s="49"/>
      <c r="H505" s="49"/>
      <c r="I505" s="49"/>
      <c r="J505" s="49"/>
      <c r="K505" s="49"/>
      <c r="L505" s="49"/>
      <c r="M505" s="49"/>
      <c r="N505" s="49"/>
      <c r="O505" s="49"/>
      <c r="P505" s="49"/>
      <c r="Q505" s="49"/>
    </row>
    <row r="506" spans="3:17">
      <c r="C506" s="49"/>
      <c r="D506" s="49"/>
      <c r="E506" s="49"/>
      <c r="F506" s="49"/>
      <c r="G506" s="49"/>
      <c r="H506" s="49"/>
      <c r="I506" s="49"/>
      <c r="J506" s="49"/>
      <c r="K506" s="49"/>
      <c r="L506" s="49"/>
      <c r="M506" s="49"/>
      <c r="N506" s="49"/>
      <c r="O506" s="49"/>
      <c r="P506" s="49"/>
      <c r="Q506" s="49"/>
    </row>
    <row r="507" spans="3:17">
      <c r="C507" s="49"/>
      <c r="D507" s="49"/>
      <c r="E507" s="49"/>
      <c r="F507" s="49"/>
      <c r="G507" s="49"/>
      <c r="H507" s="49"/>
      <c r="I507" s="49"/>
      <c r="J507" s="49"/>
      <c r="K507" s="49"/>
      <c r="L507" s="49"/>
      <c r="M507" s="49"/>
      <c r="N507" s="49"/>
      <c r="O507" s="49"/>
      <c r="P507" s="49"/>
      <c r="Q507" s="49"/>
    </row>
    <row r="508" spans="3:17">
      <c r="C508" s="49"/>
      <c r="D508" s="49"/>
      <c r="E508" s="49"/>
      <c r="F508" s="49"/>
      <c r="G508" s="49"/>
      <c r="H508" s="49"/>
      <c r="I508" s="49"/>
      <c r="J508" s="49"/>
      <c r="K508" s="49"/>
      <c r="L508" s="49"/>
      <c r="M508" s="49"/>
      <c r="N508" s="49"/>
      <c r="O508" s="49"/>
      <c r="P508" s="49"/>
      <c r="Q508" s="49"/>
    </row>
    <row r="509" spans="3:17">
      <c r="C509" s="49"/>
      <c r="D509" s="49"/>
      <c r="E509" s="49"/>
      <c r="F509" s="49"/>
      <c r="G509" s="49"/>
      <c r="H509" s="49"/>
      <c r="I509" s="49"/>
      <c r="J509" s="49"/>
      <c r="K509" s="49"/>
      <c r="L509" s="49"/>
      <c r="M509" s="49"/>
      <c r="N509" s="49"/>
      <c r="O509" s="49"/>
      <c r="P509" s="49"/>
      <c r="Q509" s="49"/>
    </row>
    <row r="510" spans="3:17">
      <c r="C510" s="49"/>
      <c r="D510" s="49"/>
      <c r="E510" s="49"/>
      <c r="F510" s="49"/>
      <c r="G510" s="49"/>
      <c r="H510" s="49"/>
      <c r="I510" s="49"/>
      <c r="J510" s="49"/>
      <c r="K510" s="49"/>
      <c r="L510" s="49"/>
      <c r="M510" s="49"/>
      <c r="N510" s="49"/>
      <c r="O510" s="49"/>
      <c r="P510" s="49"/>
      <c r="Q510" s="49"/>
    </row>
    <row r="511" spans="3:17">
      <c r="C511" s="49"/>
      <c r="D511" s="49"/>
      <c r="E511" s="49"/>
      <c r="F511" s="49"/>
      <c r="G511" s="49"/>
      <c r="H511" s="49"/>
      <c r="I511" s="49"/>
      <c r="J511" s="49"/>
      <c r="K511" s="49"/>
      <c r="L511" s="49"/>
      <c r="M511" s="49"/>
      <c r="N511" s="49"/>
      <c r="O511" s="49"/>
      <c r="P511" s="49"/>
      <c r="Q511" s="49"/>
    </row>
    <row r="512" spans="3:17">
      <c r="C512" s="49"/>
      <c r="D512" s="49"/>
      <c r="E512" s="49"/>
      <c r="F512" s="49"/>
      <c r="G512" s="49"/>
      <c r="H512" s="49"/>
      <c r="I512" s="49"/>
      <c r="J512" s="49"/>
      <c r="K512" s="49"/>
      <c r="L512" s="49"/>
      <c r="M512" s="49"/>
      <c r="N512" s="49"/>
      <c r="O512" s="49"/>
      <c r="P512" s="49"/>
      <c r="Q512" s="49"/>
    </row>
    <row r="513" spans="3:17">
      <c r="C513" s="49"/>
      <c r="D513" s="49"/>
      <c r="E513" s="49"/>
      <c r="F513" s="49"/>
      <c r="G513" s="49"/>
      <c r="H513" s="49"/>
      <c r="I513" s="49"/>
      <c r="J513" s="49"/>
      <c r="K513" s="49"/>
      <c r="L513" s="49"/>
      <c r="M513" s="49"/>
      <c r="N513" s="49"/>
      <c r="O513" s="49"/>
      <c r="P513" s="49"/>
      <c r="Q513" s="49"/>
    </row>
    <row r="514" spans="3:17">
      <c r="C514" s="49"/>
      <c r="D514" s="49"/>
      <c r="E514" s="49"/>
      <c r="F514" s="49"/>
      <c r="G514" s="49"/>
      <c r="H514" s="49"/>
      <c r="I514" s="49"/>
      <c r="J514" s="49"/>
      <c r="K514" s="49"/>
      <c r="L514" s="49"/>
      <c r="M514" s="49"/>
      <c r="N514" s="49"/>
      <c r="O514" s="49"/>
      <c r="P514" s="49"/>
      <c r="Q514" s="49"/>
    </row>
    <row r="515" spans="3:17">
      <c r="C515" s="49"/>
      <c r="D515" s="49"/>
      <c r="E515" s="49"/>
      <c r="F515" s="49"/>
      <c r="G515" s="49"/>
      <c r="H515" s="49"/>
      <c r="I515" s="49"/>
      <c r="J515" s="49"/>
      <c r="K515" s="49"/>
      <c r="L515" s="49"/>
      <c r="M515" s="49"/>
      <c r="N515" s="49"/>
      <c r="O515" s="49"/>
      <c r="P515" s="49"/>
      <c r="Q515" s="49"/>
    </row>
    <row r="516" spans="3:17">
      <c r="C516" s="49"/>
      <c r="D516" s="49"/>
      <c r="E516" s="49"/>
      <c r="F516" s="49"/>
      <c r="G516" s="49"/>
      <c r="H516" s="49"/>
      <c r="I516" s="49"/>
      <c r="J516" s="49"/>
      <c r="K516" s="49"/>
      <c r="L516" s="49"/>
      <c r="M516" s="49"/>
      <c r="N516" s="49"/>
      <c r="O516" s="49"/>
      <c r="P516" s="49"/>
      <c r="Q516" s="49"/>
    </row>
    <row r="517" spans="3:17">
      <c r="C517" s="49"/>
      <c r="D517" s="49"/>
      <c r="E517" s="49"/>
      <c r="F517" s="49"/>
      <c r="G517" s="49"/>
      <c r="H517" s="49"/>
      <c r="I517" s="49"/>
      <c r="J517" s="49"/>
      <c r="K517" s="49"/>
      <c r="L517" s="49"/>
      <c r="M517" s="49"/>
      <c r="N517" s="49"/>
      <c r="O517" s="49"/>
      <c r="P517" s="49"/>
      <c r="Q517" s="49"/>
    </row>
    <row r="518" spans="3:17">
      <c r="C518" s="49"/>
      <c r="D518" s="49"/>
      <c r="E518" s="49"/>
      <c r="F518" s="49"/>
      <c r="G518" s="49"/>
      <c r="H518" s="49"/>
      <c r="I518" s="49"/>
      <c r="J518" s="49"/>
      <c r="K518" s="49"/>
      <c r="L518" s="49"/>
      <c r="M518" s="49"/>
      <c r="N518" s="49"/>
      <c r="O518" s="49"/>
      <c r="P518" s="49"/>
      <c r="Q518" s="49"/>
    </row>
    <row r="519" spans="3:17">
      <c r="C519" s="49"/>
      <c r="D519" s="49"/>
      <c r="E519" s="49"/>
      <c r="F519" s="49"/>
      <c r="G519" s="49"/>
      <c r="H519" s="49"/>
      <c r="I519" s="49"/>
      <c r="J519" s="49"/>
      <c r="K519" s="49"/>
      <c r="L519" s="49"/>
      <c r="M519" s="49"/>
      <c r="N519" s="49"/>
      <c r="O519" s="49"/>
      <c r="P519" s="49"/>
      <c r="Q519" s="49"/>
    </row>
    <row r="520" spans="3:17">
      <c r="C520" s="49"/>
      <c r="D520" s="49"/>
      <c r="E520" s="49"/>
      <c r="F520" s="49"/>
      <c r="G520" s="49"/>
      <c r="H520" s="49"/>
      <c r="I520" s="49"/>
      <c r="J520" s="49"/>
      <c r="K520" s="49"/>
      <c r="L520" s="49"/>
      <c r="M520" s="49"/>
      <c r="N520" s="49"/>
      <c r="O520" s="49"/>
      <c r="P520" s="49"/>
      <c r="Q520" s="49"/>
    </row>
    <row r="521" spans="3:17">
      <c r="C521" s="49"/>
      <c r="D521" s="49"/>
      <c r="E521" s="49"/>
      <c r="F521" s="49"/>
      <c r="G521" s="49"/>
      <c r="H521" s="49"/>
      <c r="I521" s="49"/>
      <c r="J521" s="49"/>
      <c r="K521" s="49"/>
      <c r="L521" s="49"/>
      <c r="M521" s="49"/>
      <c r="N521" s="49"/>
      <c r="O521" s="49"/>
      <c r="P521" s="49"/>
      <c r="Q521" s="49"/>
    </row>
    <row r="522" spans="3:17">
      <c r="C522" s="49"/>
      <c r="D522" s="49"/>
      <c r="E522" s="49"/>
      <c r="F522" s="49"/>
      <c r="G522" s="49"/>
      <c r="H522" s="49"/>
      <c r="I522" s="49"/>
      <c r="J522" s="49"/>
      <c r="K522" s="49"/>
      <c r="L522" s="49"/>
      <c r="M522" s="49"/>
      <c r="N522" s="49"/>
      <c r="O522" s="49"/>
      <c r="P522" s="49"/>
      <c r="Q522" s="49"/>
    </row>
    <row r="523" spans="3:17">
      <c r="C523" s="49"/>
      <c r="D523" s="49"/>
      <c r="E523" s="49"/>
      <c r="F523" s="49"/>
      <c r="G523" s="49"/>
      <c r="H523" s="49"/>
      <c r="I523" s="49"/>
      <c r="J523" s="49"/>
      <c r="K523" s="49"/>
      <c r="L523" s="49"/>
      <c r="M523" s="49"/>
      <c r="N523" s="49"/>
      <c r="O523" s="49"/>
      <c r="P523" s="49"/>
      <c r="Q523" s="49"/>
    </row>
    <row r="524" spans="3:17">
      <c r="C524" s="49"/>
      <c r="D524" s="49"/>
      <c r="E524" s="49"/>
      <c r="F524" s="49"/>
      <c r="G524" s="49"/>
      <c r="H524" s="49"/>
      <c r="I524" s="49"/>
      <c r="J524" s="49"/>
      <c r="K524" s="49"/>
      <c r="L524" s="49"/>
      <c r="M524" s="49"/>
      <c r="N524" s="49"/>
      <c r="O524" s="49"/>
      <c r="P524" s="49"/>
      <c r="Q524" s="49"/>
    </row>
    <row r="525" spans="3:17">
      <c r="C525" s="49"/>
      <c r="D525" s="49"/>
      <c r="E525" s="49"/>
      <c r="F525" s="49"/>
      <c r="G525" s="49"/>
      <c r="H525" s="49"/>
      <c r="I525" s="49"/>
      <c r="J525" s="49"/>
      <c r="K525" s="49"/>
      <c r="L525" s="49"/>
      <c r="M525" s="49"/>
      <c r="N525" s="49"/>
      <c r="O525" s="49"/>
      <c r="P525" s="49"/>
      <c r="Q525" s="49"/>
    </row>
    <row r="526" spans="3:17">
      <c r="C526" s="49"/>
      <c r="D526" s="49"/>
      <c r="E526" s="49"/>
      <c r="F526" s="49"/>
      <c r="G526" s="49"/>
      <c r="H526" s="49"/>
      <c r="I526" s="49"/>
      <c r="J526" s="49"/>
      <c r="K526" s="49"/>
      <c r="L526" s="49"/>
      <c r="M526" s="49"/>
      <c r="N526" s="49"/>
      <c r="O526" s="49"/>
      <c r="P526" s="49"/>
      <c r="Q526" s="49"/>
    </row>
    <row r="527" spans="3:17">
      <c r="C527" s="49"/>
      <c r="D527" s="49"/>
      <c r="E527" s="49"/>
      <c r="F527" s="49"/>
      <c r="G527" s="49"/>
      <c r="H527" s="49"/>
      <c r="I527" s="49"/>
      <c r="J527" s="49"/>
      <c r="K527" s="49"/>
      <c r="L527" s="49"/>
      <c r="M527" s="49"/>
      <c r="N527" s="49"/>
      <c r="O527" s="49"/>
      <c r="P527" s="49"/>
      <c r="Q527" s="49"/>
    </row>
    <row r="528" spans="3:17">
      <c r="C528" s="49"/>
      <c r="D528" s="49"/>
      <c r="E528" s="49"/>
      <c r="F528" s="49"/>
      <c r="G528" s="49"/>
      <c r="H528" s="49"/>
      <c r="I528" s="49"/>
      <c r="J528" s="49"/>
      <c r="K528" s="49"/>
      <c r="L528" s="49"/>
      <c r="M528" s="49"/>
      <c r="N528" s="49"/>
      <c r="O528" s="49"/>
      <c r="P528" s="49"/>
      <c r="Q528" s="49"/>
    </row>
    <row r="529" spans="3:17">
      <c r="C529" s="49"/>
      <c r="D529" s="49"/>
      <c r="E529" s="49"/>
      <c r="F529" s="49"/>
      <c r="G529" s="49"/>
      <c r="H529" s="49"/>
      <c r="I529" s="49"/>
      <c r="J529" s="49"/>
      <c r="K529" s="49"/>
      <c r="L529" s="49"/>
      <c r="M529" s="49"/>
      <c r="N529" s="49"/>
      <c r="O529" s="49"/>
      <c r="P529" s="49"/>
      <c r="Q529" s="49"/>
    </row>
    <row r="530" spans="3:17">
      <c r="C530" s="49"/>
      <c r="D530" s="49"/>
      <c r="E530" s="49"/>
      <c r="F530" s="49"/>
      <c r="G530" s="49"/>
      <c r="H530" s="49"/>
      <c r="I530" s="49"/>
      <c r="J530" s="49"/>
      <c r="K530" s="49"/>
      <c r="L530" s="49"/>
      <c r="M530" s="49"/>
      <c r="N530" s="49"/>
      <c r="O530" s="49"/>
      <c r="P530" s="49"/>
      <c r="Q530" s="49"/>
    </row>
    <row r="531" spans="3:17">
      <c r="C531" s="49"/>
      <c r="D531" s="49"/>
      <c r="E531" s="49"/>
      <c r="F531" s="49"/>
      <c r="G531" s="49"/>
      <c r="H531" s="49"/>
      <c r="I531" s="49"/>
      <c r="J531" s="49"/>
      <c r="K531" s="49"/>
      <c r="L531" s="49"/>
      <c r="M531" s="49"/>
      <c r="N531" s="49"/>
      <c r="O531" s="49"/>
      <c r="P531" s="49"/>
      <c r="Q531" s="49"/>
    </row>
    <row r="532" spans="3:17">
      <c r="C532" s="49"/>
      <c r="D532" s="49"/>
      <c r="E532" s="49"/>
      <c r="F532" s="49"/>
      <c r="G532" s="49"/>
      <c r="H532" s="49"/>
      <c r="I532" s="49"/>
      <c r="J532" s="49"/>
      <c r="K532" s="49"/>
      <c r="L532" s="49"/>
      <c r="M532" s="49"/>
      <c r="N532" s="49"/>
      <c r="O532" s="49"/>
      <c r="P532" s="49"/>
      <c r="Q532" s="49"/>
    </row>
    <row r="533" spans="3:17">
      <c r="C533" s="49"/>
      <c r="D533" s="49"/>
      <c r="E533" s="49"/>
      <c r="F533" s="49"/>
      <c r="G533" s="49"/>
      <c r="H533" s="49"/>
      <c r="I533" s="49"/>
      <c r="J533" s="49"/>
      <c r="K533" s="49"/>
      <c r="L533" s="49"/>
      <c r="M533" s="49"/>
      <c r="N533" s="49"/>
      <c r="O533" s="49"/>
      <c r="P533" s="49"/>
      <c r="Q533" s="49"/>
    </row>
    <row r="534" spans="3:17">
      <c r="C534" s="49"/>
      <c r="D534" s="49"/>
      <c r="E534" s="49"/>
      <c r="F534" s="49"/>
      <c r="G534" s="49"/>
      <c r="H534" s="49"/>
      <c r="I534" s="49"/>
      <c r="J534" s="49"/>
      <c r="K534" s="49"/>
      <c r="L534" s="49"/>
      <c r="M534" s="49"/>
      <c r="N534" s="49"/>
      <c r="O534" s="49"/>
      <c r="P534" s="49"/>
      <c r="Q534" s="49"/>
    </row>
    <row r="535" spans="3:17">
      <c r="C535" s="49"/>
      <c r="D535" s="49"/>
      <c r="E535" s="49"/>
      <c r="F535" s="49"/>
      <c r="G535" s="49"/>
      <c r="H535" s="49"/>
      <c r="I535" s="49"/>
      <c r="J535" s="49"/>
      <c r="K535" s="49"/>
      <c r="L535" s="49"/>
      <c r="M535" s="49"/>
      <c r="N535" s="49"/>
      <c r="O535" s="49"/>
      <c r="P535" s="49"/>
      <c r="Q535" s="49"/>
    </row>
    <row r="536" spans="3:17">
      <c r="C536" s="49"/>
      <c r="D536" s="49"/>
      <c r="E536" s="49"/>
      <c r="F536" s="49"/>
      <c r="G536" s="49"/>
      <c r="H536" s="49"/>
      <c r="I536" s="49"/>
      <c r="J536" s="49"/>
      <c r="K536" s="49"/>
      <c r="L536" s="49"/>
      <c r="M536" s="49"/>
      <c r="N536" s="49"/>
      <c r="O536" s="49"/>
      <c r="P536" s="49"/>
      <c r="Q536" s="49"/>
    </row>
    <row r="537" spans="3:17">
      <c r="C537" s="49"/>
      <c r="D537" s="49"/>
      <c r="E537" s="49"/>
      <c r="F537" s="49"/>
      <c r="G537" s="49"/>
      <c r="H537" s="49"/>
      <c r="I537" s="49"/>
      <c r="J537" s="49"/>
      <c r="K537" s="49"/>
      <c r="L537" s="49"/>
      <c r="M537" s="49"/>
      <c r="N537" s="49"/>
      <c r="O537" s="49"/>
      <c r="P537" s="49"/>
      <c r="Q537" s="49"/>
    </row>
    <row r="538" spans="3:17">
      <c r="C538" s="49"/>
      <c r="D538" s="49"/>
      <c r="E538" s="49"/>
      <c r="F538" s="49"/>
      <c r="G538" s="49"/>
      <c r="H538" s="49"/>
      <c r="I538" s="49"/>
      <c r="J538" s="49"/>
      <c r="K538" s="49"/>
      <c r="L538" s="49"/>
      <c r="M538" s="49"/>
      <c r="N538" s="49"/>
      <c r="O538" s="49"/>
      <c r="P538" s="49"/>
      <c r="Q538" s="49"/>
    </row>
    <row r="539" spans="3:17">
      <c r="C539" s="49"/>
      <c r="D539" s="49"/>
      <c r="E539" s="49"/>
      <c r="F539" s="49"/>
      <c r="G539" s="49"/>
      <c r="H539" s="49"/>
      <c r="I539" s="49"/>
      <c r="J539" s="49"/>
      <c r="K539" s="49"/>
      <c r="L539" s="49"/>
      <c r="M539" s="49"/>
      <c r="N539" s="49"/>
      <c r="O539" s="49"/>
      <c r="P539" s="49"/>
      <c r="Q539" s="49"/>
    </row>
    <row r="540" spans="3:17">
      <c r="C540" s="49"/>
      <c r="D540" s="49"/>
      <c r="E540" s="49"/>
      <c r="F540" s="49"/>
      <c r="G540" s="49"/>
      <c r="H540" s="49"/>
      <c r="I540" s="49"/>
      <c r="J540" s="49"/>
      <c r="K540" s="49"/>
      <c r="L540" s="49"/>
      <c r="M540" s="49"/>
      <c r="N540" s="49"/>
      <c r="O540" s="49"/>
      <c r="P540" s="49"/>
      <c r="Q540" s="49"/>
    </row>
    <row r="541" spans="3:17">
      <c r="C541" s="49"/>
      <c r="D541" s="49"/>
      <c r="E541" s="49"/>
      <c r="F541" s="49"/>
      <c r="G541" s="49"/>
      <c r="H541" s="49"/>
      <c r="I541" s="49"/>
      <c r="J541" s="49"/>
      <c r="K541" s="49"/>
      <c r="L541" s="49"/>
      <c r="M541" s="49"/>
      <c r="N541" s="49"/>
      <c r="O541" s="49"/>
      <c r="P541" s="49"/>
      <c r="Q541" s="49"/>
    </row>
    <row r="542" spans="3:17">
      <c r="C542" s="49"/>
      <c r="D542" s="49"/>
      <c r="E542" s="49"/>
      <c r="F542" s="49"/>
      <c r="G542" s="49"/>
      <c r="H542" s="49"/>
      <c r="I542" s="49"/>
      <c r="J542" s="49"/>
      <c r="K542" s="49"/>
      <c r="L542" s="49"/>
      <c r="M542" s="49"/>
      <c r="N542" s="49"/>
      <c r="O542" s="49"/>
      <c r="P542" s="49"/>
      <c r="Q542" s="49"/>
    </row>
    <row r="543" spans="3:17">
      <c r="C543" s="49"/>
      <c r="D543" s="49"/>
      <c r="E543" s="49"/>
      <c r="F543" s="49"/>
      <c r="G543" s="49"/>
      <c r="H543" s="49"/>
      <c r="I543" s="49"/>
      <c r="J543" s="49"/>
      <c r="K543" s="49"/>
      <c r="L543" s="49"/>
      <c r="M543" s="49"/>
      <c r="N543" s="49"/>
      <c r="O543" s="49"/>
      <c r="P543" s="49"/>
      <c r="Q543" s="49"/>
    </row>
    <row r="544" spans="3:17">
      <c r="C544" s="49"/>
      <c r="D544" s="49"/>
      <c r="E544" s="49"/>
      <c r="F544" s="49"/>
      <c r="G544" s="49"/>
      <c r="H544" s="49"/>
      <c r="I544" s="49"/>
      <c r="J544" s="49"/>
    </row>
    <row r="545" spans="3:10">
      <c r="C545" s="49"/>
      <c r="D545" s="49"/>
      <c r="E545" s="49"/>
      <c r="F545" s="49"/>
      <c r="G545" s="49"/>
      <c r="H545" s="49"/>
      <c r="I545" s="49"/>
      <c r="J545" s="49"/>
    </row>
    <row r="546" spans="3:10">
      <c r="C546" s="49"/>
      <c r="D546" s="49"/>
      <c r="E546" s="49"/>
      <c r="F546" s="49"/>
      <c r="G546" s="49"/>
      <c r="H546" s="49"/>
      <c r="I546" s="49"/>
      <c r="J546" s="49"/>
    </row>
    <row r="547" spans="3:10">
      <c r="C547" s="49"/>
      <c r="D547" s="49"/>
      <c r="E547" s="49"/>
      <c r="F547" s="49"/>
      <c r="G547" s="49"/>
      <c r="H547" s="49"/>
      <c r="I547" s="49"/>
      <c r="J547" s="49"/>
    </row>
    <row r="548" spans="3:10">
      <c r="C548" s="49"/>
      <c r="D548" s="49"/>
      <c r="E548" s="49"/>
      <c r="F548" s="49"/>
      <c r="G548" s="49"/>
      <c r="H548" s="49"/>
      <c r="I548" s="49"/>
      <c r="J548" s="49"/>
    </row>
    <row r="549" spans="3:10">
      <c r="C549" s="49"/>
      <c r="D549" s="49"/>
      <c r="E549" s="49"/>
      <c r="F549" s="49"/>
      <c r="G549" s="49"/>
      <c r="H549" s="49"/>
      <c r="I549" s="49"/>
      <c r="J549" s="49"/>
    </row>
    <row r="550" spans="3:10">
      <c r="C550" s="49"/>
      <c r="D550" s="49"/>
      <c r="E550" s="49"/>
      <c r="F550" s="49"/>
      <c r="G550" s="49"/>
      <c r="H550" s="49"/>
      <c r="I550" s="49"/>
      <c r="J550" s="49"/>
    </row>
  </sheetData>
  <mergeCells count="28">
    <mergeCell ref="C320:L320"/>
    <mergeCell ref="C321:L321"/>
    <mergeCell ref="C310:L310"/>
    <mergeCell ref="C311:L311"/>
    <mergeCell ref="C312:L312"/>
    <mergeCell ref="C313:L313"/>
    <mergeCell ref="C314:L314"/>
    <mergeCell ref="C299:L299"/>
    <mergeCell ref="C300:L300"/>
    <mergeCell ref="C301:L301"/>
    <mergeCell ref="C315:L315"/>
    <mergeCell ref="C316:L316"/>
    <mergeCell ref="C322:L322"/>
    <mergeCell ref="L4:M4"/>
    <mergeCell ref="C288:L288"/>
    <mergeCell ref="C289:L289"/>
    <mergeCell ref="C290:L290"/>
    <mergeCell ref="C291:L291"/>
    <mergeCell ref="C292:L292"/>
    <mergeCell ref="C293:L293"/>
    <mergeCell ref="C294:L294"/>
    <mergeCell ref="C295:L295"/>
    <mergeCell ref="C296:L296"/>
    <mergeCell ref="C302:L302"/>
    <mergeCell ref="C303:L303"/>
    <mergeCell ref="C304:L304"/>
    <mergeCell ref="C297:L297"/>
    <mergeCell ref="C298:L298"/>
  </mergeCells>
  <phoneticPr fontId="0" type="noConversion"/>
  <pageMargins left="0.52" right="0.25" top="0.77" bottom="0.75" header="0.5" footer="0.5"/>
  <pageSetup scale="37" fitToHeight="6" orientation="portrait" r:id="rId1"/>
  <headerFooter alignWithMargins="0"/>
  <rowBreaks count="4" manualBreakCount="4">
    <brk id="61" max="16383" man="1"/>
    <brk id="126" max="16383" man="1"/>
    <brk id="201" max="12" man="1"/>
    <brk id="2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H265"/>
  <sheetViews>
    <sheetView zoomScaleNormal="100" zoomScaleSheetLayoutView="75" workbookViewId="0">
      <selection activeCell="C4" sqref="C4"/>
    </sheetView>
  </sheetViews>
  <sheetFormatPr defaultColWidth="8.81640625" defaultRowHeight="15.6"/>
  <cols>
    <col min="1" max="1" width="7.08984375" style="121" customWidth="1"/>
    <col min="2" max="2" width="57.7265625" style="121" customWidth="1"/>
    <col min="3" max="3" width="28.08984375" style="121" customWidth="1"/>
    <col min="4" max="4" width="10.81640625" style="122" bestFit="1" customWidth="1"/>
    <col min="5" max="5" width="9.7265625" style="121" bestFit="1" customWidth="1"/>
    <col min="6" max="6" width="8.81640625" style="121"/>
    <col min="7" max="16384" width="8.81640625" style="95"/>
  </cols>
  <sheetData>
    <row r="1" spans="1:7">
      <c r="A1" s="1158" t="s">
        <v>26</v>
      </c>
      <c r="B1" s="1158"/>
      <c r="C1" s="1158"/>
      <c r="D1" s="1158"/>
    </row>
    <row r="2" spans="1:7">
      <c r="A2" s="1158" t="str">
        <f>'Appendix A'!$E$9</f>
        <v>HURLEY AVENUE PROJECT - SYSTEM DELIVERABILITY UPGRADE</v>
      </c>
      <c r="B2" s="1158"/>
      <c r="C2" s="1158"/>
      <c r="D2" s="1158"/>
    </row>
    <row r="5" spans="1:7">
      <c r="B5" s="130" t="s">
        <v>762</v>
      </c>
      <c r="C5" s="121" t="s">
        <v>378</v>
      </c>
    </row>
    <row r="6" spans="1:7">
      <c r="A6" s="121">
        <v>1</v>
      </c>
      <c r="B6" s="121" t="s">
        <v>277</v>
      </c>
      <c r="D6" s="126">
        <f>+C37</f>
        <v>3842202</v>
      </c>
    </row>
    <row r="7" spans="1:7">
      <c r="D7" s="131"/>
    </row>
    <row r="8" spans="1:7">
      <c r="B8" s="130" t="s">
        <v>763</v>
      </c>
      <c r="C8" s="121" t="s">
        <v>378</v>
      </c>
      <c r="G8" s="129"/>
    </row>
    <row r="9" spans="1:7">
      <c r="A9" s="324">
        <f>+A6+1</f>
        <v>2</v>
      </c>
      <c r="B9" s="121" t="s">
        <v>278</v>
      </c>
      <c r="D9" s="126">
        <f>+C25</f>
        <v>230180</v>
      </c>
      <c r="G9" s="129"/>
    </row>
    <row r="10" spans="1:7">
      <c r="A10" s="324">
        <f>+A9+1</f>
        <v>3</v>
      </c>
      <c r="B10" s="121" t="s">
        <v>376</v>
      </c>
      <c r="D10" s="126">
        <v>0</v>
      </c>
      <c r="G10" s="128"/>
    </row>
    <row r="11" spans="1:7">
      <c r="A11" s="324">
        <f>+A10+1</f>
        <v>4</v>
      </c>
      <c r="B11" s="121" t="s">
        <v>185</v>
      </c>
      <c r="D11" s="126">
        <v>0</v>
      </c>
    </row>
    <row r="12" spans="1:7">
      <c r="A12" s="324">
        <f>+A11+1</f>
        <v>5</v>
      </c>
      <c r="B12" s="121" t="s">
        <v>377</v>
      </c>
      <c r="D12" s="126">
        <v>0</v>
      </c>
    </row>
    <row r="13" spans="1:7">
      <c r="D13" s="127"/>
    </row>
    <row r="14" spans="1:7">
      <c r="A14" s="121">
        <f>+A12+1</f>
        <v>6</v>
      </c>
      <c r="B14" s="121" t="s">
        <v>184</v>
      </c>
      <c r="C14" s="121" t="str">
        <f>"Sum lines "&amp;A9&amp;"-"&amp;A12&amp;" + line "&amp;A6&amp;""</f>
        <v>Sum lines 2-5 + line 1</v>
      </c>
      <c r="D14" s="125">
        <f>SUM(D9:D13)+D6</f>
        <v>4072382</v>
      </c>
    </row>
    <row r="15" spans="1:7">
      <c r="D15" s="125"/>
    </row>
    <row r="16" spans="1:7">
      <c r="D16" s="771"/>
      <c r="E16" s="439"/>
    </row>
    <row r="17" spans="1:8" s="123" customFormat="1">
      <c r="A17" s="121"/>
      <c r="B17" s="121"/>
      <c r="C17" s="121"/>
      <c r="D17" s="773"/>
      <c r="E17" s="127"/>
      <c r="F17" s="774"/>
    </row>
    <row r="18" spans="1:8" ht="82.5" customHeight="1">
      <c r="A18" s="324" t="s">
        <v>183</v>
      </c>
      <c r="B18" s="1159" t="s">
        <v>458</v>
      </c>
      <c r="C18" s="1159"/>
      <c r="D18" s="1159"/>
      <c r="E18" s="1159"/>
      <c r="F18" s="1159"/>
    </row>
    <row r="19" spans="1:8" ht="38.25" customHeight="1">
      <c r="A19" s="324" t="s">
        <v>182</v>
      </c>
      <c r="B19" s="1159" t="s">
        <v>287</v>
      </c>
      <c r="C19" s="1159"/>
      <c r="D19" s="1159"/>
      <c r="E19" s="1159"/>
      <c r="F19" s="1159"/>
    </row>
    <row r="21" spans="1:8">
      <c r="A21" s="324" t="s">
        <v>379</v>
      </c>
      <c r="B21" s="121" t="s">
        <v>181</v>
      </c>
      <c r="D21" s="125"/>
    </row>
    <row r="22" spans="1:8">
      <c r="A22" s="225"/>
      <c r="B22" s="225"/>
      <c r="C22" s="225"/>
      <c r="D22" s="225"/>
      <c r="E22" s="225"/>
      <c r="F22" s="225"/>
      <c r="G22" s="338"/>
      <c r="H22" s="338"/>
    </row>
    <row r="23" spans="1:8">
      <c r="A23" s="775" t="s">
        <v>288</v>
      </c>
      <c r="B23" s="225"/>
      <c r="C23" s="225"/>
      <c r="D23" s="225"/>
      <c r="E23" s="225"/>
      <c r="F23" s="776"/>
      <c r="G23" s="339"/>
      <c r="H23" s="339"/>
    </row>
    <row r="24" spans="1:8" ht="31.2">
      <c r="A24" s="777">
        <v>1</v>
      </c>
      <c r="B24" s="121" t="s">
        <v>0</v>
      </c>
      <c r="C24" s="778" t="s">
        <v>289</v>
      </c>
      <c r="D24" s="993" t="s">
        <v>918</v>
      </c>
      <c r="E24" s="778" t="s">
        <v>917</v>
      </c>
      <c r="F24" s="778" t="s">
        <v>295</v>
      </c>
    </row>
    <row r="25" spans="1:8">
      <c r="A25" s="779" t="s">
        <v>296</v>
      </c>
      <c r="B25" s="780" t="s">
        <v>290</v>
      </c>
      <c r="C25" s="732">
        <f>+D25</f>
        <v>230180</v>
      </c>
      <c r="D25" s="781">
        <v>230180</v>
      </c>
      <c r="E25" s="781">
        <v>0</v>
      </c>
      <c r="F25" s="781">
        <v>0</v>
      </c>
    </row>
    <row r="26" spans="1:8">
      <c r="A26" s="779" t="s">
        <v>506</v>
      </c>
      <c r="B26" s="780" t="s">
        <v>919</v>
      </c>
      <c r="C26" s="732">
        <f>SUM(D26:F26)</f>
        <v>134026991</v>
      </c>
      <c r="D26" s="781">
        <v>34441229</v>
      </c>
      <c r="E26" s="781">
        <v>99585762</v>
      </c>
      <c r="F26" s="781">
        <v>0</v>
      </c>
    </row>
    <row r="27" spans="1:8">
      <c r="A27" s="779" t="s">
        <v>299</v>
      </c>
      <c r="B27" s="780" t="s">
        <v>291</v>
      </c>
      <c r="C27" s="732">
        <f>SUM(D27:F27)</f>
        <v>0</v>
      </c>
      <c r="D27" s="781">
        <v>0</v>
      </c>
      <c r="E27" s="781">
        <v>0</v>
      </c>
      <c r="F27" s="781">
        <v>0</v>
      </c>
    </row>
    <row r="28" spans="1:8">
      <c r="A28" s="779">
        <v>2</v>
      </c>
      <c r="B28" s="780" t="s">
        <v>292</v>
      </c>
      <c r="C28" s="732">
        <f>SUM(D28:F28)</f>
        <v>0</v>
      </c>
      <c r="D28" s="781">
        <v>0</v>
      </c>
      <c r="E28" s="781">
        <v>0</v>
      </c>
      <c r="F28" s="781">
        <v>0</v>
      </c>
    </row>
    <row r="29" spans="1:8">
      <c r="A29" s="777">
        <v>3</v>
      </c>
      <c r="B29" s="782" t="s">
        <v>41</v>
      </c>
      <c r="C29" s="783">
        <f>SUM(C25:C28)</f>
        <v>134257171</v>
      </c>
      <c r="D29" s="783">
        <f>SUM(D25:D28)</f>
        <v>34671409</v>
      </c>
      <c r="E29" s="783">
        <f>SUM(E25:E28)</f>
        <v>99585762</v>
      </c>
      <c r="F29" s="783">
        <f>SUM(F25:F28)</f>
        <v>0</v>
      </c>
    </row>
    <row r="30" spans="1:8">
      <c r="A30" s="777">
        <v>4</v>
      </c>
      <c r="B30" s="782" t="s">
        <v>293</v>
      </c>
      <c r="C30" s="732"/>
      <c r="D30" s="732"/>
      <c r="E30" s="732"/>
      <c r="F30" s="732"/>
    </row>
    <row r="31" spans="1:8">
      <c r="A31" s="777">
        <v>5</v>
      </c>
      <c r="B31" s="782" t="s">
        <v>298</v>
      </c>
      <c r="C31" s="732">
        <f>SUM(D31:F31)</f>
        <v>0</v>
      </c>
      <c r="D31" s="781">
        <v>0</v>
      </c>
      <c r="E31" s="781">
        <v>0</v>
      </c>
      <c r="F31" s="781">
        <v>0</v>
      </c>
    </row>
    <row r="32" spans="1:8">
      <c r="A32" s="777">
        <v>6</v>
      </c>
      <c r="B32" s="784" t="s">
        <v>294</v>
      </c>
      <c r="C32" s="783">
        <f>+C29-C31</f>
        <v>134257171</v>
      </c>
      <c r="D32" s="783">
        <f>+D29-D31</f>
        <v>34671409</v>
      </c>
      <c r="E32" s="783">
        <f>+E29-E31</f>
        <v>99585762</v>
      </c>
      <c r="F32" s="783">
        <f>+F29-F31</f>
        <v>0</v>
      </c>
    </row>
    <row r="33" spans="1:6">
      <c r="A33" s="777">
        <v>7</v>
      </c>
      <c r="B33" s="782" t="s">
        <v>297</v>
      </c>
      <c r="C33" s="781">
        <v>0</v>
      </c>
      <c r="D33" s="781">
        <v>0</v>
      </c>
      <c r="E33" s="781">
        <v>0</v>
      </c>
      <c r="F33" s="781">
        <v>0</v>
      </c>
    </row>
    <row r="34" spans="1:6">
      <c r="A34" s="439">
        <v>8</v>
      </c>
      <c r="B34" s="121" t="str">
        <f>+B46</f>
        <v>Total</v>
      </c>
      <c r="C34" s="773">
        <f>+C32+C33</f>
        <v>134257171</v>
      </c>
      <c r="D34" s="773">
        <f>+D32+D33</f>
        <v>34671409</v>
      </c>
      <c r="E34" s="773">
        <f>+E32+E33</f>
        <v>99585762</v>
      </c>
      <c r="F34" s="773">
        <f>+F32+F33</f>
        <v>0</v>
      </c>
    </row>
    <row r="35" spans="1:6">
      <c r="A35" s="439"/>
    </row>
    <row r="36" spans="1:6">
      <c r="A36" s="439">
        <v>9</v>
      </c>
      <c r="B36" s="121" t="s">
        <v>180</v>
      </c>
      <c r="C36" s="785" t="s">
        <v>82</v>
      </c>
      <c r="D36" s="121"/>
    </row>
    <row r="37" spans="1:6">
      <c r="A37" s="439" t="s">
        <v>300</v>
      </c>
      <c r="B37" s="786" t="s">
        <v>916</v>
      </c>
      <c r="C37" s="126">
        <v>3842202</v>
      </c>
      <c r="D37" s="121"/>
    </row>
    <row r="38" spans="1:6">
      <c r="A38" s="439" t="s">
        <v>301</v>
      </c>
      <c r="B38" s="786" t="s">
        <v>186</v>
      </c>
      <c r="C38" s="126">
        <v>0</v>
      </c>
      <c r="D38" s="121"/>
    </row>
    <row r="39" spans="1:6">
      <c r="A39" s="439" t="s">
        <v>302</v>
      </c>
      <c r="B39" s="786" t="s">
        <v>179</v>
      </c>
      <c r="C39" s="126">
        <v>0</v>
      </c>
      <c r="D39" s="121"/>
    </row>
    <row r="40" spans="1:6">
      <c r="A40" s="439" t="s">
        <v>303</v>
      </c>
      <c r="B40" s="786" t="s">
        <v>178</v>
      </c>
      <c r="C40" s="126">
        <v>0</v>
      </c>
      <c r="D40" s="121"/>
    </row>
    <row r="41" spans="1:6">
      <c r="A41" s="439" t="s">
        <v>304</v>
      </c>
      <c r="B41" s="786" t="s">
        <v>177</v>
      </c>
      <c r="C41" s="126">
        <v>2586012</v>
      </c>
      <c r="D41" s="121"/>
    </row>
    <row r="42" spans="1:6">
      <c r="A42" s="439" t="s">
        <v>305</v>
      </c>
      <c r="B42" s="786"/>
      <c r="C42" s="126">
        <v>0</v>
      </c>
      <c r="D42" s="121"/>
    </row>
    <row r="43" spans="1:6">
      <c r="A43" s="439" t="s">
        <v>306</v>
      </c>
      <c r="B43" s="786"/>
      <c r="C43" s="126">
        <v>0</v>
      </c>
      <c r="D43" s="121"/>
    </row>
    <row r="44" spans="1:6">
      <c r="A44" s="439" t="s">
        <v>358</v>
      </c>
      <c r="B44" s="786"/>
      <c r="C44" s="126"/>
      <c r="D44" s="121"/>
    </row>
    <row r="45" spans="1:6">
      <c r="A45" s="439" t="s">
        <v>307</v>
      </c>
      <c r="B45" s="786"/>
      <c r="C45" s="994">
        <v>0</v>
      </c>
      <c r="D45" s="121"/>
    </row>
    <row r="46" spans="1:6">
      <c r="A46" s="439">
        <v>10</v>
      </c>
      <c r="B46" s="786" t="s">
        <v>41</v>
      </c>
      <c r="C46" s="787">
        <f>SUM(C37:C45)</f>
        <v>6428214</v>
      </c>
      <c r="D46" s="121"/>
    </row>
    <row r="48" spans="1:6" ht="99" customHeight="1">
      <c r="A48" s="324"/>
      <c r="B48" s="1157"/>
      <c r="C48" s="1157"/>
      <c r="D48" s="1157"/>
      <c r="E48" s="1157"/>
      <c r="F48" s="1157"/>
    </row>
    <row r="123" spans="4:4">
      <c r="D123" s="772"/>
    </row>
    <row r="242" spans="7:7">
      <c r="G242" s="121"/>
    </row>
    <row r="243" spans="7:7" ht="99.75" customHeight="1">
      <c r="G243" s="121"/>
    </row>
    <row r="244" spans="7:7">
      <c r="G244" s="121"/>
    </row>
    <row r="245" spans="7:7">
      <c r="G245" s="121"/>
    </row>
    <row r="246" spans="7:7">
      <c r="G246" s="121"/>
    </row>
    <row r="247" spans="7:7">
      <c r="G247" s="121"/>
    </row>
    <row r="248" spans="7:7">
      <c r="G248" s="121"/>
    </row>
    <row r="249" spans="7:7">
      <c r="G249" s="121"/>
    </row>
    <row r="250" spans="7:7">
      <c r="G250" s="121"/>
    </row>
    <row r="251" spans="7:7">
      <c r="G251" s="121"/>
    </row>
    <row r="252" spans="7:7">
      <c r="G252" s="121"/>
    </row>
    <row r="253" spans="7:7">
      <c r="G253" s="121"/>
    </row>
    <row r="254" spans="7:7">
      <c r="G254" s="121"/>
    </row>
    <row r="255" spans="7:7">
      <c r="G255" s="121"/>
    </row>
    <row r="256" spans="7:7">
      <c r="G256" s="121"/>
    </row>
    <row r="257" spans="7:7">
      <c r="G257" s="121"/>
    </row>
    <row r="258" spans="7:7">
      <c r="G258" s="121"/>
    </row>
    <row r="259" spans="7:7">
      <c r="G259" s="121"/>
    </row>
    <row r="260" spans="7:7">
      <c r="G260" s="121"/>
    </row>
    <row r="261" spans="7:7">
      <c r="G261" s="121"/>
    </row>
    <row r="262" spans="7:7">
      <c r="G262" s="121"/>
    </row>
    <row r="263" spans="7:7">
      <c r="G263" s="121"/>
    </row>
    <row r="264" spans="7:7" ht="40.5" customHeight="1">
      <c r="G264" s="121"/>
    </row>
    <row r="265" spans="7:7">
      <c r="G265" s="121"/>
    </row>
  </sheetData>
  <mergeCells count="5">
    <mergeCell ref="B48:F48"/>
    <mergeCell ref="A1:D1"/>
    <mergeCell ref="A2:D2"/>
    <mergeCell ref="B18:F18"/>
    <mergeCell ref="B19:F19"/>
  </mergeCells>
  <phoneticPr fontId="0" type="noConversion"/>
  <pageMargins left="0.75" right="0.75" top="1.28" bottom="1" header="0.5" footer="0.5"/>
  <pageSetup scale="61" orientation="portrait" r:id="rId1"/>
  <headerFooter alignWithMargins="0"/>
  <rowBreaks count="1" manualBreakCount="1">
    <brk id="6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S196"/>
  <sheetViews>
    <sheetView topLeftCell="A87" zoomScale="80" zoomScaleNormal="80" zoomScaleSheetLayoutView="85" workbookViewId="0">
      <selection activeCell="C4" sqref="C4"/>
    </sheetView>
  </sheetViews>
  <sheetFormatPr defaultColWidth="8.81640625" defaultRowHeight="15.6"/>
  <cols>
    <col min="1" max="1" width="5" style="439" customWidth="1"/>
    <col min="2" max="2" width="3.08984375" style="121" customWidth="1"/>
    <col min="3" max="3" width="48.08984375" style="121" customWidth="1"/>
    <col min="4" max="4" width="21" style="121" customWidth="1"/>
    <col min="5" max="5" width="13.7265625" style="121" customWidth="1"/>
    <col min="6" max="6" width="18.08984375" style="121" customWidth="1"/>
    <col min="7" max="7" width="15.08984375" style="95" customWidth="1"/>
    <col min="8" max="8" width="11.81640625" style="612" customWidth="1"/>
    <col min="9" max="9" width="13" style="95" customWidth="1"/>
    <col min="10" max="10" width="10.7265625" style="95" customWidth="1"/>
    <col min="11" max="11" width="9" style="95" customWidth="1"/>
    <col min="12" max="13" width="7.54296875" style="95" customWidth="1"/>
    <col min="14" max="16384" width="8.81640625" style="95"/>
  </cols>
  <sheetData>
    <row r="1" spans="1:13" ht="22.5" customHeight="1">
      <c r="A1" s="1158" t="s">
        <v>360</v>
      </c>
      <c r="B1" s="1158"/>
      <c r="C1" s="1158"/>
      <c r="D1" s="1158"/>
      <c r="E1" s="1158"/>
      <c r="F1" s="1158"/>
      <c r="G1" s="531"/>
      <c r="H1" s="611"/>
      <c r="I1" s="531"/>
      <c r="J1" s="531"/>
      <c r="K1" s="531"/>
      <c r="L1" s="531"/>
      <c r="M1" s="531"/>
    </row>
    <row r="2" spans="1:13" ht="17.399999999999999">
      <c r="A2" s="1158" t="str">
        <f>'Appendix A'!$E$9</f>
        <v>HURLEY AVENUE PROJECT - SYSTEM DELIVERABILITY UPGRADE</v>
      </c>
      <c r="B2" s="1158"/>
      <c r="C2" s="1158"/>
      <c r="D2" s="1158"/>
      <c r="E2" s="1158"/>
      <c r="F2" s="1158"/>
      <c r="G2" s="531"/>
      <c r="H2" s="611"/>
      <c r="I2" s="531"/>
      <c r="J2" s="531"/>
      <c r="K2" s="531"/>
      <c r="L2" s="531"/>
      <c r="M2" s="531"/>
    </row>
    <row r="4" spans="1:13" ht="16.2" thickBot="1">
      <c r="A4" s="440" t="s">
        <v>176</v>
      </c>
    </row>
    <row r="5" spans="1:13">
      <c r="A5" s="1162"/>
      <c r="B5" s="1163"/>
      <c r="C5" s="1163"/>
      <c r="D5" s="1163"/>
      <c r="E5" s="1163"/>
      <c r="F5" s="1164"/>
      <c r="G5" s="1075"/>
      <c r="H5" s="1076"/>
      <c r="I5" s="1075"/>
      <c r="J5" s="1160"/>
      <c r="K5" s="1161"/>
      <c r="L5" s="1161"/>
      <c r="M5" s="1161"/>
    </row>
    <row r="6" spans="1:13">
      <c r="A6" s="441">
        <v>1</v>
      </c>
      <c r="C6" s="442" t="s">
        <v>175</v>
      </c>
      <c r="D6" s="121" t="s">
        <v>778</v>
      </c>
      <c r="E6" s="439" t="s">
        <v>142</v>
      </c>
      <c r="F6" s="788" t="s">
        <v>137</v>
      </c>
      <c r="G6" s="163"/>
      <c r="J6" s="138"/>
      <c r="K6" s="138"/>
      <c r="L6" s="138"/>
      <c r="M6" s="138"/>
    </row>
    <row r="7" spans="1:13">
      <c r="A7" s="441">
        <f t="shared" ref="A7:A20" si="0">+A6+1</f>
        <v>2</v>
      </c>
      <c r="C7" s="972" t="s">
        <v>138</v>
      </c>
      <c r="D7" s="121" t="s">
        <v>150</v>
      </c>
      <c r="E7" s="933">
        <v>2023</v>
      </c>
      <c r="F7" s="991">
        <v>492173396</v>
      </c>
      <c r="G7" s="200"/>
      <c r="H7" s="613"/>
      <c r="I7" s="139"/>
      <c r="J7" s="138"/>
      <c r="K7" s="138"/>
      <c r="L7" s="138"/>
      <c r="M7" s="138"/>
    </row>
    <row r="8" spans="1:13">
      <c r="A8" s="441">
        <f t="shared" si="0"/>
        <v>3</v>
      </c>
      <c r="C8" s="790" t="s">
        <v>254</v>
      </c>
      <c r="D8" s="438" t="s">
        <v>992</v>
      </c>
      <c r="E8" s="1077">
        <f>+E$7</f>
        <v>2023</v>
      </c>
      <c r="F8" s="991">
        <v>495375618.00000006</v>
      </c>
      <c r="G8" s="200"/>
      <c r="J8" s="138"/>
      <c r="K8" s="138"/>
      <c r="L8" s="138"/>
      <c r="M8" s="138"/>
    </row>
    <row r="9" spans="1:13">
      <c r="A9" s="441">
        <f t="shared" si="0"/>
        <v>4</v>
      </c>
      <c r="B9" s="439"/>
      <c r="C9" s="790" t="s">
        <v>155</v>
      </c>
      <c r="D9" s="121" t="s">
        <v>150</v>
      </c>
      <c r="E9" s="1077">
        <f t="shared" ref="E9:E14" si="1">+E$7</f>
        <v>2023</v>
      </c>
      <c r="F9" s="991">
        <v>495524878.00000006</v>
      </c>
      <c r="G9" s="613"/>
      <c r="H9" s="613"/>
      <c r="I9" s="124"/>
      <c r="J9" s="138"/>
      <c r="K9" s="138"/>
      <c r="L9" s="138"/>
      <c r="M9" s="138"/>
    </row>
    <row r="10" spans="1:13">
      <c r="A10" s="441">
        <f t="shared" si="0"/>
        <v>5</v>
      </c>
      <c r="B10" s="439"/>
      <c r="C10" s="790" t="s">
        <v>154</v>
      </c>
      <c r="D10" s="121" t="s">
        <v>150</v>
      </c>
      <c r="E10" s="1077">
        <f t="shared" si="1"/>
        <v>2023</v>
      </c>
      <c r="F10" s="991">
        <v>495734298</v>
      </c>
      <c r="G10" s="139"/>
      <c r="H10" s="613"/>
      <c r="I10" s="124"/>
      <c r="J10" s="138"/>
      <c r="K10" s="138"/>
      <c r="L10" s="138"/>
      <c r="M10" s="138"/>
    </row>
    <row r="11" spans="1:13">
      <c r="A11" s="441">
        <f t="shared" si="0"/>
        <v>6</v>
      </c>
      <c r="C11" s="790" t="s">
        <v>153</v>
      </c>
      <c r="D11" s="438" t="s">
        <v>992</v>
      </c>
      <c r="E11" s="1077">
        <f t="shared" si="1"/>
        <v>2023</v>
      </c>
      <c r="F11" s="991">
        <v>496753838</v>
      </c>
      <c r="G11" s="138"/>
      <c r="H11" s="613"/>
      <c r="I11" s="124"/>
      <c r="J11" s="138"/>
      <c r="K11" s="138"/>
      <c r="L11" s="138"/>
      <c r="M11" s="138"/>
    </row>
    <row r="12" spans="1:13">
      <c r="A12" s="441">
        <f t="shared" si="0"/>
        <v>7</v>
      </c>
      <c r="C12" s="790" t="s">
        <v>152</v>
      </c>
      <c r="D12" s="121" t="s">
        <v>150</v>
      </c>
      <c r="E12" s="1077">
        <f t="shared" si="1"/>
        <v>2023</v>
      </c>
      <c r="F12" s="991">
        <v>497973878.00000006</v>
      </c>
      <c r="G12" s="138"/>
    </row>
    <row r="13" spans="1:13">
      <c r="A13" s="441">
        <f t="shared" si="0"/>
        <v>8</v>
      </c>
      <c r="C13" s="790" t="s">
        <v>151</v>
      </c>
      <c r="D13" s="121" t="s">
        <v>150</v>
      </c>
      <c r="E13" s="1077">
        <f t="shared" si="1"/>
        <v>2023</v>
      </c>
      <c r="F13" s="991">
        <v>498031618.00000006</v>
      </c>
      <c r="G13" s="138"/>
      <c r="H13" s="613"/>
      <c r="I13" s="139"/>
      <c r="J13" s="138"/>
      <c r="K13" s="138"/>
      <c r="L13" s="138"/>
      <c r="M13" s="138"/>
    </row>
    <row r="14" spans="1:13">
      <c r="A14" s="441">
        <f t="shared" si="0"/>
        <v>9</v>
      </c>
      <c r="C14" s="790" t="s">
        <v>149</v>
      </c>
      <c r="D14" s="438" t="s">
        <v>992</v>
      </c>
      <c r="E14" s="1077">
        <f t="shared" si="1"/>
        <v>2023</v>
      </c>
      <c r="F14" s="991">
        <v>500582738.00000006</v>
      </c>
      <c r="G14" s="138"/>
      <c r="J14" s="138"/>
      <c r="K14" s="138"/>
      <c r="L14" s="138"/>
      <c r="M14" s="138"/>
    </row>
    <row r="15" spans="1:13">
      <c r="A15" s="441">
        <f t="shared" si="0"/>
        <v>10</v>
      </c>
      <c r="B15" s="439"/>
      <c r="C15" s="790" t="s">
        <v>907</v>
      </c>
      <c r="D15" s="121" t="s">
        <v>150</v>
      </c>
      <c r="E15" s="933">
        <v>2024</v>
      </c>
      <c r="F15" s="991">
        <v>500734918</v>
      </c>
      <c r="H15" s="613"/>
      <c r="I15" s="124"/>
      <c r="J15" s="138"/>
      <c r="K15" s="138"/>
      <c r="L15" s="138"/>
      <c r="M15" s="138"/>
    </row>
    <row r="16" spans="1:13">
      <c r="A16" s="441">
        <f t="shared" si="0"/>
        <v>11</v>
      </c>
      <c r="B16" s="439"/>
      <c r="C16" s="790" t="s">
        <v>157</v>
      </c>
      <c r="D16" s="121" t="s">
        <v>150</v>
      </c>
      <c r="E16" s="1077">
        <f>+E$15</f>
        <v>2024</v>
      </c>
      <c r="F16" s="991">
        <v>500803998.00000006</v>
      </c>
      <c r="H16" s="613"/>
      <c r="I16" s="124"/>
      <c r="J16" s="138"/>
      <c r="K16" s="138"/>
      <c r="L16" s="138"/>
      <c r="M16" s="138"/>
    </row>
    <row r="17" spans="1:19">
      <c r="A17" s="441">
        <f t="shared" si="0"/>
        <v>12</v>
      </c>
      <c r="C17" s="790" t="s">
        <v>156</v>
      </c>
      <c r="D17" s="438" t="s">
        <v>992</v>
      </c>
      <c r="E17" s="1077">
        <f t="shared" ref="E17:E19" si="2">+E$15</f>
        <v>2024</v>
      </c>
      <c r="F17" s="991">
        <v>509528938</v>
      </c>
      <c r="H17" s="613"/>
      <c r="I17" s="124"/>
      <c r="J17" s="138"/>
      <c r="K17" s="138"/>
      <c r="L17" s="138"/>
      <c r="M17" s="138"/>
    </row>
    <row r="18" spans="1:19">
      <c r="A18" s="441">
        <f t="shared" si="0"/>
        <v>13</v>
      </c>
      <c r="C18" s="790" t="s">
        <v>141</v>
      </c>
      <c r="D18" s="121" t="s">
        <v>150</v>
      </c>
      <c r="E18" s="1077">
        <f t="shared" si="2"/>
        <v>2024</v>
      </c>
      <c r="F18" s="991">
        <v>509699358.00000006</v>
      </c>
      <c r="H18" s="613"/>
      <c r="I18" s="124"/>
      <c r="J18" s="138"/>
      <c r="K18" s="138"/>
      <c r="L18" s="138"/>
      <c r="M18" s="138"/>
    </row>
    <row r="19" spans="1:19">
      <c r="A19" s="441">
        <f t="shared" si="0"/>
        <v>14</v>
      </c>
      <c r="C19" s="972" t="s">
        <v>138</v>
      </c>
      <c r="D19" s="121" t="s">
        <v>150</v>
      </c>
      <c r="E19" s="1077">
        <f t="shared" si="2"/>
        <v>2024</v>
      </c>
      <c r="F19" s="991">
        <v>509960398</v>
      </c>
      <c r="H19" s="613"/>
    </row>
    <row r="20" spans="1:19">
      <c r="A20" s="441">
        <f t="shared" si="0"/>
        <v>15</v>
      </c>
      <c r="C20" s="791" t="s">
        <v>188</v>
      </c>
      <c r="D20" s="121" t="str">
        <f>"(sum lines "&amp;A7&amp;"-"&amp;A19&amp;") /13"</f>
        <v>(sum lines 2-14) /13</v>
      </c>
      <c r="E20" s="792"/>
      <c r="F20" s="793">
        <f>SUM(F7:F19)/13</f>
        <v>500221374.76923078</v>
      </c>
      <c r="J20" s="138"/>
      <c r="K20" s="138"/>
      <c r="L20" s="138"/>
      <c r="M20" s="138"/>
    </row>
    <row r="21" spans="1:19">
      <c r="A21" s="441"/>
      <c r="B21" s="439"/>
      <c r="C21" s="790"/>
      <c r="E21" s="794"/>
      <c r="F21" s="795"/>
      <c r="G21" s="200"/>
      <c r="H21" s="613"/>
      <c r="I21" s="124"/>
      <c r="J21" s="138"/>
      <c r="K21" s="138"/>
      <c r="L21" s="138"/>
      <c r="M21" s="138"/>
    </row>
    <row r="22" spans="1:19">
      <c r="A22" s="441">
        <f>+A20+1</f>
        <v>16</v>
      </c>
      <c r="C22" s="442" t="s">
        <v>174</v>
      </c>
      <c r="D22" s="121" t="s">
        <v>778</v>
      </c>
      <c r="E22" s="439"/>
      <c r="F22" s="444"/>
      <c r="J22" s="138"/>
      <c r="K22" s="138"/>
      <c r="L22" s="138"/>
      <c r="M22" s="138"/>
    </row>
    <row r="23" spans="1:19">
      <c r="A23" s="441">
        <f t="shared" ref="A23:A36" si="3">+A22+1</f>
        <v>17</v>
      </c>
      <c r="C23" s="972" t="s">
        <v>138</v>
      </c>
      <c r="D23" s="121" t="s">
        <v>150</v>
      </c>
      <c r="E23" s="1077">
        <f>+E7</f>
        <v>2023</v>
      </c>
      <c r="F23" s="990">
        <v>1060116000</v>
      </c>
      <c r="G23" s="200"/>
      <c r="H23" s="613"/>
      <c r="I23" s="139"/>
      <c r="J23" s="138"/>
      <c r="K23" s="138"/>
      <c r="L23" s="138"/>
      <c r="M23" s="138"/>
    </row>
    <row r="24" spans="1:19">
      <c r="A24" s="441">
        <f t="shared" si="3"/>
        <v>18</v>
      </c>
      <c r="C24" s="790" t="s">
        <v>254</v>
      </c>
      <c r="D24" s="438" t="s">
        <v>993</v>
      </c>
      <c r="E24" s="1077">
        <f t="shared" ref="E24:E35" si="4">+E8</f>
        <v>2023</v>
      </c>
      <c r="F24" s="990">
        <v>1066458000</v>
      </c>
      <c r="G24" s="141"/>
      <c r="J24" s="138"/>
      <c r="K24" s="138"/>
      <c r="L24" s="138"/>
      <c r="M24" s="138"/>
    </row>
    <row r="25" spans="1:19">
      <c r="A25" s="441">
        <f t="shared" si="3"/>
        <v>19</v>
      </c>
      <c r="B25" s="439"/>
      <c r="C25" s="790" t="s">
        <v>155</v>
      </c>
      <c r="D25" s="121" t="s">
        <v>150</v>
      </c>
      <c r="E25" s="1077">
        <f t="shared" si="4"/>
        <v>2023</v>
      </c>
      <c r="F25" s="990">
        <v>1072691000</v>
      </c>
      <c r="G25" s="200"/>
      <c r="H25" s="613"/>
      <c r="I25" s="124"/>
      <c r="J25" s="138"/>
      <c r="K25" s="138"/>
      <c r="L25" s="138"/>
      <c r="M25" s="138"/>
    </row>
    <row r="26" spans="1:19">
      <c r="A26" s="441">
        <f t="shared" si="3"/>
        <v>20</v>
      </c>
      <c r="B26" s="439"/>
      <c r="C26" s="790" t="s">
        <v>154</v>
      </c>
      <c r="D26" s="121" t="s">
        <v>150</v>
      </c>
      <c r="E26" s="1077">
        <f t="shared" si="4"/>
        <v>2023</v>
      </c>
      <c r="F26" s="990">
        <v>1077365000</v>
      </c>
      <c r="G26" s="200"/>
      <c r="H26" s="200"/>
      <c r="I26" s="200"/>
      <c r="J26" s="200"/>
      <c r="K26" s="200"/>
      <c r="L26" s="200"/>
      <c r="M26" s="200"/>
      <c r="N26" s="200"/>
      <c r="O26" s="200"/>
      <c r="P26" s="200"/>
      <c r="Q26" s="200"/>
      <c r="R26" s="200"/>
      <c r="S26" s="200"/>
    </row>
    <row r="27" spans="1:19">
      <c r="A27" s="441">
        <f t="shared" si="3"/>
        <v>21</v>
      </c>
      <c r="C27" s="790" t="s">
        <v>153</v>
      </c>
      <c r="D27" s="438" t="s">
        <v>993</v>
      </c>
      <c r="E27" s="1077">
        <f t="shared" si="4"/>
        <v>2023</v>
      </c>
      <c r="F27" s="990">
        <v>1081738000</v>
      </c>
      <c r="G27" s="200"/>
      <c r="H27" s="200"/>
      <c r="I27" s="200"/>
      <c r="J27" s="200"/>
      <c r="K27" s="200"/>
      <c r="L27" s="200"/>
      <c r="M27" s="200"/>
      <c r="N27" s="200"/>
      <c r="O27" s="200"/>
      <c r="P27" s="200"/>
      <c r="Q27" s="200"/>
      <c r="R27" s="200"/>
      <c r="S27" s="200"/>
    </row>
    <row r="28" spans="1:19">
      <c r="A28" s="441">
        <f t="shared" si="3"/>
        <v>22</v>
      </c>
      <c r="C28" s="790" t="s">
        <v>152</v>
      </c>
      <c r="D28" s="121" t="s">
        <v>150</v>
      </c>
      <c r="E28" s="1077">
        <f t="shared" si="4"/>
        <v>2023</v>
      </c>
      <c r="F28" s="990">
        <v>1087659000</v>
      </c>
    </row>
    <row r="29" spans="1:19">
      <c r="A29" s="441">
        <f t="shared" si="3"/>
        <v>23</v>
      </c>
      <c r="C29" s="790" t="s">
        <v>151</v>
      </c>
      <c r="D29" s="121" t="s">
        <v>150</v>
      </c>
      <c r="E29" s="1077">
        <f t="shared" si="4"/>
        <v>2023</v>
      </c>
      <c r="F29" s="990">
        <v>1092287000</v>
      </c>
      <c r="G29" s="200"/>
      <c r="H29" s="613"/>
      <c r="I29" s="139"/>
      <c r="J29" s="138"/>
      <c r="K29" s="138"/>
      <c r="L29" s="138"/>
      <c r="M29" s="138"/>
    </row>
    <row r="30" spans="1:19">
      <c r="A30" s="441">
        <f t="shared" si="3"/>
        <v>24</v>
      </c>
      <c r="C30" s="790" t="s">
        <v>149</v>
      </c>
      <c r="D30" s="438" t="s">
        <v>993</v>
      </c>
      <c r="E30" s="1077">
        <f t="shared" si="4"/>
        <v>2023</v>
      </c>
      <c r="F30" s="990">
        <v>1105030000</v>
      </c>
      <c r="G30" s="141"/>
      <c r="J30" s="138"/>
      <c r="K30" s="138"/>
      <c r="L30" s="138"/>
      <c r="M30" s="138"/>
    </row>
    <row r="31" spans="1:19">
      <c r="A31" s="441">
        <f t="shared" si="3"/>
        <v>25</v>
      </c>
      <c r="B31" s="439"/>
      <c r="C31" s="790" t="s">
        <v>907</v>
      </c>
      <c r="D31" s="121" t="s">
        <v>150</v>
      </c>
      <c r="E31" s="1077">
        <f t="shared" si="4"/>
        <v>2024</v>
      </c>
      <c r="F31" s="990">
        <v>1109406000</v>
      </c>
      <c r="G31" s="200"/>
      <c r="H31" s="613"/>
      <c r="I31" s="124"/>
      <c r="J31" s="138"/>
      <c r="K31" s="138"/>
      <c r="L31" s="138"/>
      <c r="M31" s="138"/>
    </row>
    <row r="32" spans="1:19">
      <c r="A32" s="441">
        <f t="shared" si="3"/>
        <v>26</v>
      </c>
      <c r="B32" s="439"/>
      <c r="C32" s="790" t="s">
        <v>157</v>
      </c>
      <c r="D32" s="121" t="s">
        <v>150</v>
      </c>
      <c r="E32" s="1077">
        <f t="shared" si="4"/>
        <v>2024</v>
      </c>
      <c r="F32" s="990">
        <v>1112671000</v>
      </c>
      <c r="G32" s="200"/>
      <c r="H32" s="613"/>
      <c r="I32" s="124"/>
      <c r="J32" s="138"/>
      <c r="K32" s="138"/>
      <c r="L32" s="138"/>
      <c r="M32" s="138"/>
    </row>
    <row r="33" spans="1:19">
      <c r="A33" s="441">
        <f t="shared" si="3"/>
        <v>27</v>
      </c>
      <c r="C33" s="790" t="s">
        <v>156</v>
      </c>
      <c r="D33" s="438" t="s">
        <v>993</v>
      </c>
      <c r="E33" s="1077">
        <f t="shared" si="4"/>
        <v>2024</v>
      </c>
      <c r="F33" s="990">
        <v>1116253000</v>
      </c>
      <c r="G33" s="200"/>
      <c r="H33" s="613"/>
      <c r="I33" s="124"/>
      <c r="J33" s="138"/>
      <c r="K33" s="138"/>
      <c r="L33" s="138"/>
      <c r="M33" s="138"/>
    </row>
    <row r="34" spans="1:19">
      <c r="A34" s="441">
        <f t="shared" si="3"/>
        <v>28</v>
      </c>
      <c r="C34" s="790" t="s">
        <v>141</v>
      </c>
      <c r="D34" s="121" t="s">
        <v>150</v>
      </c>
      <c r="E34" s="1077">
        <f t="shared" si="4"/>
        <v>2024</v>
      </c>
      <c r="F34" s="990">
        <v>1122108000</v>
      </c>
      <c r="G34" s="200"/>
      <c r="H34" s="613"/>
      <c r="I34" s="124"/>
      <c r="J34" s="138"/>
      <c r="K34" s="138"/>
      <c r="L34" s="138"/>
      <c r="M34" s="138"/>
    </row>
    <row r="35" spans="1:19">
      <c r="A35" s="441">
        <f t="shared" si="3"/>
        <v>29</v>
      </c>
      <c r="C35" s="790" t="s">
        <v>138</v>
      </c>
      <c r="D35" s="121" t="s">
        <v>150</v>
      </c>
      <c r="E35" s="1077">
        <f t="shared" si="4"/>
        <v>2024</v>
      </c>
      <c r="F35" s="990">
        <v>1131194000</v>
      </c>
      <c r="G35" s="119"/>
    </row>
    <row r="36" spans="1:19">
      <c r="A36" s="441">
        <f t="shared" si="3"/>
        <v>30</v>
      </c>
      <c r="C36" s="791" t="s">
        <v>173</v>
      </c>
      <c r="D36" s="121" t="str">
        <f>"(sum lines "&amp;A23&amp;"-"&amp;A35&amp;") /13"</f>
        <v>(sum lines 17-29) /13</v>
      </c>
      <c r="E36" s="796"/>
      <c r="F36" s="793">
        <f>SUM(F23:F35)/13</f>
        <v>1094998153.8461537</v>
      </c>
      <c r="G36" s="530"/>
      <c r="J36" s="138"/>
      <c r="K36" s="138"/>
      <c r="L36" s="138"/>
      <c r="M36" s="138"/>
    </row>
    <row r="37" spans="1:19">
      <c r="A37" s="441"/>
      <c r="B37" s="439"/>
      <c r="C37" s="790"/>
      <c r="E37" s="796"/>
      <c r="F37" s="795"/>
      <c r="G37" s="200"/>
      <c r="H37" s="613"/>
      <c r="I37" s="124"/>
      <c r="J37" s="138"/>
      <c r="K37" s="138"/>
      <c r="L37" s="138"/>
      <c r="M37" s="138"/>
    </row>
    <row r="38" spans="1:19">
      <c r="A38" s="441">
        <f>+A36+1</f>
        <v>31</v>
      </c>
      <c r="C38" s="442" t="s">
        <v>172</v>
      </c>
      <c r="D38" s="121" t="s">
        <v>778</v>
      </c>
      <c r="E38" s="712"/>
      <c r="F38" s="444"/>
      <c r="J38" s="138"/>
      <c r="K38" s="138"/>
      <c r="L38" s="138"/>
      <c r="M38" s="138"/>
    </row>
    <row r="39" spans="1:19">
      <c r="A39" s="441">
        <f>+A38+1</f>
        <v>32</v>
      </c>
      <c r="C39" s="972" t="s">
        <v>138</v>
      </c>
      <c r="D39" s="121" t="s">
        <v>150</v>
      </c>
      <c r="E39" s="1077">
        <f>+E7</f>
        <v>2023</v>
      </c>
      <c r="F39" s="990">
        <v>20248735</v>
      </c>
      <c r="G39" s="200"/>
      <c r="J39" s="138"/>
      <c r="K39" s="138"/>
      <c r="L39" s="138"/>
      <c r="M39" s="138"/>
    </row>
    <row r="40" spans="1:19">
      <c r="A40" s="441">
        <f t="shared" ref="A40:A51" si="5">+A39+1</f>
        <v>33</v>
      </c>
      <c r="C40" s="790" t="s">
        <v>254</v>
      </c>
      <c r="D40" s="438" t="s">
        <v>994</v>
      </c>
      <c r="E40" s="1077">
        <f t="shared" ref="E40:E51" si="6">+E8</f>
        <v>2023</v>
      </c>
      <c r="F40" s="990">
        <v>20248735</v>
      </c>
      <c r="G40" s="200"/>
      <c r="H40" s="200"/>
      <c r="I40" s="200"/>
      <c r="J40" s="200"/>
      <c r="K40" s="200"/>
      <c r="L40" s="200"/>
      <c r="M40" s="200"/>
      <c r="N40" s="200"/>
      <c r="O40" s="200"/>
      <c r="P40" s="200"/>
      <c r="Q40" s="200"/>
      <c r="R40" s="200"/>
      <c r="S40" s="200"/>
    </row>
    <row r="41" spans="1:19">
      <c r="A41" s="441">
        <f t="shared" si="5"/>
        <v>34</v>
      </c>
      <c r="C41" s="790" t="s">
        <v>155</v>
      </c>
      <c r="D41" s="121" t="s">
        <v>150</v>
      </c>
      <c r="E41" s="1077">
        <f t="shared" si="6"/>
        <v>2023</v>
      </c>
      <c r="F41" s="990">
        <v>20248735</v>
      </c>
      <c r="G41" s="200"/>
      <c r="H41" s="200"/>
      <c r="I41" s="200"/>
      <c r="J41" s="200"/>
      <c r="K41" s="200"/>
      <c r="L41" s="200"/>
      <c r="M41" s="200"/>
      <c r="N41" s="200"/>
      <c r="O41" s="200"/>
      <c r="P41" s="200"/>
      <c r="Q41" s="200"/>
      <c r="R41" s="200"/>
      <c r="S41" s="200"/>
    </row>
    <row r="42" spans="1:19">
      <c r="A42" s="441">
        <f t="shared" si="5"/>
        <v>35</v>
      </c>
      <c r="C42" s="790" t="s">
        <v>154</v>
      </c>
      <c r="D42" s="121" t="s">
        <v>150</v>
      </c>
      <c r="E42" s="1077">
        <f t="shared" si="6"/>
        <v>2023</v>
      </c>
      <c r="F42" s="990">
        <v>20248735</v>
      </c>
      <c r="G42" s="200"/>
      <c r="H42" s="200"/>
      <c r="I42" s="200"/>
      <c r="J42" s="200"/>
      <c r="K42" s="200"/>
      <c r="L42" s="200"/>
      <c r="M42" s="200"/>
      <c r="N42" s="200"/>
      <c r="O42" s="200"/>
      <c r="P42" s="200"/>
      <c r="Q42" s="200"/>
      <c r="R42" s="200"/>
      <c r="S42" s="200"/>
    </row>
    <row r="43" spans="1:19">
      <c r="A43" s="441">
        <f t="shared" si="5"/>
        <v>36</v>
      </c>
      <c r="C43" s="790" t="s">
        <v>153</v>
      </c>
      <c r="D43" s="438" t="s">
        <v>994</v>
      </c>
      <c r="E43" s="1077">
        <f t="shared" si="6"/>
        <v>2023</v>
      </c>
      <c r="F43" s="990">
        <v>20248735</v>
      </c>
      <c r="G43" s="200"/>
      <c r="H43" s="200"/>
      <c r="I43" s="200"/>
      <c r="J43" s="200"/>
      <c r="K43" s="200"/>
      <c r="L43" s="200"/>
      <c r="M43" s="200"/>
      <c r="N43" s="200"/>
      <c r="O43" s="200"/>
      <c r="P43" s="200"/>
      <c r="Q43" s="200"/>
      <c r="R43" s="200"/>
      <c r="S43" s="200"/>
    </row>
    <row r="44" spans="1:19">
      <c r="A44" s="441">
        <f t="shared" si="5"/>
        <v>37</v>
      </c>
      <c r="C44" s="790" t="s">
        <v>152</v>
      </c>
      <c r="D44" s="121" t="s">
        <v>150</v>
      </c>
      <c r="E44" s="1077">
        <f t="shared" si="6"/>
        <v>2023</v>
      </c>
      <c r="F44" s="990">
        <v>20248735</v>
      </c>
      <c r="G44" s="200"/>
      <c r="H44" s="200"/>
      <c r="I44" s="200"/>
      <c r="J44" s="200"/>
      <c r="K44" s="200"/>
      <c r="L44" s="200"/>
      <c r="M44" s="200"/>
      <c r="N44" s="200"/>
      <c r="O44" s="200"/>
      <c r="P44" s="200"/>
      <c r="Q44" s="200"/>
      <c r="R44" s="200"/>
      <c r="S44" s="200"/>
    </row>
    <row r="45" spans="1:19">
      <c r="A45" s="441">
        <f t="shared" si="5"/>
        <v>38</v>
      </c>
      <c r="C45" s="790" t="s">
        <v>151</v>
      </c>
      <c r="D45" s="121" t="s">
        <v>150</v>
      </c>
      <c r="E45" s="1077">
        <f t="shared" si="6"/>
        <v>2023</v>
      </c>
      <c r="F45" s="990">
        <v>20248735</v>
      </c>
      <c r="G45" s="200"/>
      <c r="J45" s="138"/>
      <c r="K45" s="138"/>
      <c r="L45" s="138"/>
      <c r="M45" s="138"/>
    </row>
    <row r="46" spans="1:19">
      <c r="A46" s="441">
        <f t="shared" si="5"/>
        <v>39</v>
      </c>
      <c r="C46" s="790" t="s">
        <v>149</v>
      </c>
      <c r="D46" s="438" t="s">
        <v>994</v>
      </c>
      <c r="E46" s="1077">
        <f t="shared" si="6"/>
        <v>2023</v>
      </c>
      <c r="F46" s="990">
        <v>20248735</v>
      </c>
      <c r="G46" s="200"/>
      <c r="J46" s="138"/>
      <c r="K46" s="138"/>
      <c r="L46" s="138"/>
      <c r="M46" s="138"/>
    </row>
    <row r="47" spans="1:19">
      <c r="A47" s="441">
        <f t="shared" si="5"/>
        <v>40</v>
      </c>
      <c r="C47" s="790" t="s">
        <v>907</v>
      </c>
      <c r="D47" s="121" t="s">
        <v>150</v>
      </c>
      <c r="E47" s="1077">
        <f t="shared" si="6"/>
        <v>2024</v>
      </c>
      <c r="F47" s="990">
        <v>20248735</v>
      </c>
      <c r="G47" s="200"/>
      <c r="J47" s="138"/>
      <c r="K47" s="138"/>
      <c r="L47" s="138"/>
      <c r="M47" s="138"/>
    </row>
    <row r="48" spans="1:19">
      <c r="A48" s="441">
        <f t="shared" si="5"/>
        <v>41</v>
      </c>
      <c r="C48" s="790" t="s">
        <v>157</v>
      </c>
      <c r="D48" s="121" t="s">
        <v>150</v>
      </c>
      <c r="E48" s="1077">
        <f t="shared" si="6"/>
        <v>2024</v>
      </c>
      <c r="F48" s="990">
        <v>20248735</v>
      </c>
      <c r="G48" s="200"/>
      <c r="J48" s="138"/>
      <c r="K48" s="138"/>
      <c r="L48" s="138"/>
      <c r="M48" s="138"/>
    </row>
    <row r="49" spans="1:13">
      <c r="A49" s="441">
        <f t="shared" si="5"/>
        <v>42</v>
      </c>
      <c r="C49" s="790" t="s">
        <v>156</v>
      </c>
      <c r="D49" s="438" t="s">
        <v>994</v>
      </c>
      <c r="E49" s="1077">
        <f t="shared" si="6"/>
        <v>2024</v>
      </c>
      <c r="F49" s="990">
        <v>20248735</v>
      </c>
      <c r="G49" s="200"/>
      <c r="H49" s="612" t="s">
        <v>847</v>
      </c>
      <c r="J49" s="138"/>
      <c r="K49" s="138"/>
      <c r="L49" s="138"/>
      <c r="M49" s="138"/>
    </row>
    <row r="50" spans="1:13">
      <c r="A50" s="441">
        <f t="shared" si="5"/>
        <v>43</v>
      </c>
      <c r="C50" s="790" t="s">
        <v>141</v>
      </c>
      <c r="D50" s="121" t="s">
        <v>150</v>
      </c>
      <c r="E50" s="1077">
        <f t="shared" si="6"/>
        <v>2024</v>
      </c>
      <c r="F50" s="990">
        <v>20248735</v>
      </c>
      <c r="G50" s="200"/>
      <c r="J50" s="138"/>
      <c r="K50" s="138"/>
      <c r="L50" s="138"/>
      <c r="M50" s="138"/>
    </row>
    <row r="51" spans="1:13">
      <c r="A51" s="441">
        <f t="shared" si="5"/>
        <v>44</v>
      </c>
      <c r="C51" s="790" t="s">
        <v>138</v>
      </c>
      <c r="D51" s="121" t="s">
        <v>150</v>
      </c>
      <c r="E51" s="1077">
        <f t="shared" si="6"/>
        <v>2024</v>
      </c>
      <c r="F51" s="990">
        <v>20248735</v>
      </c>
      <c r="G51" s="119"/>
      <c r="H51" s="613"/>
    </row>
    <row r="52" spans="1:13">
      <c r="A52" s="441">
        <f>+A51+1</f>
        <v>45</v>
      </c>
      <c r="C52" s="791" t="s">
        <v>171</v>
      </c>
      <c r="D52" s="121" t="str">
        <f>"(sum lines "&amp;A39&amp;"-"&amp;A51&amp;") /13"</f>
        <v>(sum lines 32-44) /13</v>
      </c>
      <c r="E52" s="796"/>
      <c r="F52" s="793">
        <f>SUM(F39:F51)/13</f>
        <v>20248735</v>
      </c>
      <c r="G52" s="530"/>
      <c r="I52" s="201"/>
      <c r="J52" s="138"/>
      <c r="K52" s="138"/>
      <c r="L52" s="138"/>
      <c r="M52" s="138"/>
    </row>
    <row r="53" spans="1:13">
      <c r="A53" s="441"/>
      <c r="C53" s="790"/>
      <c r="E53" s="797"/>
      <c r="F53" s="795"/>
      <c r="G53" s="200"/>
      <c r="H53" s="613"/>
      <c r="I53" s="124"/>
      <c r="J53" s="138"/>
      <c r="K53" s="138"/>
      <c r="L53" s="138"/>
      <c r="M53" s="138"/>
    </row>
    <row r="54" spans="1:13">
      <c r="A54" s="441">
        <f>+A52+1</f>
        <v>46</v>
      </c>
      <c r="C54" s="442" t="s">
        <v>170</v>
      </c>
      <c r="D54" s="121" t="s">
        <v>778</v>
      </c>
      <c r="E54" s="712"/>
      <c r="F54" s="444"/>
      <c r="J54" s="138"/>
      <c r="K54" s="138"/>
      <c r="L54" s="138"/>
      <c r="M54" s="138"/>
    </row>
    <row r="55" spans="1:13">
      <c r="A55" s="441">
        <f>+A54+1</f>
        <v>47</v>
      </c>
      <c r="C55" s="972" t="s">
        <v>138</v>
      </c>
      <c r="D55" s="121" t="s">
        <v>150</v>
      </c>
      <c r="E55" s="1077">
        <f>+E7</f>
        <v>2023</v>
      </c>
      <c r="F55" s="789">
        <v>4381000</v>
      </c>
      <c r="G55" s="200"/>
      <c r="H55" s="613"/>
      <c r="I55" s="139"/>
      <c r="J55" s="138"/>
      <c r="K55" s="138"/>
      <c r="L55" s="138"/>
      <c r="M55" s="138"/>
    </row>
    <row r="56" spans="1:13">
      <c r="A56" s="441">
        <f t="shared" ref="A56:A66" si="7">+A55+1</f>
        <v>48</v>
      </c>
      <c r="C56" s="790" t="s">
        <v>254</v>
      </c>
      <c r="D56" s="438" t="s">
        <v>995</v>
      </c>
      <c r="E56" s="1077">
        <f t="shared" ref="E56:E67" si="8">+E8</f>
        <v>2023</v>
      </c>
      <c r="F56" s="789">
        <v>4381000</v>
      </c>
      <c r="G56" s="200"/>
      <c r="H56" s="613"/>
      <c r="I56" s="139"/>
      <c r="J56" s="138"/>
      <c r="K56" s="138"/>
      <c r="L56" s="138"/>
      <c r="M56" s="138"/>
    </row>
    <row r="57" spans="1:13">
      <c r="A57" s="441">
        <f t="shared" si="7"/>
        <v>49</v>
      </c>
      <c r="C57" s="790" t="s">
        <v>155</v>
      </c>
      <c r="D57" s="121" t="s">
        <v>150</v>
      </c>
      <c r="E57" s="1077">
        <f t="shared" si="8"/>
        <v>2023</v>
      </c>
      <c r="F57" s="789">
        <v>4381000</v>
      </c>
      <c r="G57" s="200"/>
      <c r="H57" s="613"/>
      <c r="I57" s="139"/>
      <c r="J57" s="138"/>
      <c r="K57" s="138"/>
      <c r="L57" s="138"/>
      <c r="M57" s="138"/>
    </row>
    <row r="58" spans="1:13">
      <c r="A58" s="441">
        <f t="shared" si="7"/>
        <v>50</v>
      </c>
      <c r="C58" s="790" t="s">
        <v>154</v>
      </c>
      <c r="D58" s="121" t="s">
        <v>150</v>
      </c>
      <c r="E58" s="1077">
        <f t="shared" si="8"/>
        <v>2023</v>
      </c>
      <c r="F58" s="789">
        <v>4381000</v>
      </c>
      <c r="G58" s="200"/>
      <c r="H58" s="613"/>
      <c r="I58" s="139"/>
      <c r="J58" s="138"/>
      <c r="K58" s="138"/>
      <c r="L58" s="138"/>
      <c r="M58" s="138"/>
    </row>
    <row r="59" spans="1:13">
      <c r="A59" s="441">
        <f t="shared" si="7"/>
        <v>51</v>
      </c>
      <c r="C59" s="790" t="s">
        <v>153</v>
      </c>
      <c r="D59" s="438" t="s">
        <v>995</v>
      </c>
      <c r="E59" s="1077">
        <f t="shared" si="8"/>
        <v>2023</v>
      </c>
      <c r="F59" s="789">
        <v>4381000</v>
      </c>
      <c r="G59" s="200"/>
      <c r="H59" s="613"/>
      <c r="I59" s="139"/>
      <c r="J59" s="138"/>
      <c r="K59" s="138"/>
      <c r="L59" s="138"/>
      <c r="M59" s="138"/>
    </row>
    <row r="60" spans="1:13">
      <c r="A60" s="441">
        <f t="shared" si="7"/>
        <v>52</v>
      </c>
      <c r="C60" s="790" t="s">
        <v>152</v>
      </c>
      <c r="D60" s="121" t="s">
        <v>150</v>
      </c>
      <c r="E60" s="1077">
        <f t="shared" si="8"/>
        <v>2023</v>
      </c>
      <c r="F60" s="789">
        <v>4381000</v>
      </c>
      <c r="G60" s="200"/>
      <c r="H60" s="613"/>
      <c r="I60" s="139"/>
      <c r="J60" s="138"/>
      <c r="K60" s="138"/>
      <c r="L60" s="138"/>
      <c r="M60" s="138"/>
    </row>
    <row r="61" spans="1:13">
      <c r="A61" s="441">
        <f t="shared" si="7"/>
        <v>53</v>
      </c>
      <c r="C61" s="790" t="s">
        <v>151</v>
      </c>
      <c r="D61" s="121" t="s">
        <v>150</v>
      </c>
      <c r="E61" s="1077">
        <f t="shared" si="8"/>
        <v>2023</v>
      </c>
      <c r="F61" s="789">
        <v>4381000</v>
      </c>
      <c r="G61" s="200"/>
      <c r="H61" s="613"/>
      <c r="I61" s="139"/>
      <c r="J61" s="138"/>
      <c r="K61" s="138"/>
      <c r="L61" s="138"/>
      <c r="M61" s="138"/>
    </row>
    <row r="62" spans="1:13">
      <c r="A62" s="441">
        <f t="shared" si="7"/>
        <v>54</v>
      </c>
      <c r="C62" s="790" t="s">
        <v>149</v>
      </c>
      <c r="D62" s="438" t="s">
        <v>995</v>
      </c>
      <c r="E62" s="1077">
        <f t="shared" si="8"/>
        <v>2023</v>
      </c>
      <c r="F62" s="789">
        <v>4381000</v>
      </c>
      <c r="G62" s="200"/>
      <c r="H62" s="613"/>
      <c r="I62" s="139"/>
      <c r="J62" s="138"/>
      <c r="K62" s="138"/>
      <c r="L62" s="138"/>
      <c r="M62" s="138"/>
    </row>
    <row r="63" spans="1:13">
      <c r="A63" s="441">
        <f t="shared" si="7"/>
        <v>55</v>
      </c>
      <c r="C63" s="790" t="s">
        <v>907</v>
      </c>
      <c r="D63" s="121" t="s">
        <v>150</v>
      </c>
      <c r="E63" s="1077">
        <f t="shared" si="8"/>
        <v>2024</v>
      </c>
      <c r="F63" s="789">
        <v>4381000</v>
      </c>
      <c r="G63" s="200"/>
      <c r="H63" s="613"/>
      <c r="I63" s="139"/>
      <c r="J63" s="138"/>
      <c r="K63" s="138"/>
      <c r="L63" s="138"/>
      <c r="M63" s="138"/>
    </row>
    <row r="64" spans="1:13">
      <c r="A64" s="441">
        <f t="shared" si="7"/>
        <v>56</v>
      </c>
      <c r="C64" s="790" t="s">
        <v>157</v>
      </c>
      <c r="D64" s="121" t="s">
        <v>150</v>
      </c>
      <c r="E64" s="1077">
        <f t="shared" si="8"/>
        <v>2024</v>
      </c>
      <c r="F64" s="789">
        <v>4381000</v>
      </c>
      <c r="G64" s="200"/>
      <c r="H64" s="613"/>
      <c r="I64" s="139"/>
      <c r="J64" s="138"/>
      <c r="K64" s="138"/>
      <c r="L64" s="138"/>
      <c r="M64" s="138"/>
    </row>
    <row r="65" spans="1:19">
      <c r="A65" s="441">
        <f t="shared" si="7"/>
        <v>57</v>
      </c>
      <c r="C65" s="790" t="s">
        <v>156</v>
      </c>
      <c r="D65" s="438" t="s">
        <v>995</v>
      </c>
      <c r="E65" s="1077">
        <f t="shared" si="8"/>
        <v>2024</v>
      </c>
      <c r="F65" s="789">
        <v>4381000</v>
      </c>
      <c r="G65" s="200"/>
      <c r="H65" s="613"/>
      <c r="I65" s="139"/>
      <c r="J65" s="138"/>
      <c r="K65" s="138"/>
      <c r="L65" s="138"/>
      <c r="M65" s="138"/>
    </row>
    <row r="66" spans="1:19">
      <c r="A66" s="441">
        <f t="shared" si="7"/>
        <v>58</v>
      </c>
      <c r="C66" s="790" t="s">
        <v>141</v>
      </c>
      <c r="D66" s="121" t="s">
        <v>150</v>
      </c>
      <c r="E66" s="1077">
        <f t="shared" si="8"/>
        <v>2024</v>
      </c>
      <c r="F66" s="789">
        <v>4381000</v>
      </c>
      <c r="G66" s="200"/>
      <c r="H66" s="613"/>
      <c r="I66" s="139"/>
      <c r="J66" s="138"/>
      <c r="K66" s="138"/>
      <c r="L66" s="138"/>
      <c r="M66" s="138"/>
    </row>
    <row r="67" spans="1:19">
      <c r="A67" s="441">
        <f>+A66+1</f>
        <v>59</v>
      </c>
      <c r="C67" s="790" t="s">
        <v>138</v>
      </c>
      <c r="D67" s="121" t="s">
        <v>150</v>
      </c>
      <c r="E67" s="1077">
        <f t="shared" si="8"/>
        <v>2024</v>
      </c>
      <c r="F67" s="789">
        <v>4381000</v>
      </c>
      <c r="G67" s="119"/>
      <c r="H67" s="613"/>
    </row>
    <row r="68" spans="1:19">
      <c r="A68" s="441">
        <f>+A67+1</f>
        <v>60</v>
      </c>
      <c r="C68" s="791" t="s">
        <v>169</v>
      </c>
      <c r="D68" s="121" t="str">
        <f>"(sum lines "&amp;A55&amp;"-"&amp;A67&amp;") /13"</f>
        <v>(sum lines 47-59) /13</v>
      </c>
      <c r="E68" s="796"/>
      <c r="F68" s="793">
        <f>SUM(F55:F67)/13</f>
        <v>4381000</v>
      </c>
      <c r="G68" s="530"/>
      <c r="I68" s="201"/>
      <c r="J68" s="138"/>
      <c r="K68" s="138"/>
      <c r="L68" s="138"/>
      <c r="M68" s="138"/>
    </row>
    <row r="69" spans="1:19">
      <c r="A69" s="441"/>
      <c r="C69" s="790"/>
      <c r="D69" s="438"/>
      <c r="E69" s="797"/>
      <c r="F69" s="798"/>
    </row>
    <row r="70" spans="1:19">
      <c r="A70" s="441">
        <f>+A68+1</f>
        <v>61</v>
      </c>
      <c r="C70" s="442" t="s">
        <v>168</v>
      </c>
      <c r="D70" s="121" t="s">
        <v>778</v>
      </c>
      <c r="E70" s="712"/>
      <c r="F70" s="444"/>
      <c r="J70" s="138"/>
      <c r="K70" s="138"/>
      <c r="L70" s="138"/>
      <c r="M70" s="138"/>
    </row>
    <row r="71" spans="1:19">
      <c r="A71" s="441">
        <f t="shared" ref="A71:A84" si="9">+A70+1</f>
        <v>62</v>
      </c>
      <c r="C71" s="972" t="s">
        <v>138</v>
      </c>
      <c r="D71" s="121" t="s">
        <v>150</v>
      </c>
      <c r="E71" s="1077">
        <f>+E7</f>
        <v>2023</v>
      </c>
      <c r="F71" s="789">
        <v>47804000</v>
      </c>
      <c r="G71" s="119"/>
      <c r="J71" s="138"/>
      <c r="K71" s="138"/>
      <c r="L71" s="138"/>
      <c r="M71" s="138"/>
    </row>
    <row r="72" spans="1:19">
      <c r="A72" s="441">
        <f t="shared" si="9"/>
        <v>63</v>
      </c>
      <c r="C72" s="790" t="s">
        <v>254</v>
      </c>
      <c r="D72" s="438" t="s">
        <v>996</v>
      </c>
      <c r="E72" s="1077">
        <f t="shared" ref="E72:E83" si="10">+E8</f>
        <v>2023</v>
      </c>
      <c r="F72" s="789">
        <v>47804000</v>
      </c>
      <c r="G72" s="119"/>
      <c r="J72" s="138"/>
      <c r="K72" s="138"/>
      <c r="L72" s="138"/>
      <c r="M72" s="138"/>
    </row>
    <row r="73" spans="1:19">
      <c r="A73" s="441">
        <f t="shared" si="9"/>
        <v>64</v>
      </c>
      <c r="C73" s="790" t="s">
        <v>155</v>
      </c>
      <c r="D73" s="121" t="s">
        <v>150</v>
      </c>
      <c r="E73" s="1077">
        <f t="shared" si="10"/>
        <v>2023</v>
      </c>
      <c r="F73" s="789">
        <v>47855000</v>
      </c>
      <c r="G73" s="119"/>
      <c r="H73" s="119"/>
      <c r="I73" s="119"/>
      <c r="J73" s="119"/>
      <c r="K73" s="119"/>
      <c r="L73" s="119"/>
      <c r="M73" s="119"/>
      <c r="N73" s="119"/>
      <c r="O73" s="119"/>
      <c r="P73" s="119"/>
      <c r="Q73" s="119"/>
      <c r="R73" s="119"/>
      <c r="S73" s="119"/>
    </row>
    <row r="74" spans="1:19">
      <c r="A74" s="441">
        <f t="shared" si="9"/>
        <v>65</v>
      </c>
      <c r="C74" s="790" t="s">
        <v>154</v>
      </c>
      <c r="D74" s="121" t="s">
        <v>150</v>
      </c>
      <c r="E74" s="1077">
        <f t="shared" si="10"/>
        <v>2023</v>
      </c>
      <c r="F74" s="789">
        <v>47884000</v>
      </c>
      <c r="G74" s="119"/>
      <c r="H74" s="119"/>
      <c r="I74" s="119"/>
      <c r="J74" s="119"/>
      <c r="K74" s="119"/>
      <c r="L74" s="119"/>
      <c r="M74" s="119"/>
      <c r="N74" s="119"/>
      <c r="O74" s="119"/>
      <c r="P74" s="119"/>
      <c r="Q74" s="119"/>
      <c r="R74" s="119"/>
      <c r="S74" s="119"/>
    </row>
    <row r="75" spans="1:19">
      <c r="A75" s="441">
        <f t="shared" si="9"/>
        <v>66</v>
      </c>
      <c r="C75" s="790" t="s">
        <v>153</v>
      </c>
      <c r="D75" s="438" t="s">
        <v>996</v>
      </c>
      <c r="E75" s="1077">
        <f t="shared" si="10"/>
        <v>2023</v>
      </c>
      <c r="F75" s="789">
        <v>47900000</v>
      </c>
      <c r="G75" s="119"/>
      <c r="J75" s="138"/>
      <c r="K75" s="138"/>
      <c r="L75" s="138"/>
      <c r="M75" s="138"/>
    </row>
    <row r="76" spans="1:19">
      <c r="A76" s="441">
        <f t="shared" si="9"/>
        <v>67</v>
      </c>
      <c r="C76" s="790" t="s">
        <v>152</v>
      </c>
      <c r="D76" s="121" t="s">
        <v>150</v>
      </c>
      <c r="E76" s="1077">
        <f t="shared" si="10"/>
        <v>2023</v>
      </c>
      <c r="F76" s="789">
        <v>54417000</v>
      </c>
      <c r="G76" s="119"/>
      <c r="J76" s="138"/>
      <c r="K76" s="138"/>
      <c r="L76" s="138"/>
      <c r="M76" s="138"/>
    </row>
    <row r="77" spans="1:19">
      <c r="A77" s="441">
        <f t="shared" si="9"/>
        <v>68</v>
      </c>
      <c r="C77" s="790" t="s">
        <v>151</v>
      </c>
      <c r="D77" s="121" t="s">
        <v>150</v>
      </c>
      <c r="E77" s="1077">
        <f t="shared" si="10"/>
        <v>2023</v>
      </c>
      <c r="F77" s="789">
        <v>54453000</v>
      </c>
      <c r="G77" s="119"/>
      <c r="J77" s="138"/>
      <c r="K77" s="138"/>
      <c r="L77" s="138"/>
      <c r="M77" s="138"/>
    </row>
    <row r="78" spans="1:19">
      <c r="A78" s="441">
        <f t="shared" si="9"/>
        <v>69</v>
      </c>
      <c r="C78" s="790" t="s">
        <v>149</v>
      </c>
      <c r="D78" s="438" t="s">
        <v>996</v>
      </c>
      <c r="E78" s="1077">
        <f t="shared" si="10"/>
        <v>2023</v>
      </c>
      <c r="F78" s="789">
        <v>54854000</v>
      </c>
      <c r="G78" s="119"/>
      <c r="J78" s="138"/>
      <c r="K78" s="138"/>
      <c r="L78" s="138"/>
      <c r="M78" s="138"/>
    </row>
    <row r="79" spans="1:19">
      <c r="A79" s="441">
        <f t="shared" si="9"/>
        <v>70</v>
      </c>
      <c r="C79" s="790" t="s">
        <v>907</v>
      </c>
      <c r="D79" s="121" t="s">
        <v>150</v>
      </c>
      <c r="E79" s="1077">
        <f t="shared" si="10"/>
        <v>2024</v>
      </c>
      <c r="F79" s="789">
        <v>55023000</v>
      </c>
      <c r="G79" s="119"/>
      <c r="J79" s="138"/>
      <c r="K79" s="138"/>
      <c r="L79" s="138"/>
      <c r="M79" s="138"/>
    </row>
    <row r="80" spans="1:19">
      <c r="A80" s="441">
        <f t="shared" si="9"/>
        <v>71</v>
      </c>
      <c r="C80" s="790" t="s">
        <v>157</v>
      </c>
      <c r="D80" s="121" t="s">
        <v>150</v>
      </c>
      <c r="E80" s="1077">
        <f t="shared" si="10"/>
        <v>2024</v>
      </c>
      <c r="F80" s="789">
        <v>55023000</v>
      </c>
      <c r="G80" s="119"/>
      <c r="J80" s="138"/>
      <c r="K80" s="138"/>
      <c r="L80" s="138"/>
      <c r="M80" s="138"/>
    </row>
    <row r="81" spans="1:19">
      <c r="A81" s="441">
        <f t="shared" si="9"/>
        <v>72</v>
      </c>
      <c r="C81" s="790" t="s">
        <v>156</v>
      </c>
      <c r="D81" s="438" t="s">
        <v>996</v>
      </c>
      <c r="E81" s="1077">
        <f t="shared" si="10"/>
        <v>2024</v>
      </c>
      <c r="F81" s="789">
        <v>55031000</v>
      </c>
      <c r="G81" s="119"/>
      <c r="J81" s="138"/>
      <c r="K81" s="138"/>
      <c r="L81" s="138"/>
      <c r="M81" s="138"/>
    </row>
    <row r="82" spans="1:19">
      <c r="A82" s="441">
        <f t="shared" si="9"/>
        <v>73</v>
      </c>
      <c r="C82" s="790" t="s">
        <v>141</v>
      </c>
      <c r="D82" s="121" t="s">
        <v>150</v>
      </c>
      <c r="E82" s="1077">
        <f t="shared" si="10"/>
        <v>2024</v>
      </c>
      <c r="F82" s="789">
        <v>55084000</v>
      </c>
      <c r="G82" s="119"/>
      <c r="J82" s="138"/>
      <c r="K82" s="138"/>
      <c r="L82" s="138"/>
      <c r="M82" s="138"/>
    </row>
    <row r="83" spans="1:19">
      <c r="A83" s="441">
        <f t="shared" si="9"/>
        <v>74</v>
      </c>
      <c r="C83" s="790" t="s">
        <v>138</v>
      </c>
      <c r="D83" s="121" t="s">
        <v>150</v>
      </c>
      <c r="E83" s="1077">
        <f t="shared" si="10"/>
        <v>2024</v>
      </c>
      <c r="F83" s="789">
        <v>55084000</v>
      </c>
      <c r="G83" s="119"/>
      <c r="H83" s="614"/>
    </row>
    <row r="84" spans="1:19">
      <c r="A84" s="441">
        <f t="shared" si="9"/>
        <v>75</v>
      </c>
      <c r="C84" s="791" t="s">
        <v>167</v>
      </c>
      <c r="D84" s="121" t="str">
        <f>"(sum lines "&amp;A71&amp;"-"&amp;A83&amp;") /13"</f>
        <v>(sum lines 62-74) /13</v>
      </c>
      <c r="E84" s="792"/>
      <c r="F84" s="793">
        <f>SUM(F71:F83)/13</f>
        <v>52170461.538461536</v>
      </c>
      <c r="G84" s="530"/>
      <c r="I84" s="201"/>
      <c r="J84" s="138"/>
      <c r="K84" s="138"/>
      <c r="L84" s="138"/>
      <c r="M84" s="138"/>
    </row>
    <row r="85" spans="1:19">
      <c r="A85" s="441"/>
      <c r="C85" s="790"/>
      <c r="E85" s="794"/>
      <c r="F85" s="795"/>
      <c r="G85" s="200"/>
      <c r="H85" s="613"/>
      <c r="I85" s="139"/>
      <c r="J85" s="138"/>
      <c r="K85" s="138"/>
      <c r="L85" s="138"/>
      <c r="M85" s="138"/>
    </row>
    <row r="86" spans="1:19">
      <c r="A86" s="441">
        <f>+A84+1</f>
        <v>76</v>
      </c>
      <c r="C86" s="442" t="s">
        <v>189</v>
      </c>
      <c r="D86" s="438" t="str">
        <f>"(sum lines "&amp;A20&amp;", "&amp;A36&amp;", "&amp;A52&amp;", "&amp;A68&amp;", &amp; "&amp;A84&amp;")"</f>
        <v>(sum lines 15, 30, 45, 60, &amp; 75)</v>
      </c>
      <c r="E86" s="792"/>
      <c r="F86" s="799">
        <f>F20+F36+F52+F68+F84</f>
        <v>1672019725.153846</v>
      </c>
      <c r="G86" s="140"/>
      <c r="H86" s="615"/>
      <c r="I86" s="201"/>
    </row>
    <row r="87" spans="1:19" ht="16.2" thickBot="1">
      <c r="A87" s="800"/>
      <c r="B87" s="801"/>
      <c r="C87" s="802"/>
      <c r="D87" s="161"/>
      <c r="E87" s="803"/>
      <c r="F87" s="804"/>
      <c r="G87" s="140"/>
      <c r="H87" s="613"/>
      <c r="I87" s="124"/>
      <c r="J87" s="138"/>
      <c r="K87" s="138"/>
      <c r="L87" s="138"/>
      <c r="M87" s="138"/>
    </row>
    <row r="88" spans="1:19">
      <c r="A88" s="441"/>
      <c r="B88" s="439"/>
      <c r="C88" s="790"/>
      <c r="E88" s="794"/>
      <c r="F88" s="795"/>
      <c r="G88" s="140"/>
      <c r="H88" s="613"/>
      <c r="I88" s="124"/>
      <c r="J88" s="138"/>
      <c r="K88" s="138"/>
      <c r="L88" s="138"/>
      <c r="M88" s="138"/>
    </row>
    <row r="89" spans="1:19" ht="7.5" customHeight="1">
      <c r="A89" s="441"/>
      <c r="B89" s="439"/>
      <c r="C89" s="790"/>
      <c r="E89" s="794"/>
      <c r="F89" s="795"/>
      <c r="G89" s="200"/>
      <c r="H89" s="613"/>
      <c r="I89" s="124"/>
      <c r="J89" s="138"/>
      <c r="K89" s="138"/>
      <c r="L89" s="138"/>
      <c r="M89" s="138"/>
    </row>
    <row r="90" spans="1:19" ht="16.2" thickBot="1">
      <c r="A90" s="805" t="s">
        <v>166</v>
      </c>
      <c r="F90" s="444"/>
    </row>
    <row r="91" spans="1:19">
      <c r="A91" s="1162" t="s">
        <v>279</v>
      </c>
      <c r="B91" s="1163"/>
      <c r="C91" s="1163"/>
      <c r="D91" s="1163"/>
      <c r="E91" s="1163"/>
      <c r="F91" s="1164"/>
      <c r="G91" s="1075"/>
      <c r="H91" s="1076"/>
      <c r="I91" s="1075"/>
      <c r="J91" s="1160"/>
      <c r="K91" s="1161"/>
      <c r="L91" s="1161"/>
      <c r="M91" s="1161"/>
    </row>
    <row r="92" spans="1:19">
      <c r="A92" s="441">
        <f>+A86+1</f>
        <v>77</v>
      </c>
      <c r="C92" s="442" t="s">
        <v>165</v>
      </c>
      <c r="D92" s="121" t="s">
        <v>778</v>
      </c>
      <c r="E92" s="439" t="s">
        <v>142</v>
      </c>
      <c r="F92" s="788" t="s">
        <v>137</v>
      </c>
      <c r="G92" s="163"/>
      <c r="J92" s="138"/>
      <c r="K92" s="138"/>
      <c r="L92" s="138"/>
      <c r="M92" s="138"/>
    </row>
    <row r="93" spans="1:19">
      <c r="A93" s="441">
        <f t="shared" ref="A93:A106" si="11">+A92+1</f>
        <v>78</v>
      </c>
      <c r="C93" s="972" t="s">
        <v>138</v>
      </c>
      <c r="D93" s="121" t="s">
        <v>150</v>
      </c>
      <c r="E93" s="1077">
        <f>+E7</f>
        <v>2023</v>
      </c>
      <c r="F93" s="789">
        <v>106651800.26924999</v>
      </c>
      <c r="G93" s="200"/>
      <c r="H93" s="613"/>
      <c r="I93" s="139"/>
      <c r="J93" s="138"/>
      <c r="K93" s="138"/>
      <c r="L93" s="138"/>
      <c r="M93" s="138"/>
    </row>
    <row r="94" spans="1:19">
      <c r="A94" s="441">
        <f t="shared" si="11"/>
        <v>79</v>
      </c>
      <c r="C94" s="790" t="s">
        <v>254</v>
      </c>
      <c r="D94" s="438" t="s">
        <v>997</v>
      </c>
      <c r="E94" s="1077">
        <f t="shared" ref="E94:E105" si="12">+E8</f>
        <v>2023</v>
      </c>
      <c r="F94" s="789">
        <v>106745853.023284</v>
      </c>
      <c r="G94" s="200"/>
      <c r="H94" s="141"/>
      <c r="I94" s="141"/>
      <c r="J94" s="141"/>
      <c r="K94" s="141"/>
      <c r="L94" s="141"/>
      <c r="M94" s="141"/>
      <c r="N94" s="141"/>
      <c r="O94" s="141"/>
      <c r="P94" s="141"/>
      <c r="Q94" s="141"/>
      <c r="R94" s="141"/>
      <c r="S94" s="141"/>
    </row>
    <row r="95" spans="1:19">
      <c r="A95" s="441">
        <f t="shared" si="11"/>
        <v>80</v>
      </c>
      <c r="B95" s="439"/>
      <c r="C95" s="790" t="s">
        <v>155</v>
      </c>
      <c r="D95" s="121" t="s">
        <v>150</v>
      </c>
      <c r="E95" s="1077">
        <f t="shared" si="12"/>
        <v>2023</v>
      </c>
      <c r="F95" s="789">
        <v>107291983.02328399</v>
      </c>
      <c r="G95" s="613"/>
      <c r="H95" s="613"/>
      <c r="I95" s="124"/>
      <c r="J95" s="138"/>
      <c r="K95" s="138"/>
      <c r="L95" s="138"/>
      <c r="M95" s="138"/>
    </row>
    <row r="96" spans="1:19">
      <c r="A96" s="441">
        <f t="shared" si="11"/>
        <v>81</v>
      </c>
      <c r="B96" s="439"/>
      <c r="C96" s="790" t="s">
        <v>154</v>
      </c>
      <c r="D96" s="121" t="s">
        <v>150</v>
      </c>
      <c r="E96" s="1077">
        <f t="shared" si="12"/>
        <v>2023</v>
      </c>
      <c r="F96" s="789">
        <v>107709983.02328399</v>
      </c>
      <c r="G96" s="139"/>
      <c r="H96" s="613"/>
      <c r="I96" s="124"/>
      <c r="J96" s="138"/>
      <c r="K96" s="138"/>
      <c r="L96" s="138"/>
      <c r="M96" s="138"/>
    </row>
    <row r="97" spans="1:19">
      <c r="A97" s="441">
        <f t="shared" si="11"/>
        <v>82</v>
      </c>
      <c r="C97" s="790" t="s">
        <v>153</v>
      </c>
      <c r="D97" s="438" t="s">
        <v>997</v>
      </c>
      <c r="E97" s="1077">
        <f t="shared" si="12"/>
        <v>2023</v>
      </c>
      <c r="F97" s="789">
        <v>108596263.02328399</v>
      </c>
      <c r="G97" s="138"/>
      <c r="H97" s="613"/>
      <c r="I97" s="124"/>
      <c r="J97" s="138"/>
      <c r="K97" s="138"/>
      <c r="L97" s="138"/>
      <c r="M97" s="138"/>
    </row>
    <row r="98" spans="1:19">
      <c r="A98" s="441">
        <f t="shared" si="11"/>
        <v>83</v>
      </c>
      <c r="C98" s="790" t="s">
        <v>152</v>
      </c>
      <c r="D98" s="121" t="s">
        <v>150</v>
      </c>
      <c r="E98" s="1077">
        <f t="shared" si="12"/>
        <v>2023</v>
      </c>
      <c r="F98" s="789">
        <v>109039773.023284</v>
      </c>
      <c r="G98" s="138"/>
    </row>
    <row r="99" spans="1:19">
      <c r="A99" s="441">
        <f t="shared" si="11"/>
        <v>84</v>
      </c>
      <c r="C99" s="790" t="s">
        <v>151</v>
      </c>
      <c r="D99" s="121" t="s">
        <v>150</v>
      </c>
      <c r="E99" s="1077">
        <f t="shared" si="12"/>
        <v>2023</v>
      </c>
      <c r="F99" s="789">
        <v>108760693.023284</v>
      </c>
      <c r="G99" s="138"/>
      <c r="H99" s="613"/>
      <c r="I99" s="139"/>
      <c r="J99" s="138"/>
      <c r="K99" s="138"/>
      <c r="L99" s="138"/>
      <c r="M99" s="138"/>
    </row>
    <row r="100" spans="1:19">
      <c r="A100" s="441">
        <f t="shared" si="11"/>
        <v>85</v>
      </c>
      <c r="C100" s="790" t="s">
        <v>149</v>
      </c>
      <c r="D100" s="438" t="s">
        <v>997</v>
      </c>
      <c r="E100" s="1077">
        <f t="shared" si="12"/>
        <v>2023</v>
      </c>
      <c r="F100" s="789">
        <v>107902633.023284</v>
      </c>
      <c r="G100" s="138"/>
      <c r="J100" s="138"/>
      <c r="K100" s="138"/>
      <c r="L100" s="138"/>
      <c r="M100" s="138"/>
    </row>
    <row r="101" spans="1:19">
      <c r="A101" s="441">
        <f t="shared" si="11"/>
        <v>86</v>
      </c>
      <c r="B101" s="439"/>
      <c r="C101" s="790" t="s">
        <v>907</v>
      </c>
      <c r="D101" s="121" t="s">
        <v>150</v>
      </c>
      <c r="E101" s="1077">
        <f t="shared" si="12"/>
        <v>2024</v>
      </c>
      <c r="F101" s="789">
        <v>108546086.90537299</v>
      </c>
      <c r="H101" s="613"/>
      <c r="I101" s="124"/>
      <c r="J101" s="138"/>
      <c r="K101" s="138"/>
      <c r="L101" s="138"/>
      <c r="M101" s="138"/>
    </row>
    <row r="102" spans="1:19">
      <c r="A102" s="441">
        <f t="shared" si="11"/>
        <v>87</v>
      </c>
      <c r="B102" s="439"/>
      <c r="C102" s="790" t="s">
        <v>157</v>
      </c>
      <c r="D102" s="121" t="s">
        <v>150</v>
      </c>
      <c r="E102" s="1077">
        <f t="shared" si="12"/>
        <v>2024</v>
      </c>
      <c r="F102" s="789">
        <v>109448926.90537299</v>
      </c>
      <c r="H102" s="613"/>
      <c r="I102" s="124"/>
      <c r="J102" s="138"/>
      <c r="K102" s="138"/>
      <c r="L102" s="138"/>
      <c r="M102" s="138"/>
    </row>
    <row r="103" spans="1:19">
      <c r="A103" s="441">
        <f t="shared" si="11"/>
        <v>88</v>
      </c>
      <c r="C103" s="790" t="s">
        <v>156</v>
      </c>
      <c r="D103" s="438" t="s">
        <v>997</v>
      </c>
      <c r="E103" s="1077">
        <f t="shared" si="12"/>
        <v>2024</v>
      </c>
      <c r="F103" s="789">
        <v>110398106.90537301</v>
      </c>
      <c r="H103" s="613"/>
      <c r="I103" s="124"/>
      <c r="J103" s="138"/>
      <c r="K103" s="138"/>
      <c r="L103" s="138"/>
      <c r="M103" s="138"/>
    </row>
    <row r="104" spans="1:19">
      <c r="A104" s="441">
        <f t="shared" si="11"/>
        <v>89</v>
      </c>
      <c r="C104" s="790" t="s">
        <v>141</v>
      </c>
      <c r="D104" s="121" t="s">
        <v>150</v>
      </c>
      <c r="E104" s="1077">
        <f t="shared" si="12"/>
        <v>2024</v>
      </c>
      <c r="F104" s="789">
        <v>110952126.90537301</v>
      </c>
      <c r="H104" s="613"/>
      <c r="I104" s="124"/>
      <c r="J104" s="138"/>
      <c r="K104" s="138"/>
      <c r="L104" s="138"/>
      <c r="M104" s="138"/>
    </row>
    <row r="105" spans="1:19">
      <c r="A105" s="441">
        <f t="shared" si="11"/>
        <v>90</v>
      </c>
      <c r="C105" s="790" t="s">
        <v>138</v>
      </c>
      <c r="D105" s="121" t="s">
        <v>150</v>
      </c>
      <c r="E105" s="1077">
        <f t="shared" si="12"/>
        <v>2024</v>
      </c>
      <c r="F105" s="789">
        <v>111340536.90537301</v>
      </c>
    </row>
    <row r="106" spans="1:19">
      <c r="A106" s="441">
        <f t="shared" si="11"/>
        <v>91</v>
      </c>
      <c r="C106" s="791" t="s">
        <v>163</v>
      </c>
      <c r="D106" s="121" t="str">
        <f>"(sum lines "&amp;A93&amp;"-"&amp;A105&amp;") /13"</f>
        <v>(sum lines 78-90) /13</v>
      </c>
      <c r="E106" s="796"/>
      <c r="F106" s="793">
        <f>SUM(F93:F105)/13</f>
        <v>108721905.07377717</v>
      </c>
      <c r="J106" s="138"/>
      <c r="K106" s="138"/>
      <c r="L106" s="138"/>
      <c r="M106" s="138"/>
    </row>
    <row r="107" spans="1:19">
      <c r="A107" s="441"/>
      <c r="B107" s="439"/>
      <c r="C107" s="790"/>
      <c r="E107" s="796"/>
      <c r="F107" s="795"/>
      <c r="G107" s="200"/>
      <c r="H107" s="613"/>
      <c r="I107" s="124"/>
      <c r="J107" s="138"/>
      <c r="K107" s="138"/>
      <c r="L107" s="138"/>
      <c r="M107" s="138"/>
    </row>
    <row r="108" spans="1:19">
      <c r="A108" s="441">
        <f>+A106+1</f>
        <v>92</v>
      </c>
      <c r="C108" s="442" t="s">
        <v>162</v>
      </c>
      <c r="D108" s="121" t="s">
        <v>778</v>
      </c>
      <c r="E108" s="712"/>
      <c r="F108" s="444"/>
      <c r="J108" s="138"/>
      <c r="K108" s="138"/>
      <c r="L108" s="138"/>
      <c r="M108" s="138"/>
    </row>
    <row r="109" spans="1:19">
      <c r="A109" s="441">
        <f t="shared" ref="A109:A122" si="13">+A108+1</f>
        <v>93</v>
      </c>
      <c r="C109" s="972" t="s">
        <v>138</v>
      </c>
      <c r="D109" s="121" t="s">
        <v>150</v>
      </c>
      <c r="E109" s="1077">
        <f>+E7</f>
        <v>2023</v>
      </c>
      <c r="F109" s="789">
        <v>285723790</v>
      </c>
      <c r="G109" s="200"/>
      <c r="H109" s="613"/>
      <c r="I109" s="139"/>
      <c r="J109" s="138"/>
      <c r="K109" s="138"/>
      <c r="L109" s="138"/>
      <c r="M109" s="138"/>
    </row>
    <row r="110" spans="1:19">
      <c r="A110" s="441">
        <f t="shared" si="13"/>
        <v>94</v>
      </c>
      <c r="C110" s="790" t="s">
        <v>254</v>
      </c>
      <c r="D110" s="438" t="s">
        <v>998</v>
      </c>
      <c r="E110" s="1077">
        <f t="shared" ref="E110:E121" si="14">+E8</f>
        <v>2023</v>
      </c>
      <c r="F110" s="789">
        <v>286662860</v>
      </c>
      <c r="G110" s="200"/>
      <c r="J110" s="138"/>
      <c r="K110" s="138"/>
      <c r="L110" s="138"/>
      <c r="M110" s="138"/>
    </row>
    <row r="111" spans="1:19">
      <c r="A111" s="441">
        <f t="shared" si="13"/>
        <v>95</v>
      </c>
      <c r="B111" s="439"/>
      <c r="C111" s="790" t="s">
        <v>155</v>
      </c>
      <c r="D111" s="121" t="s">
        <v>150</v>
      </c>
      <c r="E111" s="1077">
        <f t="shared" si="14"/>
        <v>2023</v>
      </c>
      <c r="F111" s="789">
        <v>287637730</v>
      </c>
      <c r="G111" s="613"/>
      <c r="H111" s="613"/>
      <c r="I111" s="124"/>
      <c r="J111" s="138"/>
      <c r="K111" s="138"/>
      <c r="L111" s="138"/>
      <c r="M111" s="138"/>
    </row>
    <row r="112" spans="1:19">
      <c r="A112" s="441">
        <f t="shared" si="13"/>
        <v>96</v>
      </c>
      <c r="B112" s="439"/>
      <c r="C112" s="790" t="s">
        <v>154</v>
      </c>
      <c r="D112" s="121" t="s">
        <v>150</v>
      </c>
      <c r="E112" s="1077">
        <f t="shared" si="14"/>
        <v>2023</v>
      </c>
      <c r="F112" s="789">
        <v>288327730</v>
      </c>
      <c r="G112" s="139"/>
      <c r="H112" s="200"/>
      <c r="I112" s="200"/>
      <c r="J112" s="200"/>
      <c r="K112" s="200"/>
      <c r="L112" s="200"/>
      <c r="M112" s="200"/>
      <c r="N112" s="200"/>
      <c r="O112" s="200"/>
      <c r="P112" s="200"/>
      <c r="Q112" s="200"/>
      <c r="R112" s="200"/>
      <c r="S112" s="200"/>
    </row>
    <row r="113" spans="1:19">
      <c r="A113" s="441">
        <f t="shared" si="13"/>
        <v>97</v>
      </c>
      <c r="C113" s="790" t="s">
        <v>153</v>
      </c>
      <c r="D113" s="438" t="s">
        <v>998</v>
      </c>
      <c r="E113" s="1077">
        <f t="shared" si="14"/>
        <v>2023</v>
      </c>
      <c r="F113" s="789">
        <v>289403450</v>
      </c>
      <c r="G113" s="138"/>
      <c r="H113" s="200"/>
      <c r="I113" s="200"/>
      <c r="J113" s="200"/>
      <c r="K113" s="200"/>
      <c r="L113" s="200"/>
      <c r="M113" s="200"/>
      <c r="N113" s="200"/>
      <c r="O113" s="200"/>
      <c r="P113" s="200"/>
      <c r="Q113" s="200"/>
      <c r="R113" s="200"/>
      <c r="S113" s="200"/>
    </row>
    <row r="114" spans="1:19">
      <c r="A114" s="441">
        <f t="shared" si="13"/>
        <v>98</v>
      </c>
      <c r="C114" s="790" t="s">
        <v>152</v>
      </c>
      <c r="D114" s="121" t="s">
        <v>150</v>
      </c>
      <c r="E114" s="1077">
        <f t="shared" si="14"/>
        <v>2023</v>
      </c>
      <c r="F114" s="789">
        <v>289829940</v>
      </c>
      <c r="G114" s="138"/>
    </row>
    <row r="115" spans="1:19">
      <c r="A115" s="441">
        <f t="shared" si="13"/>
        <v>99</v>
      </c>
      <c r="C115" s="790" t="s">
        <v>151</v>
      </c>
      <c r="D115" s="121" t="s">
        <v>150</v>
      </c>
      <c r="E115" s="1077">
        <f t="shared" si="14"/>
        <v>2023</v>
      </c>
      <c r="F115" s="789">
        <v>290141020</v>
      </c>
      <c r="G115" s="138"/>
      <c r="H115" s="613"/>
      <c r="I115" s="139"/>
      <c r="J115" s="138"/>
      <c r="K115" s="138"/>
      <c r="L115" s="138"/>
      <c r="M115" s="138"/>
    </row>
    <row r="116" spans="1:19">
      <c r="A116" s="441">
        <f t="shared" si="13"/>
        <v>100</v>
      </c>
      <c r="C116" s="790" t="s">
        <v>149</v>
      </c>
      <c r="D116" s="438" t="s">
        <v>998</v>
      </c>
      <c r="E116" s="1077">
        <f t="shared" si="14"/>
        <v>2023</v>
      </c>
      <c r="F116" s="789">
        <v>288181080</v>
      </c>
      <c r="G116" s="138"/>
      <c r="J116" s="138"/>
      <c r="K116" s="138"/>
      <c r="L116" s="138"/>
      <c r="M116" s="138"/>
    </row>
    <row r="117" spans="1:19">
      <c r="A117" s="441">
        <f t="shared" si="13"/>
        <v>101</v>
      </c>
      <c r="B117" s="439"/>
      <c r="C117" s="790" t="s">
        <v>907</v>
      </c>
      <c r="D117" s="121" t="s">
        <v>150</v>
      </c>
      <c r="E117" s="1077">
        <f t="shared" si="14"/>
        <v>2024</v>
      </c>
      <c r="F117" s="789">
        <v>289272010</v>
      </c>
      <c r="H117" s="613"/>
      <c r="I117" s="124"/>
      <c r="J117" s="138"/>
      <c r="K117" s="138"/>
      <c r="L117" s="138"/>
      <c r="M117" s="138"/>
    </row>
    <row r="118" spans="1:19">
      <c r="A118" s="441">
        <f t="shared" si="13"/>
        <v>102</v>
      </c>
      <c r="B118" s="439"/>
      <c r="C118" s="790" t="s">
        <v>157</v>
      </c>
      <c r="D118" s="121" t="s">
        <v>150</v>
      </c>
      <c r="E118" s="1077">
        <f t="shared" si="14"/>
        <v>2024</v>
      </c>
      <c r="F118" s="789">
        <v>290817170</v>
      </c>
      <c r="H118" s="613"/>
      <c r="I118" s="124"/>
      <c r="J118" s="138"/>
      <c r="K118" s="138"/>
      <c r="L118" s="138"/>
      <c r="M118" s="138"/>
    </row>
    <row r="119" spans="1:19">
      <c r="A119" s="441">
        <f t="shared" si="13"/>
        <v>103</v>
      </c>
      <c r="C119" s="790" t="s">
        <v>156</v>
      </c>
      <c r="D119" s="438" t="s">
        <v>998</v>
      </c>
      <c r="E119" s="1077">
        <f t="shared" si="14"/>
        <v>2024</v>
      </c>
      <c r="F119" s="789">
        <v>292210990</v>
      </c>
      <c r="H119" s="613"/>
      <c r="I119" s="124"/>
      <c r="J119" s="138"/>
      <c r="K119" s="138"/>
      <c r="L119" s="138"/>
      <c r="M119" s="138"/>
    </row>
    <row r="120" spans="1:19">
      <c r="A120" s="441">
        <f t="shared" si="13"/>
        <v>104</v>
      </c>
      <c r="C120" s="790" t="s">
        <v>141</v>
      </c>
      <c r="D120" s="121" t="s">
        <v>150</v>
      </c>
      <c r="E120" s="1077">
        <f t="shared" si="14"/>
        <v>2024</v>
      </c>
      <c r="F120" s="789">
        <v>292862970</v>
      </c>
      <c r="H120" s="613"/>
      <c r="I120" s="124"/>
      <c r="J120" s="138"/>
      <c r="K120" s="138"/>
      <c r="L120" s="138"/>
      <c r="M120" s="138"/>
    </row>
    <row r="121" spans="1:19">
      <c r="A121" s="441">
        <f t="shared" si="13"/>
        <v>105</v>
      </c>
      <c r="C121" s="790" t="s">
        <v>138</v>
      </c>
      <c r="D121" s="121" t="s">
        <v>150</v>
      </c>
      <c r="E121" s="1077">
        <f t="shared" si="14"/>
        <v>2024</v>
      </c>
      <c r="F121" s="789">
        <v>293464560</v>
      </c>
    </row>
    <row r="122" spans="1:19">
      <c r="A122" s="441">
        <f t="shared" si="13"/>
        <v>106</v>
      </c>
      <c r="C122" s="791" t="s">
        <v>161</v>
      </c>
      <c r="D122" s="121" t="str">
        <f>"(sum lines "&amp;A109&amp;"-"&amp;A121&amp;") /13"</f>
        <v>(sum lines 93-105) /13</v>
      </c>
      <c r="E122" s="796"/>
      <c r="F122" s="793">
        <f>SUM(F109:F121)/13</f>
        <v>289579638.46153843</v>
      </c>
      <c r="J122" s="138"/>
      <c r="K122" s="138"/>
      <c r="L122" s="138"/>
      <c r="M122" s="138"/>
    </row>
    <row r="123" spans="1:19">
      <c r="A123" s="441"/>
      <c r="B123" s="439"/>
      <c r="C123" s="790"/>
      <c r="E123" s="796"/>
      <c r="F123" s="795"/>
      <c r="G123" s="200"/>
      <c r="H123" s="613"/>
      <c r="I123" s="124"/>
      <c r="J123" s="138"/>
      <c r="K123" s="138"/>
      <c r="L123" s="138"/>
      <c r="M123" s="138"/>
    </row>
    <row r="124" spans="1:19">
      <c r="A124" s="441">
        <f>+A122+1</f>
        <v>107</v>
      </c>
      <c r="C124" s="442" t="s">
        <v>662</v>
      </c>
      <c r="D124" s="121" t="s">
        <v>778</v>
      </c>
      <c r="E124" s="712"/>
      <c r="F124" s="444"/>
      <c r="J124" s="138"/>
      <c r="K124" s="138"/>
      <c r="L124" s="138"/>
      <c r="M124" s="138"/>
    </row>
    <row r="125" spans="1:19">
      <c r="A125" s="441">
        <f>+A124+1</f>
        <v>108</v>
      </c>
      <c r="C125" s="972" t="s">
        <v>138</v>
      </c>
      <c r="D125" s="121" t="s">
        <v>150</v>
      </c>
      <c r="E125" s="1077">
        <f>+E7</f>
        <v>2023</v>
      </c>
      <c r="F125" s="789">
        <v>10351125</v>
      </c>
      <c r="G125" s="200"/>
      <c r="H125" s="613"/>
      <c r="I125" s="139"/>
      <c r="J125" s="138"/>
      <c r="K125" s="138"/>
      <c r="L125" s="138"/>
      <c r="M125" s="138"/>
    </row>
    <row r="126" spans="1:19">
      <c r="A126" s="441">
        <f t="shared" ref="A126:A137" si="15">+A125+1</f>
        <v>109</v>
      </c>
      <c r="C126" s="790" t="s">
        <v>254</v>
      </c>
      <c r="D126" s="121" t="s">
        <v>150</v>
      </c>
      <c r="E126" s="1077">
        <f t="shared" ref="E126:E137" si="16">+E8</f>
        <v>2023</v>
      </c>
      <c r="F126" s="789">
        <v>10372097</v>
      </c>
      <c r="G126" s="200"/>
      <c r="H126" s="613"/>
      <c r="I126" s="139"/>
      <c r="J126" s="138"/>
      <c r="K126" s="138"/>
      <c r="L126" s="138"/>
      <c r="M126" s="138"/>
    </row>
    <row r="127" spans="1:19">
      <c r="A127" s="441">
        <f t="shared" si="15"/>
        <v>110</v>
      </c>
      <c r="C127" s="790" t="s">
        <v>155</v>
      </c>
      <c r="D127" s="121" t="s">
        <v>150</v>
      </c>
      <c r="E127" s="1077">
        <f t="shared" si="16"/>
        <v>2023</v>
      </c>
      <c r="F127" s="789">
        <v>10393069</v>
      </c>
      <c r="G127" s="613"/>
      <c r="H127" s="613"/>
      <c r="I127" s="139"/>
      <c r="J127" s="138"/>
      <c r="K127" s="138"/>
      <c r="L127" s="138"/>
      <c r="M127" s="138"/>
    </row>
    <row r="128" spans="1:19">
      <c r="A128" s="441">
        <f t="shared" si="15"/>
        <v>111</v>
      </c>
      <c r="C128" s="790" t="s">
        <v>154</v>
      </c>
      <c r="D128" s="121" t="s">
        <v>150</v>
      </c>
      <c r="E128" s="1077">
        <f t="shared" si="16"/>
        <v>2023</v>
      </c>
      <c r="F128" s="789">
        <v>10414041</v>
      </c>
      <c r="G128" s="139"/>
      <c r="H128" s="613"/>
      <c r="I128" s="139"/>
      <c r="J128" s="138"/>
      <c r="K128" s="138"/>
      <c r="L128" s="138"/>
      <c r="M128" s="138"/>
    </row>
    <row r="129" spans="1:19">
      <c r="A129" s="441">
        <f t="shared" si="15"/>
        <v>112</v>
      </c>
      <c r="C129" s="790" t="s">
        <v>153</v>
      </c>
      <c r="D129" s="121" t="s">
        <v>150</v>
      </c>
      <c r="E129" s="1077">
        <f t="shared" si="16"/>
        <v>2023</v>
      </c>
      <c r="F129" s="789">
        <v>10435013</v>
      </c>
      <c r="G129" s="138"/>
      <c r="H129" s="613"/>
      <c r="I129" s="139"/>
      <c r="J129" s="138"/>
      <c r="K129" s="138"/>
      <c r="L129" s="138"/>
      <c r="M129" s="138"/>
    </row>
    <row r="130" spans="1:19">
      <c r="A130" s="441">
        <f t="shared" si="15"/>
        <v>113</v>
      </c>
      <c r="C130" s="790" t="s">
        <v>152</v>
      </c>
      <c r="D130" s="121" t="s">
        <v>150</v>
      </c>
      <c r="E130" s="1077">
        <f t="shared" si="16"/>
        <v>2023</v>
      </c>
      <c r="F130" s="789">
        <v>10455985</v>
      </c>
      <c r="G130" s="138"/>
      <c r="H130" s="613"/>
      <c r="I130" s="139"/>
      <c r="J130" s="138"/>
      <c r="K130" s="138"/>
      <c r="L130" s="138"/>
      <c r="M130" s="138"/>
    </row>
    <row r="131" spans="1:19">
      <c r="A131" s="441">
        <f t="shared" si="15"/>
        <v>114</v>
      </c>
      <c r="C131" s="790" t="s">
        <v>151</v>
      </c>
      <c r="D131" s="121" t="s">
        <v>150</v>
      </c>
      <c r="E131" s="1077">
        <f t="shared" si="16"/>
        <v>2023</v>
      </c>
      <c r="F131" s="789">
        <v>10476957</v>
      </c>
      <c r="G131" s="138"/>
      <c r="H131" s="613"/>
      <c r="I131" s="139"/>
      <c r="J131" s="138"/>
      <c r="K131" s="138"/>
      <c r="L131" s="138"/>
      <c r="M131" s="138"/>
    </row>
    <row r="132" spans="1:19">
      <c r="A132" s="441">
        <f t="shared" si="15"/>
        <v>115</v>
      </c>
      <c r="C132" s="790" t="s">
        <v>149</v>
      </c>
      <c r="D132" s="121" t="s">
        <v>150</v>
      </c>
      <c r="E132" s="1077">
        <f t="shared" si="16"/>
        <v>2023</v>
      </c>
      <c r="F132" s="789">
        <v>10497929</v>
      </c>
      <c r="G132" s="138"/>
      <c r="H132" s="613"/>
      <c r="I132" s="139"/>
      <c r="J132" s="138"/>
      <c r="K132" s="138"/>
      <c r="L132" s="138"/>
      <c r="M132" s="138"/>
    </row>
    <row r="133" spans="1:19">
      <c r="A133" s="441">
        <f t="shared" si="15"/>
        <v>116</v>
      </c>
      <c r="C133" s="790" t="s">
        <v>907</v>
      </c>
      <c r="D133" s="121" t="s">
        <v>150</v>
      </c>
      <c r="E133" s="1077">
        <f t="shared" si="16"/>
        <v>2024</v>
      </c>
      <c r="F133" s="789">
        <v>10518901</v>
      </c>
      <c r="H133" s="613"/>
      <c r="I133" s="139"/>
      <c r="J133" s="138"/>
      <c r="K133" s="138"/>
      <c r="L133" s="138"/>
      <c r="M133" s="138"/>
    </row>
    <row r="134" spans="1:19">
      <c r="A134" s="441">
        <f t="shared" si="15"/>
        <v>117</v>
      </c>
      <c r="C134" s="790" t="s">
        <v>157</v>
      </c>
      <c r="D134" s="121" t="s">
        <v>150</v>
      </c>
      <c r="E134" s="1077">
        <f t="shared" si="16"/>
        <v>2024</v>
      </c>
      <c r="F134" s="789">
        <v>10539873</v>
      </c>
      <c r="H134" s="613"/>
      <c r="I134" s="139"/>
      <c r="J134" s="138"/>
      <c r="K134" s="138"/>
      <c r="L134" s="138"/>
      <c r="M134" s="138"/>
    </row>
    <row r="135" spans="1:19">
      <c r="A135" s="441">
        <f t="shared" si="15"/>
        <v>118</v>
      </c>
      <c r="C135" s="790" t="s">
        <v>156</v>
      </c>
      <c r="D135" s="121" t="s">
        <v>150</v>
      </c>
      <c r="E135" s="1077">
        <f t="shared" si="16"/>
        <v>2024</v>
      </c>
      <c r="F135" s="789">
        <v>10560845</v>
      </c>
      <c r="H135" s="613"/>
      <c r="I135" s="139"/>
      <c r="J135" s="138"/>
      <c r="K135" s="138"/>
      <c r="L135" s="138"/>
      <c r="M135" s="138"/>
    </row>
    <row r="136" spans="1:19">
      <c r="A136" s="441">
        <f t="shared" si="15"/>
        <v>119</v>
      </c>
      <c r="C136" s="790" t="s">
        <v>141</v>
      </c>
      <c r="D136" s="121" t="s">
        <v>150</v>
      </c>
      <c r="E136" s="1077">
        <f t="shared" si="16"/>
        <v>2024</v>
      </c>
      <c r="F136" s="789">
        <v>10581817</v>
      </c>
      <c r="H136" s="613"/>
      <c r="I136" s="139"/>
      <c r="J136" s="138"/>
      <c r="K136" s="138"/>
      <c r="L136" s="138"/>
      <c r="M136" s="138"/>
    </row>
    <row r="137" spans="1:19">
      <c r="A137" s="441">
        <f t="shared" si="15"/>
        <v>120</v>
      </c>
      <c r="C137" s="790" t="s">
        <v>138</v>
      </c>
      <c r="D137" s="121" t="s">
        <v>150</v>
      </c>
      <c r="E137" s="1077">
        <f t="shared" si="16"/>
        <v>2024</v>
      </c>
      <c r="F137" s="953">
        <v>10602789</v>
      </c>
    </row>
    <row r="138" spans="1:19">
      <c r="A138" s="441">
        <f>+A137+1</f>
        <v>121</v>
      </c>
      <c r="C138" s="791" t="s">
        <v>663</v>
      </c>
      <c r="D138" s="121" t="str">
        <f>"(sum lines "&amp;A125&amp;"-"&amp;A137&amp;") /13"</f>
        <v>(sum lines 108-120) /13</v>
      </c>
      <c r="E138" s="796"/>
      <c r="F138" s="793">
        <f>SUM(F125:F137)/13</f>
        <v>10476957</v>
      </c>
      <c r="J138" s="138"/>
      <c r="K138" s="138"/>
      <c r="L138" s="138"/>
      <c r="M138" s="138"/>
    </row>
    <row r="139" spans="1:19">
      <c r="A139" s="441"/>
      <c r="C139" s="790"/>
      <c r="E139" s="797"/>
      <c r="F139" s="795"/>
      <c r="G139" s="200"/>
      <c r="H139" s="613"/>
      <c r="I139" s="124"/>
      <c r="J139" s="138"/>
      <c r="K139" s="138"/>
      <c r="L139" s="138"/>
      <c r="M139" s="138"/>
    </row>
    <row r="140" spans="1:19">
      <c r="A140" s="441">
        <f>+A138+1</f>
        <v>122</v>
      </c>
      <c r="C140" s="442" t="s">
        <v>160</v>
      </c>
      <c r="D140" s="121" t="s">
        <v>778</v>
      </c>
      <c r="E140" s="712"/>
      <c r="F140" s="444"/>
      <c r="J140" s="138"/>
      <c r="K140" s="138"/>
      <c r="L140" s="138"/>
      <c r="M140" s="138"/>
    </row>
    <row r="141" spans="1:19">
      <c r="A141" s="441">
        <f>+A140+1</f>
        <v>123</v>
      </c>
      <c r="C141" s="972" t="s">
        <v>138</v>
      </c>
      <c r="D141" s="121" t="s">
        <v>150</v>
      </c>
      <c r="E141" s="1077">
        <f>+E7</f>
        <v>2023</v>
      </c>
      <c r="F141" s="789">
        <v>977000</v>
      </c>
      <c r="G141" s="200"/>
      <c r="H141" s="613"/>
      <c r="I141" s="139"/>
      <c r="J141" s="138"/>
      <c r="K141" s="138"/>
      <c r="L141" s="138"/>
      <c r="M141" s="138"/>
    </row>
    <row r="142" spans="1:19">
      <c r="A142" s="441">
        <f t="shared" ref="A142:A153" si="17">+A141+1</f>
        <v>124</v>
      </c>
      <c r="C142" s="790" t="s">
        <v>254</v>
      </c>
      <c r="D142" s="438" t="s">
        <v>999</v>
      </c>
      <c r="E142" s="1077">
        <f t="shared" ref="E142:E153" si="18">+E8</f>
        <v>2023</v>
      </c>
      <c r="F142" s="789">
        <v>988000</v>
      </c>
      <c r="G142" s="200"/>
      <c r="H142" s="200"/>
      <c r="I142" s="200"/>
      <c r="J142" s="200"/>
      <c r="K142" s="200"/>
      <c r="L142" s="200"/>
      <c r="M142" s="200"/>
      <c r="N142" s="200"/>
      <c r="O142" s="200"/>
      <c r="P142" s="200"/>
      <c r="Q142" s="200"/>
      <c r="R142" s="200"/>
      <c r="S142" s="200"/>
    </row>
    <row r="143" spans="1:19">
      <c r="A143" s="441">
        <f t="shared" si="17"/>
        <v>125</v>
      </c>
      <c r="C143" s="790" t="s">
        <v>155</v>
      </c>
      <c r="D143" s="121" t="s">
        <v>150</v>
      </c>
      <c r="E143" s="1077">
        <f t="shared" si="18"/>
        <v>2023</v>
      </c>
      <c r="F143" s="789">
        <v>1000000</v>
      </c>
      <c r="G143" s="200"/>
      <c r="H143" s="613"/>
      <c r="I143" s="139"/>
      <c r="J143" s="138"/>
      <c r="K143" s="138"/>
      <c r="L143" s="138"/>
      <c r="M143" s="138"/>
    </row>
    <row r="144" spans="1:19">
      <c r="A144" s="441">
        <f t="shared" si="17"/>
        <v>126</v>
      </c>
      <c r="C144" s="790" t="s">
        <v>154</v>
      </c>
      <c r="D144" s="121" t="s">
        <v>150</v>
      </c>
      <c r="E144" s="1077">
        <f t="shared" si="18"/>
        <v>2023</v>
      </c>
      <c r="F144" s="789">
        <v>1012000</v>
      </c>
      <c r="G144" s="200"/>
      <c r="H144" s="613"/>
      <c r="I144" s="139"/>
      <c r="J144" s="138"/>
      <c r="K144" s="138"/>
      <c r="L144" s="138"/>
      <c r="M144" s="138"/>
    </row>
    <row r="145" spans="1:19">
      <c r="A145" s="441">
        <f t="shared" si="17"/>
        <v>127</v>
      </c>
      <c r="C145" s="790" t="s">
        <v>153</v>
      </c>
      <c r="D145" s="438" t="s">
        <v>999</v>
      </c>
      <c r="E145" s="1077">
        <f t="shared" si="18"/>
        <v>2023</v>
      </c>
      <c r="F145" s="789">
        <v>1024000</v>
      </c>
      <c r="G145" s="200"/>
      <c r="H145" s="613"/>
      <c r="I145" s="139"/>
      <c r="J145" s="138"/>
      <c r="K145" s="138"/>
      <c r="L145" s="138"/>
      <c r="M145" s="138"/>
    </row>
    <row r="146" spans="1:19">
      <c r="A146" s="441">
        <f t="shared" si="17"/>
        <v>128</v>
      </c>
      <c r="C146" s="790" t="s">
        <v>152</v>
      </c>
      <c r="D146" s="121" t="s">
        <v>150</v>
      </c>
      <c r="E146" s="1077">
        <f t="shared" si="18"/>
        <v>2023</v>
      </c>
      <c r="F146" s="789">
        <v>1036000</v>
      </c>
      <c r="G146" s="200"/>
      <c r="H146" s="613"/>
      <c r="I146" s="139"/>
      <c r="J146" s="138"/>
      <c r="K146" s="138"/>
      <c r="L146" s="138"/>
      <c r="M146" s="138"/>
    </row>
    <row r="147" spans="1:19">
      <c r="A147" s="441">
        <f t="shared" si="17"/>
        <v>129</v>
      </c>
      <c r="C147" s="790" t="s">
        <v>151</v>
      </c>
      <c r="D147" s="121" t="s">
        <v>150</v>
      </c>
      <c r="E147" s="1077">
        <f t="shared" si="18"/>
        <v>2023</v>
      </c>
      <c r="F147" s="789">
        <v>1048000</v>
      </c>
      <c r="G147" s="200"/>
      <c r="H147" s="613"/>
      <c r="I147" s="139"/>
      <c r="J147" s="138"/>
      <c r="K147" s="138"/>
      <c r="L147" s="138"/>
      <c r="M147" s="138"/>
    </row>
    <row r="148" spans="1:19">
      <c r="A148" s="441">
        <f t="shared" si="17"/>
        <v>130</v>
      </c>
      <c r="C148" s="790" t="s">
        <v>149</v>
      </c>
      <c r="D148" s="438" t="s">
        <v>999</v>
      </c>
      <c r="E148" s="1077">
        <f t="shared" si="18"/>
        <v>2023</v>
      </c>
      <c r="F148" s="789">
        <v>1059000</v>
      </c>
      <c r="G148" s="200"/>
      <c r="H148" s="613"/>
      <c r="I148" s="139"/>
      <c r="J148" s="138"/>
      <c r="K148" s="138"/>
      <c r="L148" s="138"/>
      <c r="M148" s="138"/>
    </row>
    <row r="149" spans="1:19">
      <c r="A149" s="441">
        <f t="shared" si="17"/>
        <v>131</v>
      </c>
      <c r="C149" s="790" t="s">
        <v>907</v>
      </c>
      <c r="D149" s="121" t="s">
        <v>150</v>
      </c>
      <c r="E149" s="1077">
        <f t="shared" si="18"/>
        <v>2024</v>
      </c>
      <c r="F149" s="789">
        <v>1071000</v>
      </c>
      <c r="G149" s="200"/>
      <c r="H149" s="613"/>
      <c r="I149" s="139"/>
      <c r="J149" s="138"/>
      <c r="K149" s="138"/>
      <c r="L149" s="138"/>
      <c r="M149" s="138"/>
    </row>
    <row r="150" spans="1:19">
      <c r="A150" s="441">
        <f t="shared" si="17"/>
        <v>132</v>
      </c>
      <c r="C150" s="790" t="s">
        <v>157</v>
      </c>
      <c r="D150" s="121" t="s">
        <v>150</v>
      </c>
      <c r="E150" s="1077">
        <f t="shared" si="18"/>
        <v>2024</v>
      </c>
      <c r="F150" s="789">
        <v>1083000</v>
      </c>
      <c r="G150" s="200"/>
      <c r="H150" s="613"/>
      <c r="I150" s="139"/>
      <c r="J150" s="138"/>
      <c r="K150" s="138"/>
      <c r="L150" s="138"/>
      <c r="M150" s="138"/>
    </row>
    <row r="151" spans="1:19">
      <c r="A151" s="441">
        <f t="shared" si="17"/>
        <v>133</v>
      </c>
      <c r="C151" s="790" t="s">
        <v>156</v>
      </c>
      <c r="D151" s="438" t="s">
        <v>999</v>
      </c>
      <c r="E151" s="1077">
        <f t="shared" si="18"/>
        <v>2024</v>
      </c>
      <c r="F151" s="789">
        <v>1095000</v>
      </c>
      <c r="G151" s="200"/>
      <c r="H151" s="613"/>
      <c r="I151" s="139"/>
      <c r="J151" s="138"/>
      <c r="K151" s="138"/>
      <c r="L151" s="138"/>
      <c r="M151" s="138"/>
    </row>
    <row r="152" spans="1:19">
      <c r="A152" s="441">
        <f t="shared" si="17"/>
        <v>134</v>
      </c>
      <c r="C152" s="790" t="s">
        <v>141</v>
      </c>
      <c r="D152" s="121" t="s">
        <v>150</v>
      </c>
      <c r="E152" s="1077">
        <f t="shared" si="18"/>
        <v>2024</v>
      </c>
      <c r="F152" s="789">
        <v>1107000</v>
      </c>
      <c r="G152" s="200"/>
      <c r="H152" s="613"/>
      <c r="I152" s="139"/>
      <c r="J152" s="138"/>
      <c r="K152" s="138"/>
      <c r="L152" s="138"/>
      <c r="M152" s="138"/>
    </row>
    <row r="153" spans="1:19">
      <c r="A153" s="441">
        <f t="shared" si="17"/>
        <v>135</v>
      </c>
      <c r="C153" s="790" t="s">
        <v>138</v>
      </c>
      <c r="D153" s="121" t="s">
        <v>150</v>
      </c>
      <c r="E153" s="1077">
        <f t="shared" si="18"/>
        <v>2024</v>
      </c>
      <c r="F153" s="789">
        <v>1119000</v>
      </c>
      <c r="G153" s="530"/>
    </row>
    <row r="154" spans="1:19">
      <c r="A154" s="441">
        <f>+A153+1</f>
        <v>136</v>
      </c>
      <c r="C154" s="791" t="s">
        <v>190</v>
      </c>
      <c r="D154" s="121" t="str">
        <f>"(sum lines "&amp;A141&amp;"-"&amp;A153&amp;") /13"</f>
        <v>(sum lines 123-135) /13</v>
      </c>
      <c r="E154" s="796"/>
      <c r="F154" s="793">
        <f>SUM(F141:F153)/13</f>
        <v>1047615.3846153846</v>
      </c>
      <c r="G154" s="119"/>
      <c r="J154" s="138"/>
      <c r="K154" s="138"/>
      <c r="L154" s="138"/>
      <c r="M154" s="138"/>
    </row>
    <row r="155" spans="1:19">
      <c r="A155" s="441"/>
      <c r="C155" s="790"/>
      <c r="D155" s="438"/>
      <c r="E155" s="797"/>
      <c r="F155" s="798"/>
    </row>
    <row r="156" spans="1:19">
      <c r="A156" s="441">
        <f>+A154+1</f>
        <v>137</v>
      </c>
      <c r="C156" s="442" t="s">
        <v>159</v>
      </c>
      <c r="D156" s="121" t="s">
        <v>870</v>
      </c>
      <c r="E156" s="712"/>
      <c r="F156" s="444"/>
      <c r="J156" s="138"/>
      <c r="K156" s="138"/>
      <c r="L156" s="138"/>
      <c r="M156" s="138"/>
    </row>
    <row r="157" spans="1:19">
      <c r="A157" s="441">
        <f t="shared" ref="A157:A170" si="19">+A156+1</f>
        <v>138</v>
      </c>
      <c r="C157" s="972" t="s">
        <v>138</v>
      </c>
      <c r="D157" s="121" t="s">
        <v>150</v>
      </c>
      <c r="E157" s="1077">
        <f>+E7</f>
        <v>2023</v>
      </c>
      <c r="F157" s="789">
        <v>21831000</v>
      </c>
      <c r="G157" s="119"/>
      <c r="J157" s="138"/>
      <c r="K157" s="138"/>
      <c r="L157" s="138"/>
      <c r="M157" s="138"/>
    </row>
    <row r="158" spans="1:19">
      <c r="A158" s="441">
        <f t="shared" si="19"/>
        <v>139</v>
      </c>
      <c r="C158" s="790" t="s">
        <v>254</v>
      </c>
      <c r="D158" s="438" t="s">
        <v>1000</v>
      </c>
      <c r="E158" s="1077">
        <f t="shared" ref="E158:E169" si="20">+E8</f>
        <v>2023</v>
      </c>
      <c r="F158" s="789">
        <v>21890000</v>
      </c>
      <c r="G158" s="119"/>
      <c r="J158" s="138"/>
      <c r="K158" s="138"/>
      <c r="L158" s="138"/>
      <c r="M158" s="138"/>
    </row>
    <row r="159" spans="1:19">
      <c r="A159" s="441">
        <f t="shared" si="19"/>
        <v>140</v>
      </c>
      <c r="C159" s="790" t="s">
        <v>155</v>
      </c>
      <c r="D159" s="121" t="s">
        <v>150</v>
      </c>
      <c r="E159" s="1077">
        <f t="shared" si="20"/>
        <v>2023</v>
      </c>
      <c r="F159" s="789">
        <v>21930000</v>
      </c>
      <c r="G159" s="119"/>
      <c r="H159" s="119"/>
      <c r="I159" s="119"/>
      <c r="J159" s="119"/>
      <c r="K159" s="119"/>
      <c r="L159" s="119"/>
      <c r="M159" s="119"/>
      <c r="N159" s="119"/>
      <c r="O159" s="119"/>
      <c r="P159" s="119"/>
      <c r="Q159" s="119"/>
      <c r="R159" s="119"/>
      <c r="S159" s="119"/>
    </row>
    <row r="160" spans="1:19">
      <c r="A160" s="441">
        <f t="shared" si="19"/>
        <v>141</v>
      </c>
      <c r="C160" s="790" t="s">
        <v>154</v>
      </c>
      <c r="D160" s="121" t="s">
        <v>150</v>
      </c>
      <c r="E160" s="1077">
        <f t="shared" si="20"/>
        <v>2023</v>
      </c>
      <c r="F160" s="789">
        <v>21978000</v>
      </c>
      <c r="G160" s="119"/>
      <c r="H160" s="119"/>
      <c r="I160" s="119"/>
      <c r="J160" s="119"/>
      <c r="K160" s="119"/>
      <c r="L160" s="119"/>
      <c r="M160" s="119"/>
      <c r="N160" s="119"/>
      <c r="O160" s="119"/>
      <c r="P160" s="119"/>
      <c r="Q160" s="119"/>
      <c r="R160" s="119"/>
      <c r="S160" s="119"/>
    </row>
    <row r="161" spans="1:13">
      <c r="A161" s="441">
        <f t="shared" si="19"/>
        <v>142</v>
      </c>
      <c r="C161" s="790" t="s">
        <v>153</v>
      </c>
      <c r="D161" s="438" t="s">
        <v>1000</v>
      </c>
      <c r="E161" s="1077">
        <f t="shared" si="20"/>
        <v>2023</v>
      </c>
      <c r="F161" s="789">
        <v>22030000</v>
      </c>
      <c r="G161" s="119"/>
      <c r="J161" s="138"/>
      <c r="K161" s="138"/>
      <c r="L161" s="138"/>
      <c r="M161" s="138"/>
    </row>
    <row r="162" spans="1:13">
      <c r="A162" s="441">
        <f t="shared" si="19"/>
        <v>143</v>
      </c>
      <c r="C162" s="790" t="s">
        <v>152</v>
      </c>
      <c r="D162" s="121" t="s">
        <v>150</v>
      </c>
      <c r="E162" s="1077">
        <f t="shared" si="20"/>
        <v>2023</v>
      </c>
      <c r="F162" s="789">
        <v>22088000</v>
      </c>
      <c r="G162" s="119"/>
      <c r="J162" s="138"/>
      <c r="K162" s="138"/>
      <c r="L162" s="138"/>
      <c r="M162" s="138"/>
    </row>
    <row r="163" spans="1:13">
      <c r="A163" s="441">
        <f t="shared" si="19"/>
        <v>144</v>
      </c>
      <c r="C163" s="790" t="s">
        <v>151</v>
      </c>
      <c r="D163" s="121" t="s">
        <v>150</v>
      </c>
      <c r="E163" s="1077">
        <f t="shared" si="20"/>
        <v>2023</v>
      </c>
      <c r="F163" s="789">
        <v>22134000</v>
      </c>
      <c r="G163" s="119"/>
      <c r="J163" s="138"/>
      <c r="K163" s="138"/>
      <c r="L163" s="138"/>
      <c r="M163" s="138"/>
    </row>
    <row r="164" spans="1:13">
      <c r="A164" s="441">
        <f t="shared" si="19"/>
        <v>145</v>
      </c>
      <c r="C164" s="790" t="s">
        <v>149</v>
      </c>
      <c r="D164" s="438" t="s">
        <v>1000</v>
      </c>
      <c r="E164" s="1077">
        <f t="shared" si="20"/>
        <v>2023</v>
      </c>
      <c r="F164" s="789">
        <v>22058000</v>
      </c>
      <c r="G164" s="119"/>
      <c r="J164" s="138"/>
      <c r="K164" s="138"/>
      <c r="L164" s="138"/>
      <c r="M164" s="138"/>
    </row>
    <row r="165" spans="1:13">
      <c r="A165" s="441">
        <f t="shared" si="19"/>
        <v>146</v>
      </c>
      <c r="C165" s="790" t="s">
        <v>907</v>
      </c>
      <c r="D165" s="121" t="s">
        <v>150</v>
      </c>
      <c r="E165" s="1077">
        <f t="shared" si="20"/>
        <v>2024</v>
      </c>
      <c r="F165" s="789">
        <v>22086000</v>
      </c>
      <c r="G165" s="119"/>
      <c r="J165" s="138"/>
      <c r="K165" s="138"/>
      <c r="L165" s="138"/>
      <c r="M165" s="138"/>
    </row>
    <row r="166" spans="1:13">
      <c r="A166" s="441">
        <f t="shared" si="19"/>
        <v>147</v>
      </c>
      <c r="C166" s="790" t="s">
        <v>157</v>
      </c>
      <c r="D166" s="121" t="s">
        <v>150</v>
      </c>
      <c r="E166" s="1077">
        <f t="shared" si="20"/>
        <v>2024</v>
      </c>
      <c r="F166" s="789">
        <v>22172000</v>
      </c>
      <c r="G166" s="119"/>
      <c r="J166" s="138"/>
      <c r="K166" s="138"/>
      <c r="L166" s="138"/>
      <c r="M166" s="138"/>
    </row>
    <row r="167" spans="1:13">
      <c r="A167" s="441">
        <f t="shared" si="19"/>
        <v>148</v>
      </c>
      <c r="C167" s="790" t="s">
        <v>156</v>
      </c>
      <c r="D167" s="438" t="s">
        <v>1000</v>
      </c>
      <c r="E167" s="1077">
        <f t="shared" si="20"/>
        <v>2024</v>
      </c>
      <c r="F167" s="789">
        <v>22255000</v>
      </c>
      <c r="G167" s="119"/>
      <c r="J167" s="138"/>
      <c r="K167" s="138"/>
      <c r="L167" s="138"/>
      <c r="M167" s="138"/>
    </row>
    <row r="168" spans="1:13">
      <c r="A168" s="441">
        <f t="shared" si="19"/>
        <v>149</v>
      </c>
      <c r="C168" s="790" t="s">
        <v>141</v>
      </c>
      <c r="D168" s="121" t="s">
        <v>150</v>
      </c>
      <c r="E168" s="1077">
        <f t="shared" si="20"/>
        <v>2024</v>
      </c>
      <c r="F168" s="789">
        <v>22322000</v>
      </c>
      <c r="G168" s="119"/>
      <c r="H168" s="613"/>
      <c r="I168" s="139"/>
      <c r="J168" s="138"/>
      <c r="K168" s="138"/>
      <c r="L168" s="138"/>
      <c r="M168" s="138"/>
    </row>
    <row r="169" spans="1:13">
      <c r="A169" s="441">
        <f t="shared" si="19"/>
        <v>150</v>
      </c>
      <c r="C169" s="790" t="s">
        <v>138</v>
      </c>
      <c r="D169" s="121" t="s">
        <v>150</v>
      </c>
      <c r="E169" s="1077">
        <f t="shared" si="20"/>
        <v>2024</v>
      </c>
      <c r="F169" s="789">
        <v>22408000</v>
      </c>
      <c r="G169" s="119"/>
    </row>
    <row r="170" spans="1:13">
      <c r="A170" s="441">
        <f t="shared" si="19"/>
        <v>151</v>
      </c>
      <c r="C170" s="791" t="s">
        <v>148</v>
      </c>
      <c r="D170" s="121" t="str">
        <f>"(sum lines "&amp;A157&amp;"-"&amp;A169&amp;") /13"</f>
        <v>(sum lines 138-150) /13</v>
      </c>
      <c r="E170" s="792"/>
      <c r="F170" s="793">
        <f>SUM(F157:F169)/13</f>
        <v>22090923.076923076</v>
      </c>
      <c r="G170" s="119"/>
      <c r="J170" s="138"/>
      <c r="K170" s="138"/>
      <c r="L170" s="138"/>
      <c r="M170" s="138"/>
    </row>
    <row r="171" spans="1:13">
      <c r="A171" s="441"/>
      <c r="C171" s="790"/>
      <c r="E171" s="794"/>
      <c r="F171" s="795"/>
      <c r="G171" s="200"/>
      <c r="H171" s="613"/>
      <c r="I171" s="139"/>
      <c r="J171" s="138"/>
      <c r="K171" s="138"/>
      <c r="L171" s="138"/>
      <c r="M171" s="138"/>
    </row>
    <row r="172" spans="1:13">
      <c r="A172" s="441"/>
      <c r="C172" s="791"/>
      <c r="E172" s="792"/>
      <c r="F172" s="793"/>
      <c r="G172" s="200"/>
      <c r="H172" s="613"/>
      <c r="I172" s="124"/>
      <c r="J172" s="138"/>
      <c r="K172" s="138"/>
      <c r="L172" s="138"/>
      <c r="M172" s="138"/>
    </row>
    <row r="173" spans="1:13">
      <c r="A173" s="441">
        <f>+A170+1</f>
        <v>152</v>
      </c>
      <c r="C173" s="442" t="s">
        <v>664</v>
      </c>
      <c r="D173" s="438" t="str">
        <f>"(sum lines "&amp;A106&amp;", "&amp;A122&amp;", "&amp;A138&amp;", "&amp;A154&amp;", &amp; "&amp;A170&amp;")"</f>
        <v>(sum lines 91, 106, 121, 136, &amp; 151)</v>
      </c>
      <c r="E173" s="792"/>
      <c r="F173" s="799">
        <f>F106+F122+F138+F154+F170</f>
        <v>431917038.99685407</v>
      </c>
      <c r="G173" s="140"/>
      <c r="H173" s="616"/>
    </row>
    <row r="174" spans="1:13" ht="16.2" thickBot="1">
      <c r="A174" s="800"/>
      <c r="B174" s="801"/>
      <c r="C174" s="802"/>
      <c r="D174" s="161"/>
      <c r="E174" s="803"/>
      <c r="F174" s="804"/>
      <c r="G174" s="140"/>
      <c r="H174" s="613"/>
      <c r="I174" s="124"/>
      <c r="J174" s="138"/>
      <c r="K174" s="138"/>
      <c r="L174" s="138"/>
      <c r="M174" s="138"/>
    </row>
    <row r="175" spans="1:13">
      <c r="B175" s="439"/>
      <c r="C175" s="790"/>
      <c r="E175" s="794"/>
      <c r="F175" s="790"/>
      <c r="G175" s="140"/>
      <c r="H175" s="613"/>
      <c r="I175" s="124"/>
      <c r="J175" s="138"/>
      <c r="K175" s="138"/>
      <c r="L175" s="138"/>
      <c r="M175" s="138"/>
    </row>
    <row r="176" spans="1:13">
      <c r="E176" s="995"/>
      <c r="F176" s="773"/>
    </row>
    <row r="177" spans="5:6">
      <c r="E177" s="995"/>
      <c r="F177" s="773"/>
    </row>
    <row r="178" spans="5:6">
      <c r="E178" s="995"/>
      <c r="F178" s="773"/>
    </row>
    <row r="179" spans="5:6">
      <c r="E179" s="995"/>
      <c r="F179" s="996"/>
    </row>
    <row r="180" spans="5:6">
      <c r="E180" s="995"/>
      <c r="F180" s="773"/>
    </row>
    <row r="181" spans="5:6">
      <c r="E181" s="995"/>
      <c r="F181" s="773"/>
    </row>
    <row r="182" spans="5:6">
      <c r="E182" s="995"/>
    </row>
    <row r="183" spans="5:6">
      <c r="E183" s="995"/>
      <c r="F183" s="773"/>
    </row>
    <row r="184" spans="5:6">
      <c r="E184" s="995"/>
      <c r="F184" s="773"/>
    </row>
    <row r="185" spans="5:6">
      <c r="E185" s="995"/>
      <c r="F185" s="773"/>
    </row>
    <row r="186" spans="5:6">
      <c r="E186" s="995"/>
    </row>
    <row r="187" spans="5:6">
      <c r="E187" s="995"/>
      <c r="F187" s="773"/>
    </row>
    <row r="188" spans="5:6">
      <c r="E188" s="995"/>
      <c r="F188" s="773"/>
    </row>
    <row r="189" spans="5:6">
      <c r="E189" s="995"/>
      <c r="F189" s="773"/>
    </row>
    <row r="190" spans="5:6">
      <c r="E190" s="995"/>
    </row>
    <row r="191" spans="5:6">
      <c r="E191" s="995"/>
    </row>
    <row r="192" spans="5:6">
      <c r="E192" s="995"/>
      <c r="F192" s="773"/>
    </row>
    <row r="193" spans="5:6">
      <c r="E193" s="995"/>
      <c r="F193" s="773"/>
    </row>
    <row r="194" spans="5:6">
      <c r="E194" s="995"/>
      <c r="F194" s="997"/>
    </row>
    <row r="195" spans="5:6">
      <c r="E195" s="995"/>
    </row>
    <row r="196" spans="5:6">
      <c r="E196" s="995"/>
      <c r="F196" s="773"/>
    </row>
  </sheetData>
  <mergeCells count="6">
    <mergeCell ref="J5:M5"/>
    <mergeCell ref="A5:F5"/>
    <mergeCell ref="A91:F91"/>
    <mergeCell ref="J91:M91"/>
    <mergeCell ref="A1:F1"/>
    <mergeCell ref="A2:F2"/>
  </mergeCells>
  <phoneticPr fontId="0" type="noConversion"/>
  <printOptions horizontalCentered="1"/>
  <pageMargins left="0.25" right="0.25" top="0.75" bottom="0.75" header="0.5" footer="0.5"/>
  <pageSetup scale="31" fitToHeight="0" orientation="landscape" r:id="rId1"/>
  <headerFooter alignWithMargins="0"/>
  <rowBreaks count="1" manualBreakCount="1">
    <brk id="8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GZ252"/>
  <sheetViews>
    <sheetView zoomScale="90" zoomScaleNormal="90" zoomScaleSheetLayoutView="80" zoomScalePageLayoutView="70" workbookViewId="0">
      <selection activeCell="C4" sqref="C4"/>
    </sheetView>
  </sheetViews>
  <sheetFormatPr defaultColWidth="8.81640625" defaultRowHeight="13.2"/>
  <cols>
    <col min="1" max="1" width="5" style="124" customWidth="1"/>
    <col min="2" max="2" width="3.08984375" style="95" customWidth="1"/>
    <col min="3" max="3" width="48.08984375" style="95" customWidth="1"/>
    <col min="4" max="4" width="18.7265625" style="95" customWidth="1"/>
    <col min="5" max="5" width="13.7265625" style="95" customWidth="1"/>
    <col min="6" max="6" width="15.81640625" style="95" customWidth="1"/>
    <col min="7" max="7" width="15.08984375" style="95" customWidth="1"/>
    <col min="8" max="8" width="15.54296875" style="95" customWidth="1"/>
    <col min="9" max="9" width="13" style="95" customWidth="1"/>
    <col min="10" max="10" width="10.7265625" style="95" customWidth="1"/>
    <col min="11" max="11" width="9" style="95" customWidth="1"/>
    <col min="12" max="12" width="11.7265625" style="95" bestFit="1" customWidth="1"/>
    <col min="13" max="13" width="9" style="95" customWidth="1"/>
    <col min="14" max="16384" width="8.81640625" style="95"/>
  </cols>
  <sheetData>
    <row r="1" spans="1:16" ht="17.399999999999999">
      <c r="B1" s="124"/>
      <c r="C1" s="145"/>
      <c r="D1" s="1170" t="s">
        <v>431</v>
      </c>
      <c r="E1" s="1170"/>
      <c r="F1" s="1170"/>
      <c r="G1" s="1170"/>
      <c r="H1" s="1170"/>
      <c r="I1" s="1170"/>
      <c r="J1" s="138"/>
      <c r="K1" s="138"/>
      <c r="L1" s="138"/>
      <c r="M1" s="138"/>
    </row>
    <row r="2" spans="1:16" ht="18" thickBot="1">
      <c r="A2" s="142"/>
      <c r="D2" s="1170" t="str">
        <f>'Appendix A'!$E$9</f>
        <v>HURLEY AVENUE PROJECT - SYSTEM DELIVERABILITY UPGRADE</v>
      </c>
      <c r="E2" s="1170"/>
      <c r="F2" s="1170"/>
      <c r="G2" s="1170"/>
      <c r="H2" s="1170"/>
      <c r="I2" s="1170"/>
    </row>
    <row r="3" spans="1:16" ht="50.25" customHeight="1" thickBot="1">
      <c r="A3" s="1171"/>
      <c r="B3" s="1172"/>
      <c r="C3" s="1172"/>
      <c r="D3" s="1172"/>
      <c r="E3" s="1172"/>
      <c r="F3" s="1173"/>
      <c r="G3" s="199"/>
      <c r="H3" s="199"/>
      <c r="I3" s="199"/>
      <c r="J3" s="1174" t="s">
        <v>124</v>
      </c>
      <c r="K3" s="1175"/>
      <c r="L3" s="1175"/>
      <c r="M3" s="1176"/>
    </row>
    <row r="4" spans="1:16">
      <c r="A4" s="878" t="s">
        <v>770</v>
      </c>
      <c r="B4" s="196"/>
      <c r="C4" s="198"/>
      <c r="D4" s="197"/>
      <c r="E4" s="196" t="s">
        <v>196</v>
      </c>
      <c r="F4" s="196" t="s">
        <v>146</v>
      </c>
      <c r="G4" s="195" t="s">
        <v>197</v>
      </c>
      <c r="H4" s="194"/>
      <c r="I4" s="193"/>
      <c r="J4" s="192"/>
      <c r="K4" s="808"/>
      <c r="L4" s="808"/>
      <c r="M4" s="809"/>
    </row>
    <row r="5" spans="1:16" s="1" customFormat="1" ht="15">
      <c r="A5" s="191">
        <f>+'2 - Cost Support '!A173+1</f>
        <v>153</v>
      </c>
      <c r="B5" s="190"/>
      <c r="C5" s="190" t="s">
        <v>264</v>
      </c>
      <c r="D5" s="190" t="s">
        <v>60</v>
      </c>
      <c r="E5" s="144">
        <v>0</v>
      </c>
      <c r="F5" s="144">
        <v>0</v>
      </c>
      <c r="G5" s="436">
        <f>+E5/2+F5/2</f>
        <v>0</v>
      </c>
      <c r="H5" s="188"/>
      <c r="I5" s="187"/>
      <c r="J5" s="187"/>
      <c r="K5" s="187"/>
      <c r="L5" s="186"/>
      <c r="M5" s="91"/>
      <c r="N5" s="80"/>
      <c r="O5" s="29"/>
      <c r="P5" s="16"/>
    </row>
    <row r="6" spans="1:16" s="1" customFormat="1" ht="15">
      <c r="A6" s="191"/>
      <c r="B6" s="190"/>
      <c r="C6" s="190"/>
      <c r="D6" s="190"/>
      <c r="E6" s="187"/>
      <c r="F6" s="187"/>
      <c r="G6" s="436"/>
      <c r="H6" s="188"/>
      <c r="I6" s="187"/>
      <c r="J6" s="187"/>
      <c r="K6" s="187"/>
      <c r="L6" s="186"/>
      <c r="M6" s="91"/>
      <c r="N6" s="80"/>
      <c r="O6" s="29"/>
      <c r="P6" s="16"/>
    </row>
    <row r="7" spans="1:16" s="1" customFormat="1" ht="15.6">
      <c r="A7" s="191">
        <f>+A5+1</f>
        <v>154</v>
      </c>
      <c r="B7" s="190"/>
      <c r="C7" s="190" t="s">
        <v>225</v>
      </c>
      <c r="D7" s="187" t="s">
        <v>764</v>
      </c>
      <c r="E7" s="820"/>
      <c r="F7" s="820"/>
      <c r="G7" s="476">
        <f>+'9 - Workpaper'!Z40</f>
        <v>0</v>
      </c>
      <c r="H7" s="89"/>
      <c r="I7" s="8"/>
      <c r="J7" s="8"/>
      <c r="K7" s="187"/>
      <c r="L7" s="186"/>
      <c r="M7" s="91"/>
      <c r="N7" s="80"/>
      <c r="O7" s="609"/>
      <c r="P7" s="16"/>
    </row>
    <row r="8" spans="1:16" s="1" customFormat="1" ht="15">
      <c r="A8" s="191"/>
      <c r="B8" s="190"/>
      <c r="C8" s="190" t="s">
        <v>286</v>
      </c>
      <c r="D8" s="187"/>
      <c r="E8" s="187"/>
      <c r="F8" s="187"/>
      <c r="G8" s="437"/>
      <c r="H8" s="188" t="s">
        <v>673</v>
      </c>
      <c r="I8" s="8"/>
      <c r="K8" s="187"/>
      <c r="L8" s="186"/>
      <c r="M8" s="91"/>
      <c r="N8" s="80"/>
      <c r="P8" s="16"/>
    </row>
    <row r="9" spans="1:16" s="1" customFormat="1" ht="15">
      <c r="A9" s="191">
        <f>+A7+1</f>
        <v>155</v>
      </c>
      <c r="B9" s="190"/>
      <c r="C9" s="190" t="s">
        <v>381</v>
      </c>
      <c r="D9" s="187" t="s">
        <v>765</v>
      </c>
      <c r="E9" s="187"/>
      <c r="G9" s="830"/>
      <c r="H9" s="829">
        <f>+'9 - Workpaper'!I40</f>
        <v>0</v>
      </c>
      <c r="I9" s="8"/>
      <c r="K9" s="187"/>
      <c r="L9" s="186"/>
      <c r="M9" s="91"/>
      <c r="N9" s="80"/>
      <c r="O9" s="29"/>
      <c r="P9" s="16"/>
    </row>
    <row r="10" spans="1:16" s="1" customFormat="1" ht="15">
      <c r="A10" s="191"/>
      <c r="B10" s="190"/>
      <c r="C10" s="190"/>
      <c r="D10" s="187"/>
      <c r="E10" s="187"/>
      <c r="F10" s="187"/>
      <c r="G10" s="437"/>
      <c r="H10" s="89"/>
      <c r="I10" s="8"/>
      <c r="K10" s="187"/>
      <c r="L10" s="186"/>
      <c r="M10" s="91"/>
      <c r="N10" s="80"/>
      <c r="O10" s="29"/>
      <c r="P10" s="16"/>
    </row>
    <row r="11" spans="1:16" s="1" customFormat="1" ht="15">
      <c r="A11" s="191">
        <f>+A9+1</f>
        <v>156</v>
      </c>
      <c r="B11" s="190"/>
      <c r="C11" s="190" t="s">
        <v>942</v>
      </c>
      <c r="E11" s="140"/>
      <c r="G11" s="437"/>
      <c r="H11" s="89"/>
      <c r="I11" s="8"/>
      <c r="J11" s="8"/>
      <c r="K11" s="187"/>
      <c r="L11" s="186"/>
      <c r="M11" s="91"/>
      <c r="N11" s="80"/>
      <c r="O11" s="29"/>
      <c r="P11" s="16"/>
    </row>
    <row r="12" spans="1:16" s="1" customFormat="1" ht="15">
      <c r="A12" s="191"/>
      <c r="B12" s="190"/>
      <c r="C12" s="190" t="s">
        <v>313</v>
      </c>
      <c r="D12" s="190"/>
      <c r="E12" s="124" t="s">
        <v>142</v>
      </c>
      <c r="F12" s="141" t="s">
        <v>137</v>
      </c>
      <c r="G12" s="189"/>
      <c r="H12" s="188"/>
      <c r="I12" s="187"/>
      <c r="J12" s="187"/>
      <c r="K12" s="187"/>
      <c r="L12" s="186"/>
      <c r="M12" s="91"/>
      <c r="N12" s="80"/>
      <c r="O12" s="29"/>
      <c r="P12" s="16"/>
    </row>
    <row r="13" spans="1:16" s="1" customFormat="1" ht="15.6">
      <c r="A13" s="146">
        <f>+A11+1</f>
        <v>157</v>
      </c>
      <c r="B13" s="124"/>
      <c r="C13" s="972" t="s">
        <v>138</v>
      </c>
      <c r="D13" s="121" t="s">
        <v>150</v>
      </c>
      <c r="E13" s="946">
        <v>2023</v>
      </c>
      <c r="F13" s="555">
        <v>30464776</v>
      </c>
      <c r="G13" s="830"/>
      <c r="H13" s="187"/>
      <c r="I13" s="187"/>
      <c r="J13" s="187"/>
      <c r="K13" s="187"/>
      <c r="L13" s="186"/>
      <c r="M13" s="91"/>
      <c r="N13" s="80"/>
      <c r="O13" s="29"/>
      <c r="P13" s="16"/>
    </row>
    <row r="14" spans="1:16" s="1" customFormat="1" ht="15.6">
      <c r="A14" s="146">
        <f t="shared" ref="A14:A26" si="0">+A13+1</f>
        <v>158</v>
      </c>
      <c r="B14" s="124"/>
      <c r="C14" s="790" t="s">
        <v>254</v>
      </c>
      <c r="D14" s="121" t="s">
        <v>62</v>
      </c>
      <c r="E14" s="946">
        <v>2023</v>
      </c>
      <c r="F14" s="555">
        <v>34225823</v>
      </c>
      <c r="G14" s="830"/>
      <c r="I14" s="187"/>
      <c r="J14" s="187"/>
      <c r="K14" s="187"/>
      <c r="L14" s="186"/>
      <c r="M14" s="91"/>
      <c r="N14" s="80"/>
      <c r="O14" s="29"/>
      <c r="P14" s="16"/>
    </row>
    <row r="15" spans="1:16" s="1" customFormat="1" ht="15.6">
      <c r="A15" s="146">
        <f t="shared" si="0"/>
        <v>159</v>
      </c>
      <c r="B15" s="124"/>
      <c r="C15" s="790" t="s">
        <v>155</v>
      </c>
      <c r="D15" s="121" t="s">
        <v>150</v>
      </c>
      <c r="E15" s="946">
        <v>2023</v>
      </c>
      <c r="F15" s="555">
        <v>40620606</v>
      </c>
      <c r="G15" s="830"/>
      <c r="I15" s="187"/>
      <c r="J15" s="187"/>
      <c r="K15" s="187"/>
      <c r="L15" s="186"/>
      <c r="M15" s="91"/>
      <c r="N15" s="80"/>
      <c r="O15" s="29"/>
      <c r="P15" s="16"/>
    </row>
    <row r="16" spans="1:16" s="1" customFormat="1" ht="15.6">
      <c r="A16" s="146">
        <f t="shared" si="0"/>
        <v>160</v>
      </c>
      <c r="B16" s="124"/>
      <c r="C16" s="790" t="s">
        <v>154</v>
      </c>
      <c r="D16" s="121" t="s">
        <v>150</v>
      </c>
      <c r="E16" s="946">
        <v>2023</v>
      </c>
      <c r="F16" s="555">
        <v>36109440</v>
      </c>
      <c r="G16" s="830"/>
      <c r="I16" s="187"/>
      <c r="J16" s="187"/>
      <c r="K16" s="187"/>
      <c r="L16" s="186"/>
      <c r="M16" s="91"/>
      <c r="N16" s="80"/>
      <c r="O16" s="29"/>
      <c r="P16" s="16"/>
    </row>
    <row r="17" spans="1:16" s="1" customFormat="1" ht="15.6">
      <c r="A17" s="146">
        <f t="shared" si="0"/>
        <v>161</v>
      </c>
      <c r="B17" s="124"/>
      <c r="C17" s="790" t="s">
        <v>153</v>
      </c>
      <c r="D17" s="121" t="s">
        <v>62</v>
      </c>
      <c r="E17" s="946">
        <v>2023</v>
      </c>
      <c r="F17" s="555">
        <v>30159318</v>
      </c>
      <c r="G17" s="830"/>
      <c r="I17" s="187"/>
      <c r="J17" s="187"/>
      <c r="K17" s="187"/>
      <c r="L17" s="186"/>
      <c r="M17" s="91"/>
      <c r="N17" s="80"/>
      <c r="O17" s="29"/>
      <c r="P17" s="16"/>
    </row>
    <row r="18" spans="1:16" s="1" customFormat="1" ht="15.6">
      <c r="A18" s="146">
        <f t="shared" si="0"/>
        <v>162</v>
      </c>
      <c r="B18" s="124"/>
      <c r="C18" s="790" t="s">
        <v>152</v>
      </c>
      <c r="D18" s="121" t="s">
        <v>150</v>
      </c>
      <c r="E18" s="946">
        <v>2023</v>
      </c>
      <c r="F18" s="555">
        <v>24725160</v>
      </c>
      <c r="G18" s="830"/>
      <c r="I18" s="187"/>
      <c r="J18" s="187"/>
      <c r="K18" s="187"/>
      <c r="L18" s="186"/>
      <c r="M18" s="91"/>
      <c r="N18" s="80"/>
      <c r="O18" s="29"/>
      <c r="P18" s="16"/>
    </row>
    <row r="19" spans="1:16" s="1" customFormat="1" ht="15.6">
      <c r="A19" s="146">
        <f t="shared" si="0"/>
        <v>163</v>
      </c>
      <c r="B19" s="124"/>
      <c r="C19" s="790" t="s">
        <v>151</v>
      </c>
      <c r="D19" s="121" t="s">
        <v>150</v>
      </c>
      <c r="E19" s="946">
        <v>2023</v>
      </c>
      <c r="F19" s="555">
        <v>19283911</v>
      </c>
      <c r="G19" s="830"/>
      <c r="I19" s="187"/>
      <c r="J19" s="187"/>
      <c r="K19" s="187"/>
      <c r="L19" s="186"/>
      <c r="M19" s="91"/>
      <c r="N19" s="80"/>
      <c r="O19" s="29"/>
      <c r="P19" s="16"/>
    </row>
    <row r="20" spans="1:16" s="1" customFormat="1" ht="15.6">
      <c r="A20" s="146">
        <f t="shared" si="0"/>
        <v>164</v>
      </c>
      <c r="B20" s="124"/>
      <c r="C20" s="790" t="s">
        <v>149</v>
      </c>
      <c r="D20" s="121" t="s">
        <v>62</v>
      </c>
      <c r="E20" s="946">
        <v>2023</v>
      </c>
      <c r="F20" s="555">
        <v>20021701</v>
      </c>
      <c r="G20" s="830"/>
      <c r="I20" s="187"/>
      <c r="J20" s="187"/>
      <c r="K20" s="187"/>
      <c r="L20" s="186"/>
      <c r="M20" s="91"/>
      <c r="N20" s="80"/>
      <c r="O20" s="29"/>
      <c r="P20" s="16"/>
    </row>
    <row r="21" spans="1:16" s="1" customFormat="1" ht="15.6">
      <c r="A21" s="146">
        <f t="shared" si="0"/>
        <v>165</v>
      </c>
      <c r="B21" s="124"/>
      <c r="C21" s="790" t="s">
        <v>907</v>
      </c>
      <c r="D21" s="121" t="s">
        <v>150</v>
      </c>
      <c r="E21" s="946">
        <v>2024</v>
      </c>
      <c r="F21" s="555">
        <v>17404455</v>
      </c>
      <c r="G21" s="830"/>
      <c r="I21" s="187"/>
      <c r="J21" s="187"/>
      <c r="K21" s="187"/>
      <c r="L21" s="186"/>
      <c r="M21" s="91"/>
      <c r="N21" s="80"/>
      <c r="O21" s="29"/>
      <c r="P21" s="16"/>
    </row>
    <row r="22" spans="1:16" s="1" customFormat="1" ht="15.6">
      <c r="A22" s="146">
        <f t="shared" si="0"/>
        <v>166</v>
      </c>
      <c r="B22" s="124"/>
      <c r="C22" s="790" t="s">
        <v>157</v>
      </c>
      <c r="D22" s="121" t="s">
        <v>150</v>
      </c>
      <c r="E22" s="946">
        <v>2024</v>
      </c>
      <c r="F22" s="555">
        <v>31804098</v>
      </c>
      <c r="G22" s="830"/>
      <c r="I22" s="187"/>
      <c r="J22" s="187"/>
      <c r="K22" s="187"/>
      <c r="L22" s="186"/>
      <c r="M22" s="91"/>
      <c r="N22" s="80"/>
      <c r="O22" s="29"/>
      <c r="P22" s="16"/>
    </row>
    <row r="23" spans="1:16" s="1" customFormat="1" ht="15.6">
      <c r="A23" s="146">
        <f t="shared" si="0"/>
        <v>167</v>
      </c>
      <c r="B23" s="124"/>
      <c r="C23" s="790" t="s">
        <v>156</v>
      </c>
      <c r="D23" s="121" t="s">
        <v>62</v>
      </c>
      <c r="E23" s="946">
        <v>2024</v>
      </c>
      <c r="F23" s="555">
        <v>40781656</v>
      </c>
      <c r="G23" s="830"/>
      <c r="I23" s="187"/>
      <c r="J23" s="187"/>
      <c r="K23" s="187"/>
      <c r="L23" s="186"/>
      <c r="M23" s="91"/>
      <c r="N23" s="80"/>
      <c r="O23" s="29"/>
      <c r="P23" s="16"/>
    </row>
    <row r="24" spans="1:16" s="1" customFormat="1" ht="15.6">
      <c r="A24" s="146">
        <f t="shared" si="0"/>
        <v>168</v>
      </c>
      <c r="B24" s="124"/>
      <c r="C24" s="790" t="s">
        <v>141</v>
      </c>
      <c r="D24" s="121" t="s">
        <v>150</v>
      </c>
      <c r="E24" s="946">
        <v>2024</v>
      </c>
      <c r="F24" s="555">
        <v>34849983</v>
      </c>
      <c r="G24" s="830"/>
      <c r="I24" s="187"/>
      <c r="J24" s="187"/>
      <c r="K24" s="187"/>
      <c r="L24" s="186"/>
      <c r="M24" s="91"/>
      <c r="N24" s="80"/>
      <c r="O24" s="29"/>
      <c r="P24" s="16"/>
    </row>
    <row r="25" spans="1:16" s="1" customFormat="1" ht="15.6">
      <c r="A25" s="146">
        <f t="shared" si="0"/>
        <v>169</v>
      </c>
      <c r="B25" s="124"/>
      <c r="C25" s="790" t="s">
        <v>138</v>
      </c>
      <c r="D25" s="121" t="s">
        <v>150</v>
      </c>
      <c r="E25" s="947">
        <v>2024</v>
      </c>
      <c r="F25" s="951">
        <v>29631841</v>
      </c>
      <c r="G25" s="830"/>
      <c r="I25" s="187"/>
      <c r="J25" s="187"/>
      <c r="K25" s="187"/>
      <c r="L25" s="186"/>
      <c r="M25" s="91"/>
      <c r="N25" s="80"/>
      <c r="O25" s="29"/>
      <c r="P25" s="16"/>
    </row>
    <row r="26" spans="1:16" s="1" customFormat="1" ht="15">
      <c r="A26" s="146">
        <f t="shared" si="0"/>
        <v>170</v>
      </c>
      <c r="B26" s="124"/>
      <c r="C26" s="158" t="s">
        <v>380</v>
      </c>
      <c r="D26" s="95" t="str">
        <f>"(sum lines "&amp;A13&amp;"-"&amp;A25&amp;") /13"</f>
        <v>(sum lines 157-169) /13</v>
      </c>
      <c r="E26" s="156"/>
      <c r="F26" s="964">
        <f>SUM(F13:F25)/13</f>
        <v>30006366.769230768</v>
      </c>
      <c r="G26" s="830"/>
      <c r="I26" s="187"/>
      <c r="J26" s="187"/>
      <c r="K26" s="187"/>
      <c r="L26" s="186"/>
      <c r="M26" s="91"/>
      <c r="N26" s="80"/>
      <c r="O26" s="29"/>
      <c r="P26" s="16"/>
    </row>
    <row r="27" spans="1:16" s="1" customFormat="1" ht="15.6" thickBot="1">
      <c r="A27" s="191"/>
      <c r="B27" s="190"/>
      <c r="C27" s="190"/>
      <c r="D27" s="190"/>
      <c r="E27" s="187"/>
      <c r="F27" s="187"/>
      <c r="G27" s="831"/>
      <c r="H27" s="832"/>
      <c r="I27" s="833"/>
      <c r="J27" s="833"/>
      <c r="K27" s="833"/>
      <c r="L27" s="834"/>
      <c r="M27" s="835"/>
      <c r="N27" s="80"/>
      <c r="O27" s="29"/>
      <c r="P27" s="16"/>
    </row>
    <row r="28" spans="1:16" ht="13.8" thickBot="1">
      <c r="A28" s="136"/>
      <c r="B28" s="152"/>
      <c r="C28" s="822"/>
      <c r="D28" s="550"/>
      <c r="E28" s="178"/>
      <c r="F28" s="135"/>
      <c r="G28" s="551"/>
      <c r="H28" s="185"/>
      <c r="I28" s="180"/>
      <c r="J28" s="552"/>
      <c r="K28" s="553"/>
      <c r="L28" s="553"/>
      <c r="M28" s="554"/>
    </row>
    <row r="29" spans="1:16">
      <c r="A29" s="184"/>
      <c r="B29" s="184"/>
      <c r="C29" s="184"/>
      <c r="D29" s="184"/>
      <c r="F29" s="183"/>
      <c r="G29" s="133"/>
      <c r="H29" s="147"/>
      <c r="I29" s="182"/>
      <c r="J29" s="181"/>
      <c r="K29" s="138"/>
      <c r="L29" s="138"/>
      <c r="M29" s="138"/>
    </row>
    <row r="30" spans="1:16">
      <c r="B30" s="124"/>
      <c r="C30" s="158"/>
      <c r="D30" s="179"/>
      <c r="E30" s="164"/>
      <c r="F30" s="145"/>
      <c r="G30" s="139"/>
      <c r="H30" s="139"/>
      <c r="I30" s="139"/>
      <c r="J30" s="138"/>
      <c r="K30" s="138"/>
      <c r="L30" s="138"/>
      <c r="M30" s="138"/>
    </row>
    <row r="31" spans="1:16" ht="12" customHeight="1"/>
    <row r="32" spans="1:16" ht="13.8" thickBot="1">
      <c r="A32" s="142" t="s">
        <v>314</v>
      </c>
    </row>
    <row r="33" spans="1:13">
      <c r="A33" s="1177"/>
      <c r="B33" s="1178"/>
      <c r="C33" s="1178"/>
      <c r="D33" s="1178"/>
      <c r="E33" s="1178"/>
      <c r="F33" s="1178"/>
      <c r="G33" s="148"/>
      <c r="H33" s="148"/>
      <c r="I33" s="148"/>
      <c r="J33" s="1179"/>
      <c r="K33" s="1180"/>
      <c r="L33" s="1180"/>
      <c r="M33" s="1181"/>
    </row>
    <row r="34" spans="1:13">
      <c r="A34" s="146" t="s">
        <v>766</v>
      </c>
      <c r="B34" s="157"/>
      <c r="C34" s="620" t="s">
        <v>395</v>
      </c>
      <c r="D34" s="620" t="s">
        <v>416</v>
      </c>
      <c r="E34" s="620" t="s">
        <v>424</v>
      </c>
      <c r="F34" s="620" t="s">
        <v>425</v>
      </c>
      <c r="G34" s="620" t="s">
        <v>426</v>
      </c>
      <c r="H34" s="620" t="s">
        <v>427</v>
      </c>
      <c r="I34" s="620" t="s">
        <v>428</v>
      </c>
      <c r="J34" s="1165"/>
      <c r="K34" s="1161"/>
      <c r="L34" s="1161"/>
      <c r="M34" s="1166"/>
    </row>
    <row r="35" spans="1:13" ht="92.4">
      <c r="A35" s="146"/>
      <c r="B35"/>
      <c r="C35" s="706" t="s">
        <v>943</v>
      </c>
      <c r="D35" s="621" t="s">
        <v>38</v>
      </c>
      <c r="E35" s="621" t="s">
        <v>535</v>
      </c>
      <c r="F35" s="621" t="s">
        <v>536</v>
      </c>
      <c r="G35" s="621" t="s">
        <v>537</v>
      </c>
      <c r="H35" s="622" t="s">
        <v>538</v>
      </c>
      <c r="I35" s="622" t="s">
        <v>539</v>
      </c>
      <c r="J35"/>
      <c r="K35" s="301"/>
      <c r="L35" s="301"/>
      <c r="M35" s="304"/>
    </row>
    <row r="36" spans="1:13" ht="15">
      <c r="A36" s="146"/>
      <c r="B36"/>
      <c r="C36" s="623" t="s">
        <v>874</v>
      </c>
      <c r="D36" s="624">
        <v>-2892018.87</v>
      </c>
      <c r="E36" s="624">
        <v>1</v>
      </c>
      <c r="F36" s="624">
        <v>1</v>
      </c>
      <c r="G36" s="1104">
        <v>1</v>
      </c>
      <c r="H36" s="1103">
        <f>+'Appendix A'!J246</f>
        <v>2.5849081312395196E-3</v>
      </c>
      <c r="I36" s="625">
        <f t="shared" ref="I36:I41" si="1">+H36*E36*D36*F36*G36</f>
        <v>-7475.6030927611273</v>
      </c>
      <c r="J36"/>
      <c r="K36" s="301"/>
      <c r="L36" s="301"/>
      <c r="M36" s="304"/>
    </row>
    <row r="37" spans="1:13" ht="15">
      <c r="A37" s="146"/>
      <c r="B37"/>
      <c r="C37" s="623" t="s">
        <v>315</v>
      </c>
      <c r="D37" s="626">
        <v>0</v>
      </c>
      <c r="E37" s="626">
        <v>0</v>
      </c>
      <c r="F37" s="626">
        <v>0</v>
      </c>
      <c r="G37" s="626">
        <v>0</v>
      </c>
      <c r="H37" s="626">
        <v>0</v>
      </c>
      <c r="I37" s="625">
        <f t="shared" si="1"/>
        <v>0</v>
      </c>
      <c r="J37"/>
      <c r="K37" s="301"/>
      <c r="L37" s="301"/>
      <c r="M37" s="304"/>
    </row>
    <row r="38" spans="1:13" ht="15">
      <c r="A38" s="146"/>
      <c r="B38"/>
      <c r="C38" s="623" t="s">
        <v>316</v>
      </c>
      <c r="D38" s="626">
        <v>0</v>
      </c>
      <c r="E38" s="626">
        <v>0</v>
      </c>
      <c r="F38" s="626">
        <v>0</v>
      </c>
      <c r="G38" s="626">
        <v>0</v>
      </c>
      <c r="H38" s="626">
        <v>0</v>
      </c>
      <c r="I38" s="625">
        <f t="shared" si="1"/>
        <v>0</v>
      </c>
      <c r="J38"/>
      <c r="K38" s="301"/>
      <c r="L38" s="301"/>
      <c r="M38" s="304"/>
    </row>
    <row r="39" spans="1:13" ht="15">
      <c r="A39" s="146"/>
      <c r="B39"/>
      <c r="C39" s="623" t="s">
        <v>357</v>
      </c>
      <c r="D39" s="626">
        <v>0</v>
      </c>
      <c r="E39" s="626">
        <v>0</v>
      </c>
      <c r="F39" s="626">
        <v>0</v>
      </c>
      <c r="G39" s="626">
        <v>0</v>
      </c>
      <c r="H39" s="626">
        <v>0</v>
      </c>
      <c r="I39" s="625">
        <f t="shared" si="1"/>
        <v>0</v>
      </c>
      <c r="J39"/>
      <c r="K39" s="301"/>
      <c r="L39" s="301"/>
      <c r="M39" s="304"/>
    </row>
    <row r="40" spans="1:13" ht="15">
      <c r="A40" s="146"/>
      <c r="B40"/>
      <c r="C40" s="623" t="s">
        <v>358</v>
      </c>
      <c r="D40" s="626">
        <v>0</v>
      </c>
      <c r="E40" s="626">
        <v>0</v>
      </c>
      <c r="F40" s="626">
        <v>0</v>
      </c>
      <c r="G40" s="626">
        <v>0</v>
      </c>
      <c r="H40" s="626">
        <v>0</v>
      </c>
      <c r="I40" s="625">
        <f t="shared" si="1"/>
        <v>0</v>
      </c>
      <c r="J40"/>
      <c r="K40" s="301"/>
      <c r="L40" s="301"/>
      <c r="M40" s="304"/>
    </row>
    <row r="41" spans="1:13" ht="15">
      <c r="A41" s="146"/>
      <c r="B41"/>
      <c r="C41" s="627" t="s">
        <v>358</v>
      </c>
      <c r="D41" s="628">
        <v>0</v>
      </c>
      <c r="E41" s="628">
        <v>0</v>
      </c>
      <c r="F41" s="628">
        <v>0</v>
      </c>
      <c r="G41" s="628">
        <v>0</v>
      </c>
      <c r="H41" s="628">
        <v>0</v>
      </c>
      <c r="I41" s="629">
        <f t="shared" si="1"/>
        <v>0</v>
      </c>
      <c r="J41"/>
      <c r="K41" s="301"/>
      <c r="L41" s="301"/>
      <c r="M41" s="304"/>
    </row>
    <row r="42" spans="1:13" ht="15">
      <c r="A42" s="146"/>
      <c r="B42"/>
      <c r="C42" s="630" t="s">
        <v>41</v>
      </c>
      <c r="D42" s="631"/>
      <c r="E42" s="632"/>
      <c r="F42" s="633"/>
      <c r="G42" s="633"/>
      <c r="H42" s="632"/>
      <c r="I42" s="625">
        <f>SUM(I36:I41)</f>
        <v>-7475.6030927611273</v>
      </c>
      <c r="J42"/>
      <c r="K42" s="301"/>
      <c r="L42" s="301"/>
      <c r="M42" s="304"/>
    </row>
    <row r="43" spans="1:13" ht="15">
      <c r="A43" s="146"/>
      <c r="B43"/>
      <c r="C43" s="630"/>
      <c r="D43" s="631"/>
      <c r="E43" s="632"/>
      <c r="F43" s="633"/>
      <c r="G43" s="633"/>
      <c r="H43" s="632"/>
      <c r="I43" s="625"/>
      <c r="J43"/>
      <c r="K43" s="301"/>
      <c r="L43" s="301"/>
      <c r="M43" s="304"/>
    </row>
    <row r="44" spans="1:13" ht="15">
      <c r="A44" s="146"/>
      <c r="B44"/>
      <c r="C44" s="1182" t="s">
        <v>638</v>
      </c>
      <c r="D44" s="1183"/>
      <c r="E44" s="1183"/>
      <c r="F44" s="1183"/>
      <c r="G44" s="1183"/>
      <c r="H44" s="1183"/>
      <c r="I44" s="1183"/>
      <c r="J44" s="1183"/>
      <c r="K44" s="301"/>
      <c r="L44" s="301"/>
      <c r="M44" s="304"/>
    </row>
    <row r="45" spans="1:13" ht="15">
      <c r="A45" s="146"/>
      <c r="B45"/>
      <c r="C45" s="1183"/>
      <c r="D45" s="1183"/>
      <c r="E45" s="1183"/>
      <c r="F45" s="1183"/>
      <c r="G45" s="1183"/>
      <c r="H45" s="1183"/>
      <c r="I45" s="1183"/>
      <c r="J45" s="1183"/>
      <c r="K45" s="301"/>
      <c r="L45" s="301"/>
      <c r="M45" s="304"/>
    </row>
    <row r="46" spans="1:13" ht="15">
      <c r="A46" s="146"/>
      <c r="B46"/>
      <c r="C46" s="1183"/>
      <c r="D46" s="1183"/>
      <c r="E46" s="1183"/>
      <c r="F46" s="1183"/>
      <c r="G46" s="1183"/>
      <c r="H46" s="1183"/>
      <c r="I46" s="1183"/>
      <c r="J46" s="1183"/>
      <c r="K46" s="301"/>
      <c r="L46" s="301"/>
      <c r="M46" s="304"/>
    </row>
    <row r="47" spans="1:13" ht="15">
      <c r="A47" s="146"/>
      <c r="B47"/>
      <c r="C47" s="1183"/>
      <c r="D47" s="1183"/>
      <c r="E47" s="1183"/>
      <c r="F47" s="1183"/>
      <c r="G47" s="1183"/>
      <c r="H47" s="1183"/>
      <c r="I47" s="1183"/>
      <c r="J47" s="1183"/>
      <c r="K47" s="301"/>
      <c r="L47" s="301"/>
      <c r="M47" s="304"/>
    </row>
    <row r="48" spans="1:13" ht="31.5" customHeight="1">
      <c r="A48" s="146"/>
      <c r="B48"/>
      <c r="C48" s="1183"/>
      <c r="D48" s="1183"/>
      <c r="E48" s="1183"/>
      <c r="F48" s="1183"/>
      <c r="G48" s="1183"/>
      <c r="H48" s="1183"/>
      <c r="I48" s="1183"/>
      <c r="J48" s="1183"/>
      <c r="K48" s="301"/>
      <c r="L48" s="301"/>
      <c r="M48" s="304"/>
    </row>
    <row r="49" spans="1:884" ht="15.6" thickBot="1">
      <c r="A49" s="136"/>
      <c r="B49" s="957"/>
      <c r="C49" s="958"/>
      <c r="D49" s="959"/>
      <c r="E49" s="960"/>
      <c r="F49" s="961"/>
      <c r="G49" s="961"/>
      <c r="H49" s="960"/>
      <c r="I49" s="629"/>
      <c r="J49" s="957"/>
      <c r="K49" s="962"/>
      <c r="L49" s="962"/>
      <c r="M49" s="963"/>
    </row>
    <row r="50" spans="1:884" ht="13.8" thickBot="1">
      <c r="B50" s="301"/>
      <c r="C50" s="145"/>
      <c r="D50" s="301"/>
      <c r="F50" s="311"/>
      <c r="G50" s="321"/>
      <c r="H50" s="321"/>
      <c r="I50" s="301"/>
      <c r="J50" s="301"/>
      <c r="K50" s="301"/>
      <c r="L50" s="301"/>
      <c r="M50" s="301"/>
    </row>
    <row r="51" spans="1:884">
      <c r="A51" s="454" t="s">
        <v>136</v>
      </c>
      <c r="B51" s="270"/>
      <c r="C51" s="270"/>
      <c r="D51" s="270"/>
      <c r="E51" s="270"/>
      <c r="F51" s="270"/>
      <c r="G51" s="270"/>
      <c r="H51" s="270"/>
      <c r="I51" s="270"/>
      <c r="J51" s="270"/>
      <c r="K51" s="270"/>
      <c r="L51" s="270"/>
      <c r="M51" s="294"/>
    </row>
    <row r="52" spans="1:884">
      <c r="A52" s="1167"/>
      <c r="B52" s="1168"/>
      <c r="C52" s="1168"/>
      <c r="D52" s="1168"/>
      <c r="E52" s="1168"/>
      <c r="F52" s="1168"/>
      <c r="G52" s="887" t="s">
        <v>769</v>
      </c>
      <c r="H52" s="886"/>
      <c r="I52" s="451"/>
      <c r="J52" s="1169" t="s">
        <v>124</v>
      </c>
      <c r="K52" s="1161"/>
      <c r="L52" s="1161"/>
      <c r="M52" s="1166"/>
    </row>
    <row r="53" spans="1:884">
      <c r="A53" s="146"/>
      <c r="B53" s="157" t="s">
        <v>134</v>
      </c>
      <c r="E53" s="139"/>
      <c r="J53" s="1165"/>
      <c r="K53" s="1161"/>
      <c r="L53" s="1161"/>
      <c r="M53" s="1166"/>
    </row>
    <row r="54" spans="1:884" ht="15">
      <c r="A54" s="146"/>
      <c r="B54"/>
      <c r="C54" s="301"/>
      <c r="D54" s="302" t="s">
        <v>28</v>
      </c>
      <c r="E54" s="303" t="s">
        <v>135</v>
      </c>
      <c r="F54" s="124"/>
      <c r="H54" s="138"/>
      <c r="I54" s="301"/>
      <c r="J54"/>
      <c r="K54" s="301"/>
      <c r="L54" s="301"/>
      <c r="M54" s="304"/>
    </row>
    <row r="55" spans="1:884" ht="15">
      <c r="A55" s="146">
        <v>171</v>
      </c>
      <c r="B55"/>
      <c r="C55" s="145" t="s">
        <v>487</v>
      </c>
      <c r="D55" s="301"/>
      <c r="E55" s="145" t="s">
        <v>383</v>
      </c>
      <c r="F55" s="145"/>
      <c r="G55" s="1145">
        <f>190417</f>
        <v>190417</v>
      </c>
      <c r="H55" s="452"/>
      <c r="I55" s="301"/>
      <c r="J55"/>
      <c r="K55" s="301"/>
      <c r="L55" s="301"/>
      <c r="M55" s="304"/>
    </row>
    <row r="56" spans="1:884" ht="15">
      <c r="A56" s="146"/>
      <c r="B56"/>
      <c r="C56" s="311"/>
      <c r="D56" s="301"/>
      <c r="E56" s="311"/>
      <c r="F56" s="145"/>
      <c r="G56" s="321"/>
      <c r="H56" s="452"/>
      <c r="I56" s="301"/>
      <c r="J56"/>
      <c r="K56" s="301"/>
      <c r="L56" s="301"/>
      <c r="M56" s="304"/>
    </row>
    <row r="57" spans="1:884" ht="14.4">
      <c r="A57" s="166"/>
      <c r="B57" s="301"/>
      <c r="C57" s="459"/>
      <c r="I57" s="301"/>
      <c r="J57" s="301"/>
      <c r="K57" s="301"/>
      <c r="L57" s="301"/>
      <c r="M57" s="304"/>
    </row>
    <row r="58" spans="1:884" ht="15" thickBot="1">
      <c r="A58" s="136"/>
      <c r="B58" s="135"/>
      <c r="C58" s="460"/>
      <c r="D58" s="135"/>
      <c r="E58" s="135"/>
      <c r="F58" s="135"/>
      <c r="G58" s="135"/>
      <c r="H58" s="135"/>
      <c r="I58" s="135"/>
      <c r="J58" s="135"/>
      <c r="K58" s="135"/>
      <c r="L58" s="135"/>
      <c r="M58" s="134"/>
    </row>
    <row r="59" spans="1:884" ht="14.4">
      <c r="C59" s="453"/>
    </row>
    <row r="60" spans="1:884" s="455" customFormat="1" ht="13.8" thickBot="1">
      <c r="A60" s="457" t="s">
        <v>133</v>
      </c>
      <c r="B60" s="458"/>
      <c r="C60" s="458"/>
      <c r="D60" s="458"/>
      <c r="E60" s="458"/>
      <c r="F60" s="458"/>
      <c r="G60" s="458"/>
      <c r="H60" s="458"/>
      <c r="I60" s="458"/>
      <c r="J60" s="458"/>
      <c r="K60" s="458"/>
      <c r="L60" s="458"/>
      <c r="M60" s="458"/>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row>
    <row r="61" spans="1:884" s="455" customFormat="1" ht="26.4">
      <c r="A61" s="1184"/>
      <c r="B61" s="1185"/>
      <c r="C61" s="1185"/>
      <c r="D61" s="1185"/>
      <c r="E61" s="1185"/>
      <c r="F61" s="1185"/>
      <c r="G61" s="456" t="s">
        <v>131</v>
      </c>
      <c r="H61" s="192" t="s">
        <v>125</v>
      </c>
      <c r="I61" s="192" t="s">
        <v>130</v>
      </c>
      <c r="J61" s="1186" t="s">
        <v>353</v>
      </c>
      <c r="K61" s="1187"/>
      <c r="L61" s="1187"/>
      <c r="M61" s="1188"/>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c r="IW61" s="95"/>
      <c r="IX61" s="95"/>
      <c r="IY61" s="95"/>
      <c r="IZ61" s="95"/>
      <c r="JA61" s="95"/>
      <c r="JB61" s="95"/>
      <c r="JC61" s="95"/>
      <c r="JD61" s="95"/>
      <c r="JE61" s="95"/>
      <c r="JF61" s="95"/>
      <c r="JG61" s="95"/>
      <c r="JH61" s="95"/>
      <c r="JI61" s="95"/>
      <c r="JJ61" s="95"/>
      <c r="JK61" s="95"/>
      <c r="JL61" s="95"/>
      <c r="JM61" s="95"/>
      <c r="JN61" s="95"/>
      <c r="JO61" s="95"/>
      <c r="JP61" s="95"/>
      <c r="JQ61" s="95"/>
      <c r="JR61" s="95"/>
      <c r="JS61" s="95"/>
      <c r="JT61" s="95"/>
      <c r="JU61" s="95"/>
      <c r="JV61" s="95"/>
      <c r="JW61" s="95"/>
      <c r="JX61" s="95"/>
      <c r="JY61" s="95"/>
      <c r="JZ61" s="95"/>
      <c r="KA61" s="95"/>
      <c r="KB61" s="95"/>
      <c r="KC61" s="95"/>
      <c r="KD61" s="95"/>
      <c r="KE61" s="95"/>
      <c r="KF61" s="95"/>
      <c r="KG61" s="95"/>
      <c r="KH61" s="95"/>
      <c r="KI61" s="95"/>
      <c r="KJ61" s="95"/>
      <c r="KK61" s="95"/>
      <c r="KL61" s="95"/>
      <c r="KM61" s="95"/>
      <c r="KN61" s="95"/>
      <c r="KO61" s="95"/>
      <c r="KP61" s="95"/>
      <c r="KQ61" s="95"/>
      <c r="KR61" s="95"/>
      <c r="KS61" s="95"/>
      <c r="KT61" s="95"/>
      <c r="KU61" s="95"/>
      <c r="KV61" s="95"/>
      <c r="KW61" s="95"/>
      <c r="KX61" s="95"/>
      <c r="KY61" s="95"/>
      <c r="KZ61" s="95"/>
      <c r="LA61" s="95"/>
      <c r="LB61" s="95"/>
      <c r="LC61" s="95"/>
      <c r="LD61" s="95"/>
      <c r="LE61" s="95"/>
      <c r="LF61" s="95"/>
      <c r="LG61" s="95"/>
      <c r="LH61" s="95"/>
      <c r="LI61" s="95"/>
      <c r="LJ61" s="95"/>
      <c r="LK61" s="95"/>
      <c r="LL61" s="95"/>
      <c r="LM61" s="95"/>
      <c r="LN61" s="95"/>
      <c r="LO61" s="95"/>
      <c r="LP61" s="95"/>
      <c r="LQ61" s="95"/>
      <c r="LR61" s="95"/>
      <c r="LS61" s="95"/>
      <c r="LT61" s="95"/>
      <c r="LU61" s="95"/>
      <c r="LV61" s="95"/>
      <c r="LW61" s="95"/>
      <c r="LX61" s="95"/>
      <c r="LY61" s="95"/>
      <c r="LZ61" s="95"/>
      <c r="MA61" s="95"/>
      <c r="MB61" s="95"/>
      <c r="MC61" s="95"/>
      <c r="MD61" s="95"/>
      <c r="ME61" s="95"/>
      <c r="MF61" s="95"/>
      <c r="MG61" s="95"/>
      <c r="MH61" s="95"/>
      <c r="MI61" s="95"/>
      <c r="MJ61" s="95"/>
      <c r="MK61" s="95"/>
      <c r="ML61" s="95"/>
      <c r="MM61" s="95"/>
      <c r="MN61" s="95"/>
      <c r="MO61" s="95"/>
      <c r="MP61" s="95"/>
      <c r="MQ61" s="95"/>
      <c r="MR61" s="95"/>
      <c r="MS61" s="95"/>
      <c r="MT61" s="95"/>
      <c r="MU61" s="95"/>
      <c r="MV61" s="95"/>
      <c r="MW61" s="95"/>
      <c r="MX61" s="95"/>
      <c r="MY61" s="95"/>
      <c r="MZ61" s="95"/>
      <c r="NA61" s="95"/>
      <c r="NB61" s="95"/>
      <c r="NC61" s="95"/>
      <c r="ND61" s="95"/>
      <c r="NE61" s="95"/>
      <c r="NF61" s="95"/>
      <c r="NG61" s="95"/>
      <c r="NH61" s="95"/>
      <c r="NI61" s="95"/>
      <c r="NJ61" s="95"/>
      <c r="NK61" s="95"/>
      <c r="NL61" s="95"/>
      <c r="NM61" s="95"/>
      <c r="NN61" s="95"/>
      <c r="NO61" s="95"/>
      <c r="NP61" s="95"/>
      <c r="NQ61" s="95"/>
      <c r="NR61" s="95"/>
      <c r="NS61" s="95"/>
      <c r="NT61" s="95"/>
      <c r="NU61" s="95"/>
      <c r="NV61" s="95"/>
      <c r="NW61" s="95"/>
      <c r="NX61" s="95"/>
      <c r="NY61" s="95"/>
      <c r="NZ61" s="95"/>
      <c r="OA61" s="95"/>
      <c r="OB61" s="95"/>
      <c r="OC61" s="95"/>
      <c r="OD61" s="95"/>
      <c r="OE61" s="95"/>
      <c r="OF61" s="95"/>
      <c r="OG61" s="95"/>
      <c r="OH61" s="95"/>
      <c r="OI61" s="95"/>
      <c r="OJ61" s="95"/>
      <c r="OK61" s="95"/>
      <c r="OL61" s="95"/>
      <c r="OM61" s="95"/>
      <c r="ON61" s="95"/>
      <c r="OO61" s="95"/>
      <c r="OP61" s="95"/>
      <c r="OQ61" s="95"/>
      <c r="OR61" s="95"/>
      <c r="OS61" s="95"/>
      <c r="OT61" s="95"/>
      <c r="OU61" s="95"/>
      <c r="OV61" s="95"/>
      <c r="OW61" s="95"/>
      <c r="OX61" s="95"/>
      <c r="OY61" s="95"/>
      <c r="OZ61" s="95"/>
      <c r="PA61" s="95"/>
      <c r="PB61" s="95"/>
      <c r="PC61" s="95"/>
      <c r="PD61" s="95"/>
      <c r="PE61" s="95"/>
      <c r="PF61" s="95"/>
      <c r="PG61" s="95"/>
      <c r="PH61" s="95"/>
      <c r="PI61" s="95"/>
      <c r="PJ61" s="95"/>
      <c r="PK61" s="95"/>
      <c r="PL61" s="95"/>
      <c r="PM61" s="95"/>
      <c r="PN61" s="95"/>
      <c r="PO61" s="95"/>
      <c r="PP61" s="95"/>
      <c r="PQ61" s="95"/>
      <c r="PR61" s="95"/>
      <c r="PS61" s="95"/>
      <c r="PT61" s="95"/>
      <c r="PU61" s="95"/>
      <c r="PV61" s="95"/>
      <c r="PW61" s="95"/>
      <c r="PX61" s="95"/>
      <c r="PY61" s="95"/>
      <c r="PZ61" s="95"/>
      <c r="QA61" s="95"/>
      <c r="QB61" s="95"/>
      <c r="QC61" s="95"/>
      <c r="QD61" s="95"/>
      <c r="QE61" s="95"/>
      <c r="QF61" s="95"/>
      <c r="QG61" s="95"/>
      <c r="QH61" s="95"/>
      <c r="QI61" s="95"/>
      <c r="QJ61" s="95"/>
      <c r="QK61" s="95"/>
      <c r="QL61" s="95"/>
      <c r="QM61" s="95"/>
      <c r="QN61" s="95"/>
      <c r="QO61" s="95"/>
      <c r="QP61" s="95"/>
      <c r="QQ61" s="95"/>
      <c r="QR61" s="95"/>
      <c r="QS61" s="95"/>
      <c r="QT61" s="95"/>
      <c r="QU61" s="95"/>
      <c r="QV61" s="95"/>
      <c r="QW61" s="95"/>
      <c r="QX61" s="95"/>
      <c r="QY61" s="95"/>
      <c r="QZ61" s="95"/>
      <c r="RA61" s="95"/>
      <c r="RB61" s="95"/>
      <c r="RC61" s="95"/>
      <c r="RD61" s="95"/>
      <c r="RE61" s="95"/>
      <c r="RF61" s="95"/>
      <c r="RG61" s="95"/>
      <c r="RH61" s="95"/>
      <c r="RI61" s="95"/>
      <c r="RJ61" s="95"/>
      <c r="RK61" s="95"/>
      <c r="RL61" s="95"/>
      <c r="RM61" s="95"/>
      <c r="RN61" s="95"/>
      <c r="RO61" s="95"/>
      <c r="RP61" s="95"/>
      <c r="RQ61" s="95"/>
      <c r="RR61" s="95"/>
      <c r="RS61" s="95"/>
      <c r="RT61" s="95"/>
      <c r="RU61" s="95"/>
      <c r="RV61" s="95"/>
      <c r="RW61" s="95"/>
      <c r="RX61" s="95"/>
      <c r="RY61" s="95"/>
      <c r="RZ61" s="95"/>
      <c r="SA61" s="95"/>
      <c r="SB61" s="95"/>
      <c r="SC61" s="95"/>
      <c r="SD61" s="95"/>
      <c r="SE61" s="95"/>
      <c r="SF61" s="95"/>
      <c r="SG61" s="95"/>
      <c r="SH61" s="95"/>
      <c r="SI61" s="95"/>
      <c r="SJ61" s="95"/>
      <c r="SK61" s="95"/>
      <c r="SL61" s="95"/>
      <c r="SM61" s="95"/>
      <c r="SN61" s="95"/>
      <c r="SO61" s="95"/>
      <c r="SP61" s="95"/>
      <c r="SQ61" s="95"/>
      <c r="SR61" s="95"/>
      <c r="SS61" s="95"/>
      <c r="ST61" s="95"/>
      <c r="SU61" s="95"/>
      <c r="SV61" s="95"/>
      <c r="SW61" s="95"/>
      <c r="SX61" s="95"/>
      <c r="SY61" s="95"/>
      <c r="SZ61" s="95"/>
      <c r="TA61" s="95"/>
      <c r="TB61" s="95"/>
      <c r="TC61" s="95"/>
      <c r="TD61" s="95"/>
      <c r="TE61" s="95"/>
      <c r="TF61" s="95"/>
      <c r="TG61" s="95"/>
      <c r="TH61" s="95"/>
      <c r="TI61" s="95"/>
      <c r="TJ61" s="95"/>
      <c r="TK61" s="95"/>
      <c r="TL61" s="95"/>
      <c r="TM61" s="95"/>
      <c r="TN61" s="95"/>
      <c r="TO61" s="95"/>
      <c r="TP61" s="95"/>
      <c r="TQ61" s="95"/>
      <c r="TR61" s="95"/>
      <c r="TS61" s="95"/>
      <c r="TT61" s="95"/>
      <c r="TU61" s="95"/>
      <c r="TV61" s="95"/>
      <c r="TW61" s="95"/>
      <c r="TX61" s="95"/>
      <c r="TY61" s="95"/>
      <c r="TZ61" s="95"/>
      <c r="UA61" s="95"/>
      <c r="UB61" s="95"/>
      <c r="UC61" s="95"/>
      <c r="UD61" s="95"/>
      <c r="UE61" s="95"/>
      <c r="UF61" s="95"/>
      <c r="UG61" s="95"/>
      <c r="UH61" s="95"/>
      <c r="UI61" s="95"/>
      <c r="UJ61" s="95"/>
      <c r="UK61" s="95"/>
      <c r="UL61" s="95"/>
      <c r="UM61" s="95"/>
      <c r="UN61" s="95"/>
      <c r="UO61" s="95"/>
      <c r="UP61" s="95"/>
      <c r="UQ61" s="95"/>
      <c r="UR61" s="95"/>
      <c r="US61" s="95"/>
      <c r="UT61" s="95"/>
      <c r="UU61" s="95"/>
      <c r="UV61" s="95"/>
      <c r="UW61" s="95"/>
      <c r="UX61" s="95"/>
      <c r="UY61" s="95"/>
      <c r="UZ61" s="95"/>
      <c r="VA61" s="95"/>
      <c r="VB61" s="95"/>
      <c r="VC61" s="95"/>
      <c r="VD61" s="95"/>
      <c r="VE61" s="95"/>
      <c r="VF61" s="95"/>
      <c r="VG61" s="95"/>
      <c r="VH61" s="95"/>
      <c r="VI61" s="95"/>
      <c r="VJ61" s="95"/>
      <c r="VK61" s="95"/>
      <c r="VL61" s="95"/>
      <c r="VM61" s="95"/>
      <c r="VN61" s="95"/>
      <c r="VO61" s="95"/>
      <c r="VP61" s="95"/>
      <c r="VQ61" s="95"/>
      <c r="VR61" s="95"/>
      <c r="VS61" s="95"/>
      <c r="VT61" s="95"/>
      <c r="VU61" s="95"/>
      <c r="VV61" s="95"/>
      <c r="VW61" s="95"/>
      <c r="VX61" s="95"/>
      <c r="VY61" s="95"/>
      <c r="VZ61" s="95"/>
      <c r="WA61" s="95"/>
      <c r="WB61" s="95"/>
      <c r="WC61" s="95"/>
      <c r="WD61" s="95"/>
      <c r="WE61" s="95"/>
      <c r="WF61" s="95"/>
      <c r="WG61" s="95"/>
      <c r="WH61" s="95"/>
      <c r="WI61" s="95"/>
      <c r="WJ61" s="95"/>
      <c r="WK61" s="95"/>
      <c r="WL61" s="95"/>
      <c r="WM61" s="95"/>
      <c r="WN61" s="95"/>
      <c r="WO61" s="95"/>
      <c r="WP61" s="95"/>
      <c r="WQ61" s="95"/>
      <c r="WR61" s="95"/>
      <c r="WS61" s="95"/>
      <c r="WT61" s="95"/>
      <c r="WU61" s="95"/>
      <c r="WV61" s="95"/>
      <c r="WW61" s="95"/>
      <c r="WX61" s="95"/>
      <c r="WY61" s="95"/>
      <c r="WZ61" s="95"/>
      <c r="XA61" s="95"/>
      <c r="XB61" s="95"/>
      <c r="XC61" s="95"/>
      <c r="XD61" s="95"/>
      <c r="XE61" s="95"/>
      <c r="XF61" s="95"/>
      <c r="XG61" s="95"/>
      <c r="XH61" s="95"/>
      <c r="XI61" s="95"/>
      <c r="XJ61" s="95"/>
      <c r="XK61" s="95"/>
      <c r="XL61" s="95"/>
      <c r="XM61" s="95"/>
      <c r="XN61" s="95"/>
      <c r="XO61" s="95"/>
      <c r="XP61" s="95"/>
      <c r="XQ61" s="95"/>
      <c r="XR61" s="95"/>
      <c r="XS61" s="95"/>
      <c r="XT61" s="95"/>
      <c r="XU61" s="95"/>
      <c r="XV61" s="95"/>
      <c r="XW61" s="95"/>
      <c r="XX61" s="95"/>
      <c r="XY61" s="95"/>
      <c r="XZ61" s="95"/>
      <c r="YA61" s="95"/>
      <c r="YB61" s="95"/>
      <c r="YC61" s="95"/>
      <c r="YD61" s="95"/>
      <c r="YE61" s="95"/>
      <c r="YF61" s="95"/>
      <c r="YG61" s="95"/>
      <c r="YH61" s="95"/>
      <c r="YI61" s="95"/>
      <c r="YJ61" s="95"/>
      <c r="YK61" s="95"/>
      <c r="YL61" s="95"/>
      <c r="YM61" s="95"/>
      <c r="YN61" s="95"/>
      <c r="YO61" s="95"/>
      <c r="YP61" s="95"/>
      <c r="YQ61" s="95"/>
      <c r="YR61" s="95"/>
      <c r="YS61" s="95"/>
      <c r="YT61" s="95"/>
      <c r="YU61" s="95"/>
      <c r="YV61" s="95"/>
      <c r="YW61" s="95"/>
      <c r="YX61" s="95"/>
      <c r="YY61" s="95"/>
      <c r="YZ61" s="95"/>
      <c r="ZA61" s="95"/>
      <c r="ZB61" s="95"/>
      <c r="ZC61" s="95"/>
      <c r="ZD61" s="95"/>
      <c r="ZE61" s="95"/>
      <c r="ZF61" s="95"/>
      <c r="ZG61" s="95"/>
      <c r="ZH61" s="95"/>
      <c r="ZI61" s="95"/>
      <c r="ZJ61" s="95"/>
      <c r="ZK61" s="95"/>
      <c r="ZL61" s="95"/>
      <c r="ZM61" s="95"/>
      <c r="ZN61" s="95"/>
      <c r="ZO61" s="95"/>
      <c r="ZP61" s="95"/>
      <c r="ZQ61" s="95"/>
      <c r="ZR61" s="95"/>
      <c r="ZS61" s="95"/>
      <c r="ZT61" s="95"/>
      <c r="ZU61" s="95"/>
      <c r="ZV61" s="95"/>
      <c r="ZW61" s="95"/>
      <c r="ZX61" s="95"/>
      <c r="ZY61" s="95"/>
      <c r="ZZ61" s="95"/>
      <c r="AAA61" s="95"/>
      <c r="AAB61" s="95"/>
      <c r="AAC61" s="95"/>
      <c r="AAD61" s="95"/>
      <c r="AAE61" s="95"/>
      <c r="AAF61" s="95"/>
      <c r="AAG61" s="95"/>
      <c r="AAH61" s="95"/>
      <c r="AAI61" s="95"/>
      <c r="AAJ61" s="95"/>
      <c r="AAK61" s="95"/>
      <c r="AAL61" s="95"/>
      <c r="AAM61" s="95"/>
      <c r="AAN61" s="95"/>
      <c r="AAO61" s="95"/>
      <c r="AAP61" s="95"/>
      <c r="AAQ61" s="95"/>
      <c r="AAR61" s="95"/>
      <c r="AAS61" s="95"/>
      <c r="AAT61" s="95"/>
      <c r="AAU61" s="95"/>
      <c r="AAV61" s="95"/>
      <c r="AAW61" s="95"/>
      <c r="AAX61" s="95"/>
      <c r="AAY61" s="95"/>
      <c r="AAZ61" s="95"/>
      <c r="ABA61" s="95"/>
      <c r="ABB61" s="95"/>
      <c r="ABC61" s="95"/>
      <c r="ABD61" s="95"/>
      <c r="ABE61" s="95"/>
      <c r="ABF61" s="95"/>
      <c r="ABG61" s="95"/>
      <c r="ABH61" s="95"/>
      <c r="ABI61" s="95"/>
      <c r="ABJ61" s="95"/>
      <c r="ABK61" s="95"/>
      <c r="ABL61" s="95"/>
      <c r="ABM61" s="95"/>
      <c r="ABN61" s="95"/>
      <c r="ABO61" s="95"/>
      <c r="ABP61" s="95"/>
      <c r="ABQ61" s="95"/>
      <c r="ABR61" s="95"/>
      <c r="ABS61" s="95"/>
      <c r="ABT61" s="95"/>
      <c r="ABU61" s="95"/>
      <c r="ABV61" s="95"/>
      <c r="ABW61" s="95"/>
      <c r="ABX61" s="95"/>
      <c r="ABY61" s="95"/>
      <c r="ABZ61" s="95"/>
      <c r="ACA61" s="95"/>
      <c r="ACB61" s="95"/>
      <c r="ACC61" s="95"/>
      <c r="ACD61" s="95"/>
      <c r="ACE61" s="95"/>
      <c r="ACF61" s="95"/>
      <c r="ACG61" s="95"/>
      <c r="ACH61" s="95"/>
      <c r="ACI61" s="95"/>
      <c r="ACJ61" s="95"/>
      <c r="ACK61" s="95"/>
      <c r="ACL61" s="95"/>
      <c r="ACM61" s="95"/>
      <c r="ACN61" s="95"/>
      <c r="ACO61" s="95"/>
      <c r="ACP61" s="95"/>
      <c r="ACQ61" s="95"/>
      <c r="ACR61" s="95"/>
      <c r="ACS61" s="95"/>
      <c r="ACT61" s="95"/>
      <c r="ACU61" s="95"/>
      <c r="ACV61" s="95"/>
      <c r="ACW61" s="95"/>
      <c r="ACX61" s="95"/>
      <c r="ACY61" s="95"/>
      <c r="ACZ61" s="95"/>
      <c r="ADA61" s="95"/>
      <c r="ADB61" s="95"/>
      <c r="ADC61" s="95"/>
      <c r="ADD61" s="95"/>
      <c r="ADE61" s="95"/>
      <c r="ADF61" s="95"/>
      <c r="ADG61" s="95"/>
      <c r="ADH61" s="95"/>
      <c r="ADI61" s="95"/>
      <c r="ADJ61" s="95"/>
      <c r="ADK61" s="95"/>
      <c r="ADL61" s="95"/>
      <c r="ADM61" s="95"/>
      <c r="ADN61" s="95"/>
      <c r="ADO61" s="95"/>
      <c r="ADP61" s="95"/>
      <c r="ADQ61" s="95"/>
      <c r="ADR61" s="95"/>
      <c r="ADS61" s="95"/>
      <c r="ADT61" s="95"/>
      <c r="ADU61" s="95"/>
      <c r="ADV61" s="95"/>
      <c r="ADW61" s="95"/>
      <c r="ADX61" s="95"/>
      <c r="ADY61" s="95"/>
      <c r="ADZ61" s="95"/>
      <c r="AEA61" s="95"/>
      <c r="AEB61" s="95"/>
      <c r="AEC61" s="95"/>
      <c r="AED61" s="95"/>
      <c r="AEE61" s="95"/>
      <c r="AEF61" s="95"/>
      <c r="AEG61" s="95"/>
      <c r="AEH61" s="95"/>
      <c r="AEI61" s="95"/>
      <c r="AEJ61" s="95"/>
      <c r="AEK61" s="95"/>
      <c r="AEL61" s="95"/>
      <c r="AEM61" s="95"/>
      <c r="AEN61" s="95"/>
      <c r="AEO61" s="95"/>
      <c r="AEP61" s="95"/>
      <c r="AEQ61" s="95"/>
      <c r="AER61" s="95"/>
      <c r="AES61" s="95"/>
      <c r="AET61" s="95"/>
      <c r="AEU61" s="95"/>
      <c r="AEV61" s="95"/>
      <c r="AEW61" s="95"/>
      <c r="AEX61" s="95"/>
      <c r="AEY61" s="95"/>
      <c r="AEZ61" s="95"/>
      <c r="AFA61" s="95"/>
      <c r="AFB61" s="95"/>
      <c r="AFC61" s="95"/>
      <c r="AFD61" s="95"/>
      <c r="AFE61" s="95"/>
      <c r="AFF61" s="95"/>
      <c r="AFG61" s="95"/>
      <c r="AFH61" s="95"/>
      <c r="AFI61" s="95"/>
      <c r="AFJ61" s="95"/>
      <c r="AFK61" s="95"/>
      <c r="AFL61" s="95"/>
      <c r="AFM61" s="95"/>
      <c r="AFN61" s="95"/>
      <c r="AFO61" s="95"/>
      <c r="AFP61" s="95"/>
      <c r="AFQ61" s="95"/>
      <c r="AFR61" s="95"/>
      <c r="AFS61" s="95"/>
      <c r="AFT61" s="95"/>
      <c r="AFU61" s="95"/>
      <c r="AFV61" s="95"/>
      <c r="AFW61" s="95"/>
      <c r="AFX61" s="95"/>
      <c r="AFY61" s="95"/>
      <c r="AFZ61" s="95"/>
      <c r="AGA61" s="95"/>
      <c r="AGB61" s="95"/>
      <c r="AGC61" s="95"/>
      <c r="AGD61" s="95"/>
      <c r="AGE61" s="95"/>
      <c r="AGF61" s="95"/>
      <c r="AGG61" s="95"/>
      <c r="AGH61" s="95"/>
      <c r="AGI61" s="95"/>
      <c r="AGJ61" s="95"/>
      <c r="AGK61" s="95"/>
      <c r="AGL61" s="95"/>
      <c r="AGM61" s="95"/>
      <c r="AGN61" s="95"/>
      <c r="AGO61" s="95"/>
      <c r="AGP61" s="95"/>
      <c r="AGQ61" s="95"/>
      <c r="AGR61" s="95"/>
      <c r="AGS61" s="95"/>
      <c r="AGT61" s="95"/>
      <c r="AGU61" s="95"/>
      <c r="AGV61" s="95"/>
      <c r="AGW61" s="95"/>
      <c r="AGX61" s="95"/>
      <c r="AGY61" s="95"/>
      <c r="AGZ61" s="95"/>
    </row>
    <row r="62" spans="1:884" s="455" customFormat="1">
      <c r="A62" s="146"/>
      <c r="B62" s="157" t="s">
        <v>129</v>
      </c>
      <c r="C62" s="145"/>
      <c r="D62" s="95"/>
      <c r="E62" s="156"/>
      <c r="F62" s="145"/>
      <c r="G62" s="118"/>
      <c r="H62" s="168"/>
      <c r="I62" s="154"/>
      <c r="J62" s="95"/>
      <c r="K62" s="95"/>
      <c r="L62" s="95"/>
      <c r="M62" s="137"/>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c r="IV62" s="95"/>
      <c r="IW62" s="95"/>
      <c r="IX62" s="95"/>
      <c r="IY62" s="95"/>
      <c r="IZ62" s="95"/>
      <c r="JA62" s="95"/>
      <c r="JB62" s="95"/>
      <c r="JC62" s="95"/>
      <c r="JD62" s="95"/>
      <c r="JE62" s="95"/>
      <c r="JF62" s="95"/>
      <c r="JG62" s="95"/>
      <c r="JH62" s="95"/>
      <c r="JI62" s="95"/>
      <c r="JJ62" s="95"/>
      <c r="JK62" s="95"/>
      <c r="JL62" s="95"/>
      <c r="JM62" s="95"/>
      <c r="JN62" s="95"/>
      <c r="JO62" s="95"/>
      <c r="JP62" s="95"/>
      <c r="JQ62" s="95"/>
      <c r="JR62" s="95"/>
      <c r="JS62" s="95"/>
      <c r="JT62" s="95"/>
      <c r="JU62" s="95"/>
      <c r="JV62" s="95"/>
      <c r="JW62" s="95"/>
      <c r="JX62" s="95"/>
      <c r="JY62" s="95"/>
      <c r="JZ62" s="95"/>
      <c r="KA62" s="95"/>
      <c r="KB62" s="95"/>
      <c r="KC62" s="95"/>
      <c r="KD62" s="95"/>
      <c r="KE62" s="95"/>
      <c r="KF62" s="95"/>
      <c r="KG62" s="95"/>
      <c r="KH62" s="95"/>
      <c r="KI62" s="95"/>
      <c r="KJ62" s="95"/>
      <c r="KK62" s="95"/>
      <c r="KL62" s="95"/>
      <c r="KM62" s="95"/>
      <c r="KN62" s="95"/>
      <c r="KO62" s="95"/>
      <c r="KP62" s="95"/>
      <c r="KQ62" s="95"/>
      <c r="KR62" s="95"/>
      <c r="KS62" s="95"/>
      <c r="KT62" s="95"/>
      <c r="KU62" s="95"/>
      <c r="KV62" s="95"/>
      <c r="KW62" s="95"/>
      <c r="KX62" s="95"/>
      <c r="KY62" s="95"/>
      <c r="KZ62" s="95"/>
      <c r="LA62" s="95"/>
      <c r="LB62" s="95"/>
      <c r="LC62" s="95"/>
      <c r="LD62" s="95"/>
      <c r="LE62" s="95"/>
      <c r="LF62" s="95"/>
      <c r="LG62" s="95"/>
      <c r="LH62" s="95"/>
      <c r="LI62" s="95"/>
      <c r="LJ62" s="95"/>
      <c r="LK62" s="95"/>
      <c r="LL62" s="95"/>
      <c r="LM62" s="95"/>
      <c r="LN62" s="95"/>
      <c r="LO62" s="95"/>
      <c r="LP62" s="95"/>
      <c r="LQ62" s="95"/>
      <c r="LR62" s="95"/>
      <c r="LS62" s="95"/>
      <c r="LT62" s="95"/>
      <c r="LU62" s="95"/>
      <c r="LV62" s="95"/>
      <c r="LW62" s="95"/>
      <c r="LX62" s="95"/>
      <c r="LY62" s="95"/>
      <c r="LZ62" s="95"/>
      <c r="MA62" s="95"/>
      <c r="MB62" s="95"/>
      <c r="MC62" s="95"/>
      <c r="MD62" s="95"/>
      <c r="ME62" s="95"/>
      <c r="MF62" s="95"/>
      <c r="MG62" s="95"/>
      <c r="MH62" s="95"/>
      <c r="MI62" s="95"/>
      <c r="MJ62" s="95"/>
      <c r="MK62" s="95"/>
      <c r="ML62" s="95"/>
      <c r="MM62" s="95"/>
      <c r="MN62" s="95"/>
      <c r="MO62" s="95"/>
      <c r="MP62" s="95"/>
      <c r="MQ62" s="95"/>
      <c r="MR62" s="95"/>
      <c r="MS62" s="95"/>
      <c r="MT62" s="95"/>
      <c r="MU62" s="95"/>
      <c r="MV62" s="95"/>
      <c r="MW62" s="95"/>
      <c r="MX62" s="95"/>
      <c r="MY62" s="95"/>
      <c r="MZ62" s="95"/>
      <c r="NA62" s="95"/>
      <c r="NB62" s="95"/>
      <c r="NC62" s="95"/>
      <c r="ND62" s="95"/>
      <c r="NE62" s="95"/>
      <c r="NF62" s="95"/>
      <c r="NG62" s="95"/>
      <c r="NH62" s="95"/>
      <c r="NI62" s="95"/>
      <c r="NJ62" s="95"/>
      <c r="NK62" s="95"/>
      <c r="NL62" s="95"/>
      <c r="NM62" s="95"/>
      <c r="NN62" s="95"/>
      <c r="NO62" s="95"/>
      <c r="NP62" s="95"/>
      <c r="NQ62" s="95"/>
      <c r="NR62" s="95"/>
      <c r="NS62" s="95"/>
      <c r="NT62" s="95"/>
      <c r="NU62" s="95"/>
      <c r="NV62" s="95"/>
      <c r="NW62" s="95"/>
      <c r="NX62" s="95"/>
      <c r="NY62" s="95"/>
      <c r="NZ62" s="95"/>
      <c r="OA62" s="95"/>
      <c r="OB62" s="95"/>
      <c r="OC62" s="95"/>
      <c r="OD62" s="95"/>
      <c r="OE62" s="95"/>
      <c r="OF62" s="95"/>
      <c r="OG62" s="95"/>
      <c r="OH62" s="95"/>
      <c r="OI62" s="95"/>
      <c r="OJ62" s="95"/>
      <c r="OK62" s="95"/>
      <c r="OL62" s="95"/>
      <c r="OM62" s="95"/>
      <c r="ON62" s="95"/>
      <c r="OO62" s="95"/>
      <c r="OP62" s="95"/>
      <c r="OQ62" s="95"/>
      <c r="OR62" s="95"/>
      <c r="OS62" s="95"/>
      <c r="OT62" s="95"/>
      <c r="OU62" s="95"/>
      <c r="OV62" s="95"/>
      <c r="OW62" s="95"/>
      <c r="OX62" s="95"/>
      <c r="OY62" s="95"/>
      <c r="OZ62" s="95"/>
      <c r="PA62" s="95"/>
      <c r="PB62" s="95"/>
      <c r="PC62" s="95"/>
      <c r="PD62" s="95"/>
      <c r="PE62" s="95"/>
      <c r="PF62" s="95"/>
      <c r="PG62" s="95"/>
      <c r="PH62" s="95"/>
      <c r="PI62" s="95"/>
      <c r="PJ62" s="95"/>
      <c r="PK62" s="95"/>
      <c r="PL62" s="95"/>
      <c r="PM62" s="95"/>
      <c r="PN62" s="95"/>
      <c r="PO62" s="95"/>
      <c r="PP62" s="95"/>
      <c r="PQ62" s="95"/>
      <c r="PR62" s="95"/>
      <c r="PS62" s="95"/>
      <c r="PT62" s="95"/>
      <c r="PU62" s="95"/>
      <c r="PV62" s="95"/>
      <c r="PW62" s="95"/>
      <c r="PX62" s="95"/>
      <c r="PY62" s="95"/>
      <c r="PZ62" s="95"/>
      <c r="QA62" s="95"/>
      <c r="QB62" s="95"/>
      <c r="QC62" s="95"/>
      <c r="QD62" s="95"/>
      <c r="QE62" s="95"/>
      <c r="QF62" s="95"/>
      <c r="QG62" s="95"/>
      <c r="QH62" s="95"/>
      <c r="QI62" s="95"/>
      <c r="QJ62" s="95"/>
      <c r="QK62" s="95"/>
      <c r="QL62" s="95"/>
      <c r="QM62" s="95"/>
      <c r="QN62" s="95"/>
      <c r="QO62" s="95"/>
      <c r="QP62" s="95"/>
      <c r="QQ62" s="95"/>
      <c r="QR62" s="95"/>
      <c r="QS62" s="95"/>
      <c r="QT62" s="95"/>
      <c r="QU62" s="95"/>
      <c r="QV62" s="95"/>
      <c r="QW62" s="95"/>
      <c r="QX62" s="95"/>
      <c r="QY62" s="95"/>
      <c r="QZ62" s="95"/>
      <c r="RA62" s="95"/>
      <c r="RB62" s="95"/>
      <c r="RC62" s="95"/>
      <c r="RD62" s="95"/>
      <c r="RE62" s="95"/>
      <c r="RF62" s="95"/>
      <c r="RG62" s="95"/>
      <c r="RH62" s="95"/>
      <c r="RI62" s="95"/>
      <c r="RJ62" s="95"/>
      <c r="RK62" s="95"/>
      <c r="RL62" s="95"/>
      <c r="RM62" s="95"/>
      <c r="RN62" s="95"/>
      <c r="RO62" s="95"/>
      <c r="RP62" s="95"/>
      <c r="RQ62" s="95"/>
      <c r="RR62" s="95"/>
      <c r="RS62" s="95"/>
      <c r="RT62" s="95"/>
      <c r="RU62" s="95"/>
      <c r="RV62" s="95"/>
      <c r="RW62" s="95"/>
      <c r="RX62" s="95"/>
      <c r="RY62" s="95"/>
      <c r="RZ62" s="95"/>
      <c r="SA62" s="95"/>
      <c r="SB62" s="95"/>
      <c r="SC62" s="95"/>
      <c r="SD62" s="95"/>
      <c r="SE62" s="95"/>
      <c r="SF62" s="95"/>
      <c r="SG62" s="95"/>
      <c r="SH62" s="95"/>
      <c r="SI62" s="95"/>
      <c r="SJ62" s="95"/>
      <c r="SK62" s="95"/>
      <c r="SL62" s="95"/>
      <c r="SM62" s="95"/>
      <c r="SN62" s="95"/>
      <c r="SO62" s="95"/>
      <c r="SP62" s="95"/>
      <c r="SQ62" s="95"/>
      <c r="SR62" s="95"/>
      <c r="SS62" s="95"/>
      <c r="ST62" s="95"/>
      <c r="SU62" s="95"/>
      <c r="SV62" s="95"/>
      <c r="SW62" s="95"/>
      <c r="SX62" s="95"/>
      <c r="SY62" s="95"/>
      <c r="SZ62" s="95"/>
      <c r="TA62" s="95"/>
      <c r="TB62" s="95"/>
      <c r="TC62" s="95"/>
      <c r="TD62" s="95"/>
      <c r="TE62" s="95"/>
      <c r="TF62" s="95"/>
      <c r="TG62" s="95"/>
      <c r="TH62" s="95"/>
      <c r="TI62" s="95"/>
      <c r="TJ62" s="95"/>
      <c r="TK62" s="95"/>
      <c r="TL62" s="95"/>
      <c r="TM62" s="95"/>
      <c r="TN62" s="95"/>
      <c r="TO62" s="95"/>
      <c r="TP62" s="95"/>
      <c r="TQ62" s="95"/>
      <c r="TR62" s="95"/>
      <c r="TS62" s="95"/>
      <c r="TT62" s="95"/>
      <c r="TU62" s="95"/>
      <c r="TV62" s="95"/>
      <c r="TW62" s="95"/>
      <c r="TX62" s="95"/>
      <c r="TY62" s="95"/>
      <c r="TZ62" s="95"/>
      <c r="UA62" s="95"/>
      <c r="UB62" s="95"/>
      <c r="UC62" s="95"/>
      <c r="UD62" s="95"/>
      <c r="UE62" s="95"/>
      <c r="UF62" s="95"/>
      <c r="UG62" s="95"/>
      <c r="UH62" s="95"/>
      <c r="UI62" s="95"/>
      <c r="UJ62" s="95"/>
      <c r="UK62" s="95"/>
      <c r="UL62" s="95"/>
      <c r="UM62" s="95"/>
      <c r="UN62" s="95"/>
      <c r="UO62" s="95"/>
      <c r="UP62" s="95"/>
      <c r="UQ62" s="95"/>
      <c r="UR62" s="95"/>
      <c r="US62" s="95"/>
      <c r="UT62" s="95"/>
      <c r="UU62" s="95"/>
      <c r="UV62" s="95"/>
      <c r="UW62" s="95"/>
      <c r="UX62" s="95"/>
      <c r="UY62" s="95"/>
      <c r="UZ62" s="95"/>
      <c r="VA62" s="95"/>
      <c r="VB62" s="95"/>
      <c r="VC62" s="95"/>
      <c r="VD62" s="95"/>
      <c r="VE62" s="95"/>
      <c r="VF62" s="95"/>
      <c r="VG62" s="95"/>
      <c r="VH62" s="95"/>
      <c r="VI62" s="95"/>
      <c r="VJ62" s="95"/>
      <c r="VK62" s="95"/>
      <c r="VL62" s="95"/>
      <c r="VM62" s="95"/>
      <c r="VN62" s="95"/>
      <c r="VO62" s="95"/>
      <c r="VP62" s="95"/>
      <c r="VQ62" s="95"/>
      <c r="VR62" s="95"/>
      <c r="VS62" s="95"/>
      <c r="VT62" s="95"/>
      <c r="VU62" s="95"/>
      <c r="VV62" s="95"/>
      <c r="VW62" s="95"/>
      <c r="VX62" s="95"/>
      <c r="VY62" s="95"/>
      <c r="VZ62" s="95"/>
      <c r="WA62" s="95"/>
      <c r="WB62" s="95"/>
      <c r="WC62" s="95"/>
      <c r="WD62" s="95"/>
      <c r="WE62" s="95"/>
      <c r="WF62" s="95"/>
      <c r="WG62" s="95"/>
      <c r="WH62" s="95"/>
      <c r="WI62" s="95"/>
      <c r="WJ62" s="95"/>
      <c r="WK62" s="95"/>
      <c r="WL62" s="95"/>
      <c r="WM62" s="95"/>
      <c r="WN62" s="95"/>
      <c r="WO62" s="95"/>
      <c r="WP62" s="95"/>
      <c r="WQ62" s="95"/>
      <c r="WR62" s="95"/>
      <c r="WS62" s="95"/>
      <c r="WT62" s="95"/>
      <c r="WU62" s="95"/>
      <c r="WV62" s="95"/>
      <c r="WW62" s="95"/>
      <c r="WX62" s="95"/>
      <c r="WY62" s="95"/>
      <c r="WZ62" s="95"/>
      <c r="XA62" s="95"/>
      <c r="XB62" s="95"/>
      <c r="XC62" s="95"/>
      <c r="XD62" s="95"/>
      <c r="XE62" s="95"/>
      <c r="XF62" s="95"/>
      <c r="XG62" s="95"/>
      <c r="XH62" s="95"/>
      <c r="XI62" s="95"/>
      <c r="XJ62" s="95"/>
      <c r="XK62" s="95"/>
      <c r="XL62" s="95"/>
      <c r="XM62" s="95"/>
      <c r="XN62" s="95"/>
      <c r="XO62" s="95"/>
      <c r="XP62" s="95"/>
      <c r="XQ62" s="95"/>
      <c r="XR62" s="95"/>
      <c r="XS62" s="95"/>
      <c r="XT62" s="95"/>
      <c r="XU62" s="95"/>
      <c r="XV62" s="95"/>
      <c r="XW62" s="95"/>
      <c r="XX62" s="95"/>
      <c r="XY62" s="95"/>
      <c r="XZ62" s="95"/>
      <c r="YA62" s="95"/>
      <c r="YB62" s="95"/>
      <c r="YC62" s="95"/>
      <c r="YD62" s="95"/>
      <c r="YE62" s="95"/>
      <c r="YF62" s="95"/>
      <c r="YG62" s="95"/>
      <c r="YH62" s="95"/>
      <c r="YI62" s="95"/>
      <c r="YJ62" s="95"/>
      <c r="YK62" s="95"/>
      <c r="YL62" s="95"/>
      <c r="YM62" s="95"/>
      <c r="YN62" s="95"/>
      <c r="YO62" s="95"/>
      <c r="YP62" s="95"/>
      <c r="YQ62" s="95"/>
      <c r="YR62" s="95"/>
      <c r="YS62" s="95"/>
      <c r="YT62" s="95"/>
      <c r="YU62" s="95"/>
      <c r="YV62" s="95"/>
      <c r="YW62" s="95"/>
      <c r="YX62" s="95"/>
      <c r="YY62" s="95"/>
      <c r="YZ62" s="95"/>
      <c r="ZA62" s="95"/>
      <c r="ZB62" s="95"/>
      <c r="ZC62" s="95"/>
      <c r="ZD62" s="95"/>
      <c r="ZE62" s="95"/>
      <c r="ZF62" s="95"/>
      <c r="ZG62" s="95"/>
      <c r="ZH62" s="95"/>
      <c r="ZI62" s="95"/>
      <c r="ZJ62" s="95"/>
      <c r="ZK62" s="95"/>
      <c r="ZL62" s="95"/>
      <c r="ZM62" s="95"/>
      <c r="ZN62" s="95"/>
      <c r="ZO62" s="95"/>
      <c r="ZP62" s="95"/>
      <c r="ZQ62" s="95"/>
      <c r="ZR62" s="95"/>
      <c r="ZS62" s="95"/>
      <c r="ZT62" s="95"/>
      <c r="ZU62" s="95"/>
      <c r="ZV62" s="95"/>
      <c r="ZW62" s="95"/>
      <c r="ZX62" s="95"/>
      <c r="ZY62" s="95"/>
      <c r="ZZ62" s="95"/>
      <c r="AAA62" s="95"/>
      <c r="AAB62" s="95"/>
      <c r="AAC62" s="95"/>
      <c r="AAD62" s="95"/>
      <c r="AAE62" s="95"/>
      <c r="AAF62" s="95"/>
      <c r="AAG62" s="95"/>
      <c r="AAH62" s="95"/>
      <c r="AAI62" s="95"/>
      <c r="AAJ62" s="95"/>
      <c r="AAK62" s="95"/>
      <c r="AAL62" s="95"/>
      <c r="AAM62" s="95"/>
      <c r="AAN62" s="95"/>
      <c r="AAO62" s="95"/>
      <c r="AAP62" s="95"/>
      <c r="AAQ62" s="95"/>
      <c r="AAR62" s="95"/>
      <c r="AAS62" s="95"/>
      <c r="AAT62" s="95"/>
      <c r="AAU62" s="95"/>
      <c r="AAV62" s="95"/>
      <c r="AAW62" s="95"/>
      <c r="AAX62" s="95"/>
      <c r="AAY62" s="95"/>
      <c r="AAZ62" s="95"/>
      <c r="ABA62" s="95"/>
      <c r="ABB62" s="95"/>
      <c r="ABC62" s="95"/>
      <c r="ABD62" s="95"/>
      <c r="ABE62" s="95"/>
      <c r="ABF62" s="95"/>
      <c r="ABG62" s="95"/>
      <c r="ABH62" s="95"/>
      <c r="ABI62" s="95"/>
      <c r="ABJ62" s="95"/>
      <c r="ABK62" s="95"/>
      <c r="ABL62" s="95"/>
      <c r="ABM62" s="95"/>
      <c r="ABN62" s="95"/>
      <c r="ABO62" s="95"/>
      <c r="ABP62" s="95"/>
      <c r="ABQ62" s="95"/>
      <c r="ABR62" s="95"/>
      <c r="ABS62" s="95"/>
      <c r="ABT62" s="95"/>
      <c r="ABU62" s="95"/>
      <c r="ABV62" s="95"/>
      <c r="ABW62" s="95"/>
      <c r="ABX62" s="95"/>
      <c r="ABY62" s="95"/>
      <c r="ABZ62" s="95"/>
      <c r="ACA62" s="95"/>
      <c r="ACB62" s="95"/>
      <c r="ACC62" s="95"/>
      <c r="ACD62" s="95"/>
      <c r="ACE62" s="95"/>
      <c r="ACF62" s="95"/>
      <c r="ACG62" s="95"/>
      <c r="ACH62" s="95"/>
      <c r="ACI62" s="95"/>
      <c r="ACJ62" s="95"/>
      <c r="ACK62" s="95"/>
      <c r="ACL62" s="95"/>
      <c r="ACM62" s="95"/>
      <c r="ACN62" s="95"/>
      <c r="ACO62" s="95"/>
      <c r="ACP62" s="95"/>
      <c r="ACQ62" s="95"/>
      <c r="ACR62" s="95"/>
      <c r="ACS62" s="95"/>
      <c r="ACT62" s="95"/>
      <c r="ACU62" s="95"/>
      <c r="ACV62" s="95"/>
      <c r="ACW62" s="95"/>
      <c r="ACX62" s="95"/>
      <c r="ACY62" s="95"/>
      <c r="ACZ62" s="95"/>
      <c r="ADA62" s="95"/>
      <c r="ADB62" s="95"/>
      <c r="ADC62" s="95"/>
      <c r="ADD62" s="95"/>
      <c r="ADE62" s="95"/>
      <c r="ADF62" s="95"/>
      <c r="ADG62" s="95"/>
      <c r="ADH62" s="95"/>
      <c r="ADI62" s="95"/>
      <c r="ADJ62" s="95"/>
      <c r="ADK62" s="95"/>
      <c r="ADL62" s="95"/>
      <c r="ADM62" s="95"/>
      <c r="ADN62" s="95"/>
      <c r="ADO62" s="95"/>
      <c r="ADP62" s="95"/>
      <c r="ADQ62" s="95"/>
      <c r="ADR62" s="95"/>
      <c r="ADS62" s="95"/>
      <c r="ADT62" s="95"/>
      <c r="ADU62" s="95"/>
      <c r="ADV62" s="95"/>
      <c r="ADW62" s="95"/>
      <c r="ADX62" s="95"/>
      <c r="ADY62" s="95"/>
      <c r="ADZ62" s="95"/>
      <c r="AEA62" s="95"/>
      <c r="AEB62" s="95"/>
      <c r="AEC62" s="95"/>
      <c r="AED62" s="95"/>
      <c r="AEE62" s="95"/>
      <c r="AEF62" s="95"/>
      <c r="AEG62" s="95"/>
      <c r="AEH62" s="95"/>
      <c r="AEI62" s="95"/>
      <c r="AEJ62" s="95"/>
      <c r="AEK62" s="95"/>
      <c r="AEL62" s="95"/>
      <c r="AEM62" s="95"/>
      <c r="AEN62" s="95"/>
      <c r="AEO62" s="95"/>
      <c r="AEP62" s="95"/>
      <c r="AEQ62" s="95"/>
      <c r="AER62" s="95"/>
      <c r="AES62" s="95"/>
      <c r="AET62" s="95"/>
      <c r="AEU62" s="95"/>
      <c r="AEV62" s="95"/>
      <c r="AEW62" s="95"/>
      <c r="AEX62" s="95"/>
      <c r="AEY62" s="95"/>
      <c r="AEZ62" s="95"/>
      <c r="AFA62" s="95"/>
      <c r="AFB62" s="95"/>
      <c r="AFC62" s="95"/>
      <c r="AFD62" s="95"/>
      <c r="AFE62" s="95"/>
      <c r="AFF62" s="95"/>
      <c r="AFG62" s="95"/>
      <c r="AFH62" s="95"/>
      <c r="AFI62" s="95"/>
      <c r="AFJ62" s="95"/>
      <c r="AFK62" s="95"/>
      <c r="AFL62" s="95"/>
      <c r="AFM62" s="95"/>
      <c r="AFN62" s="95"/>
      <c r="AFO62" s="95"/>
      <c r="AFP62" s="95"/>
      <c r="AFQ62" s="95"/>
      <c r="AFR62" s="95"/>
      <c r="AFS62" s="95"/>
      <c r="AFT62" s="95"/>
      <c r="AFU62" s="95"/>
      <c r="AFV62" s="95"/>
      <c r="AFW62" s="95"/>
      <c r="AFX62" s="95"/>
      <c r="AFY62" s="95"/>
      <c r="AFZ62" s="95"/>
      <c r="AGA62" s="95"/>
      <c r="AGB62" s="95"/>
      <c r="AGC62" s="95"/>
      <c r="AGD62" s="95"/>
      <c r="AGE62" s="95"/>
      <c r="AGF62" s="95"/>
      <c r="AGG62" s="95"/>
      <c r="AGH62" s="95"/>
      <c r="AGI62" s="95"/>
      <c r="AGJ62" s="95"/>
      <c r="AGK62" s="95"/>
      <c r="AGL62" s="95"/>
      <c r="AGM62" s="95"/>
      <c r="AGN62" s="95"/>
      <c r="AGO62" s="95"/>
      <c r="AGP62" s="95"/>
      <c r="AGQ62" s="95"/>
      <c r="AGR62" s="95"/>
      <c r="AGS62" s="95"/>
      <c r="AGT62" s="95"/>
      <c r="AGU62" s="95"/>
      <c r="AGV62" s="95"/>
      <c r="AGW62" s="95"/>
      <c r="AGX62" s="95"/>
      <c r="AGY62" s="95"/>
      <c r="AGZ62" s="95"/>
    </row>
    <row r="63" spans="1:884" s="455" customFormat="1" ht="14.4">
      <c r="A63" s="146"/>
      <c r="B63" s="157"/>
      <c r="C63" s="145"/>
      <c r="D63" s="95"/>
      <c r="E63" s="156"/>
      <c r="F63" s="145"/>
      <c r="G63" s="118"/>
      <c r="H63" s="168"/>
      <c r="I63" s="154"/>
      <c r="J63" s="463"/>
      <c r="K63" s="95"/>
      <c r="L63" s="95"/>
      <c r="M63" s="137"/>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5"/>
      <c r="SL63" s="95"/>
      <c r="SM63" s="95"/>
      <c r="SN63" s="95"/>
      <c r="SO63" s="95"/>
      <c r="SP63" s="95"/>
      <c r="SQ63" s="95"/>
      <c r="SR63" s="95"/>
      <c r="SS63" s="95"/>
      <c r="ST63" s="95"/>
      <c r="SU63" s="95"/>
      <c r="SV63" s="95"/>
      <c r="SW63" s="95"/>
      <c r="SX63" s="95"/>
      <c r="SY63" s="95"/>
      <c r="SZ63" s="95"/>
      <c r="TA63" s="95"/>
      <c r="TB63" s="95"/>
      <c r="TC63" s="95"/>
      <c r="TD63" s="95"/>
      <c r="TE63" s="95"/>
      <c r="TF63" s="95"/>
      <c r="TG63" s="95"/>
      <c r="TH63" s="95"/>
      <c r="TI63" s="95"/>
      <c r="TJ63" s="95"/>
      <c r="TK63" s="95"/>
      <c r="TL63" s="95"/>
      <c r="TM63" s="95"/>
      <c r="TN63" s="95"/>
      <c r="TO63" s="95"/>
      <c r="TP63" s="95"/>
      <c r="TQ63" s="95"/>
      <c r="TR63" s="95"/>
      <c r="TS63" s="95"/>
      <c r="TT63" s="95"/>
      <c r="TU63" s="95"/>
      <c r="TV63" s="95"/>
      <c r="TW63" s="95"/>
      <c r="TX63" s="95"/>
      <c r="TY63" s="95"/>
      <c r="TZ63" s="95"/>
      <c r="UA63" s="95"/>
      <c r="UB63" s="95"/>
      <c r="UC63" s="95"/>
      <c r="UD63" s="95"/>
      <c r="UE63" s="95"/>
      <c r="UF63" s="95"/>
      <c r="UG63" s="95"/>
      <c r="UH63" s="95"/>
      <c r="UI63" s="95"/>
      <c r="UJ63" s="95"/>
      <c r="UK63" s="95"/>
      <c r="UL63" s="95"/>
      <c r="UM63" s="95"/>
      <c r="UN63" s="95"/>
      <c r="UO63" s="95"/>
      <c r="UP63" s="95"/>
      <c r="UQ63" s="95"/>
      <c r="UR63" s="95"/>
      <c r="US63" s="95"/>
      <c r="UT63" s="95"/>
      <c r="UU63" s="95"/>
      <c r="UV63" s="95"/>
      <c r="UW63" s="95"/>
      <c r="UX63" s="95"/>
      <c r="UY63" s="95"/>
      <c r="UZ63" s="95"/>
      <c r="VA63" s="95"/>
      <c r="VB63" s="95"/>
      <c r="VC63" s="95"/>
      <c r="VD63" s="95"/>
      <c r="VE63" s="95"/>
      <c r="VF63" s="95"/>
      <c r="VG63" s="95"/>
      <c r="VH63" s="95"/>
      <c r="VI63" s="95"/>
      <c r="VJ63" s="95"/>
      <c r="VK63" s="95"/>
      <c r="VL63" s="95"/>
      <c r="VM63" s="95"/>
      <c r="VN63" s="95"/>
      <c r="VO63" s="95"/>
      <c r="VP63" s="95"/>
      <c r="VQ63" s="95"/>
      <c r="VR63" s="95"/>
      <c r="VS63" s="95"/>
      <c r="VT63" s="95"/>
      <c r="VU63" s="95"/>
      <c r="VV63" s="95"/>
      <c r="VW63" s="95"/>
      <c r="VX63" s="95"/>
      <c r="VY63" s="95"/>
      <c r="VZ63" s="95"/>
      <c r="WA63" s="95"/>
      <c r="WB63" s="95"/>
      <c r="WC63" s="95"/>
      <c r="WD63" s="95"/>
      <c r="WE63" s="95"/>
      <c r="WF63" s="95"/>
      <c r="WG63" s="95"/>
      <c r="WH63" s="95"/>
      <c r="WI63" s="95"/>
      <c r="WJ63" s="95"/>
      <c r="WK63" s="95"/>
      <c r="WL63" s="95"/>
      <c r="WM63" s="95"/>
      <c r="WN63" s="95"/>
      <c r="WO63" s="95"/>
      <c r="WP63" s="95"/>
      <c r="WQ63" s="95"/>
      <c r="WR63" s="95"/>
      <c r="WS63" s="95"/>
      <c r="WT63" s="95"/>
      <c r="WU63" s="95"/>
      <c r="WV63" s="95"/>
      <c r="WW63" s="95"/>
      <c r="WX63" s="95"/>
      <c r="WY63" s="95"/>
      <c r="WZ63" s="95"/>
      <c r="XA63" s="95"/>
      <c r="XB63" s="95"/>
      <c r="XC63" s="95"/>
      <c r="XD63" s="95"/>
      <c r="XE63" s="95"/>
      <c r="XF63" s="95"/>
      <c r="XG63" s="95"/>
      <c r="XH63" s="95"/>
      <c r="XI63" s="95"/>
      <c r="XJ63" s="95"/>
      <c r="XK63" s="95"/>
      <c r="XL63" s="95"/>
      <c r="XM63" s="95"/>
      <c r="XN63" s="95"/>
      <c r="XO63" s="95"/>
      <c r="XP63" s="95"/>
      <c r="XQ63" s="95"/>
      <c r="XR63" s="95"/>
      <c r="XS63" s="95"/>
      <c r="XT63" s="95"/>
      <c r="XU63" s="95"/>
      <c r="XV63" s="95"/>
      <c r="XW63" s="95"/>
      <c r="XX63" s="95"/>
      <c r="XY63" s="95"/>
      <c r="XZ63" s="95"/>
      <c r="YA63" s="95"/>
      <c r="YB63" s="95"/>
      <c r="YC63" s="95"/>
      <c r="YD63" s="95"/>
      <c r="YE63" s="95"/>
      <c r="YF63" s="95"/>
      <c r="YG63" s="95"/>
      <c r="YH63" s="95"/>
      <c r="YI63" s="95"/>
      <c r="YJ63" s="95"/>
      <c r="YK63" s="95"/>
      <c r="YL63" s="95"/>
      <c r="YM63" s="95"/>
      <c r="YN63" s="95"/>
      <c r="YO63" s="95"/>
      <c r="YP63" s="95"/>
      <c r="YQ63" s="95"/>
      <c r="YR63" s="95"/>
      <c r="YS63" s="95"/>
      <c r="YT63" s="95"/>
      <c r="YU63" s="95"/>
      <c r="YV63" s="95"/>
      <c r="YW63" s="95"/>
      <c r="YX63" s="95"/>
      <c r="YY63" s="95"/>
      <c r="YZ63" s="95"/>
      <c r="ZA63" s="95"/>
      <c r="ZB63" s="95"/>
      <c r="ZC63" s="95"/>
      <c r="ZD63" s="95"/>
      <c r="ZE63" s="95"/>
      <c r="ZF63" s="95"/>
      <c r="ZG63" s="95"/>
      <c r="ZH63" s="95"/>
      <c r="ZI63" s="95"/>
      <c r="ZJ63" s="95"/>
      <c r="ZK63" s="95"/>
      <c r="ZL63" s="95"/>
      <c r="ZM63" s="95"/>
      <c r="ZN63" s="95"/>
      <c r="ZO63" s="95"/>
      <c r="ZP63" s="95"/>
      <c r="ZQ63" s="95"/>
      <c r="ZR63" s="95"/>
      <c r="ZS63" s="95"/>
      <c r="ZT63" s="95"/>
      <c r="ZU63" s="95"/>
      <c r="ZV63" s="95"/>
      <c r="ZW63" s="95"/>
      <c r="ZX63" s="95"/>
      <c r="ZY63" s="95"/>
      <c r="ZZ63" s="95"/>
      <c r="AAA63" s="95"/>
      <c r="AAB63" s="95"/>
      <c r="AAC63" s="95"/>
      <c r="AAD63" s="95"/>
      <c r="AAE63" s="95"/>
      <c r="AAF63" s="95"/>
      <c r="AAG63" s="95"/>
      <c r="AAH63" s="95"/>
      <c r="AAI63" s="95"/>
      <c r="AAJ63" s="95"/>
      <c r="AAK63" s="95"/>
      <c r="AAL63" s="95"/>
      <c r="AAM63" s="95"/>
      <c r="AAN63" s="95"/>
      <c r="AAO63" s="95"/>
      <c r="AAP63" s="95"/>
      <c r="AAQ63" s="95"/>
      <c r="AAR63" s="95"/>
      <c r="AAS63" s="95"/>
      <c r="AAT63" s="95"/>
      <c r="AAU63" s="95"/>
      <c r="AAV63" s="95"/>
      <c r="AAW63" s="95"/>
      <c r="AAX63" s="95"/>
      <c r="AAY63" s="95"/>
      <c r="AAZ63" s="95"/>
      <c r="ABA63" s="95"/>
      <c r="ABB63" s="95"/>
      <c r="ABC63" s="95"/>
      <c r="ABD63" s="95"/>
      <c r="ABE63" s="95"/>
      <c r="ABF63" s="95"/>
      <c r="ABG63" s="95"/>
      <c r="ABH63" s="95"/>
      <c r="ABI63" s="95"/>
      <c r="ABJ63" s="95"/>
      <c r="ABK63" s="95"/>
      <c r="ABL63" s="95"/>
      <c r="ABM63" s="95"/>
      <c r="ABN63" s="95"/>
      <c r="ABO63" s="95"/>
      <c r="ABP63" s="95"/>
      <c r="ABQ63" s="95"/>
      <c r="ABR63" s="95"/>
      <c r="ABS63" s="95"/>
      <c r="ABT63" s="95"/>
      <c r="ABU63" s="95"/>
      <c r="ABV63" s="95"/>
      <c r="ABW63" s="95"/>
      <c r="ABX63" s="95"/>
      <c r="ABY63" s="95"/>
      <c r="ABZ63" s="95"/>
      <c r="ACA63" s="95"/>
      <c r="ACB63" s="95"/>
      <c r="ACC63" s="95"/>
      <c r="ACD63" s="95"/>
      <c r="ACE63" s="95"/>
      <c r="ACF63" s="95"/>
      <c r="ACG63" s="95"/>
      <c r="ACH63" s="95"/>
      <c r="ACI63" s="95"/>
      <c r="ACJ63" s="95"/>
      <c r="ACK63" s="95"/>
      <c r="ACL63" s="95"/>
      <c r="ACM63" s="95"/>
      <c r="ACN63" s="95"/>
      <c r="ACO63" s="95"/>
      <c r="ACP63" s="95"/>
      <c r="ACQ63" s="95"/>
      <c r="ACR63" s="95"/>
      <c r="ACS63" s="95"/>
      <c r="ACT63" s="95"/>
      <c r="ACU63" s="95"/>
      <c r="ACV63" s="95"/>
      <c r="ACW63" s="95"/>
      <c r="ACX63" s="95"/>
      <c r="ACY63" s="95"/>
      <c r="ACZ63" s="95"/>
      <c r="ADA63" s="95"/>
      <c r="ADB63" s="95"/>
      <c r="ADC63" s="95"/>
      <c r="ADD63" s="95"/>
      <c r="ADE63" s="95"/>
      <c r="ADF63" s="95"/>
      <c r="ADG63" s="95"/>
      <c r="ADH63" s="95"/>
      <c r="ADI63" s="95"/>
      <c r="ADJ63" s="95"/>
      <c r="ADK63" s="95"/>
      <c r="ADL63" s="95"/>
      <c r="ADM63" s="95"/>
      <c r="ADN63" s="95"/>
      <c r="ADO63" s="95"/>
      <c r="ADP63" s="95"/>
      <c r="ADQ63" s="95"/>
      <c r="ADR63" s="95"/>
      <c r="ADS63" s="95"/>
      <c r="ADT63" s="95"/>
      <c r="ADU63" s="95"/>
      <c r="ADV63" s="95"/>
      <c r="ADW63" s="95"/>
      <c r="ADX63" s="95"/>
      <c r="ADY63" s="95"/>
      <c r="ADZ63" s="95"/>
      <c r="AEA63" s="95"/>
      <c r="AEB63" s="95"/>
      <c r="AEC63" s="95"/>
      <c r="AED63" s="95"/>
      <c r="AEE63" s="95"/>
      <c r="AEF63" s="95"/>
      <c r="AEG63" s="95"/>
      <c r="AEH63" s="95"/>
      <c r="AEI63" s="95"/>
      <c r="AEJ63" s="95"/>
      <c r="AEK63" s="95"/>
      <c r="AEL63" s="95"/>
      <c r="AEM63" s="95"/>
      <c r="AEN63" s="95"/>
      <c r="AEO63" s="95"/>
      <c r="AEP63" s="95"/>
      <c r="AEQ63" s="95"/>
      <c r="AER63" s="95"/>
      <c r="AES63" s="95"/>
      <c r="AET63" s="95"/>
      <c r="AEU63" s="95"/>
      <c r="AEV63" s="95"/>
      <c r="AEW63" s="95"/>
      <c r="AEX63" s="95"/>
      <c r="AEY63" s="95"/>
      <c r="AEZ63" s="95"/>
      <c r="AFA63" s="95"/>
      <c r="AFB63" s="95"/>
      <c r="AFC63" s="95"/>
      <c r="AFD63" s="95"/>
      <c r="AFE63" s="95"/>
      <c r="AFF63" s="95"/>
      <c r="AFG63" s="95"/>
      <c r="AFH63" s="95"/>
      <c r="AFI63" s="95"/>
      <c r="AFJ63" s="95"/>
      <c r="AFK63" s="95"/>
      <c r="AFL63" s="95"/>
      <c r="AFM63" s="95"/>
      <c r="AFN63" s="95"/>
      <c r="AFO63" s="95"/>
      <c r="AFP63" s="95"/>
      <c r="AFQ63" s="95"/>
      <c r="AFR63" s="95"/>
      <c r="AFS63" s="95"/>
      <c r="AFT63" s="95"/>
      <c r="AFU63" s="95"/>
      <c r="AFV63" s="95"/>
      <c r="AFW63" s="95"/>
      <c r="AFX63" s="95"/>
      <c r="AFY63" s="95"/>
      <c r="AFZ63" s="95"/>
      <c r="AGA63" s="95"/>
      <c r="AGB63" s="95"/>
      <c r="AGC63" s="95"/>
      <c r="AGD63" s="95"/>
      <c r="AGE63" s="95"/>
      <c r="AGF63" s="95"/>
      <c r="AGG63" s="95"/>
      <c r="AGH63" s="95"/>
      <c r="AGI63" s="95"/>
      <c r="AGJ63" s="95"/>
      <c r="AGK63" s="95"/>
      <c r="AGL63" s="95"/>
      <c r="AGM63" s="95"/>
      <c r="AGN63" s="95"/>
      <c r="AGO63" s="95"/>
      <c r="AGP63" s="95"/>
      <c r="AGQ63" s="95"/>
      <c r="AGR63" s="95"/>
      <c r="AGS63" s="95"/>
      <c r="AGT63" s="95"/>
      <c r="AGU63" s="95"/>
      <c r="AGV63" s="95"/>
      <c r="AGW63" s="95"/>
      <c r="AGX63" s="95"/>
      <c r="AGY63" s="95"/>
      <c r="AGZ63" s="95"/>
    </row>
    <row r="64" spans="1:884" s="455" customFormat="1">
      <c r="A64" s="146">
        <f>+A55+1</f>
        <v>172</v>
      </c>
      <c r="B64" s="141"/>
      <c r="C64" s="145" t="s">
        <v>191</v>
      </c>
      <c r="D64" s="164"/>
      <c r="E64" s="164"/>
      <c r="F64" s="145" t="s">
        <v>262</v>
      </c>
      <c r="G64" s="464">
        <v>2509443</v>
      </c>
      <c r="H64" s="978">
        <v>0</v>
      </c>
      <c r="I64" s="147">
        <f>+G64-H64</f>
        <v>2509443</v>
      </c>
      <c r="J64" s="95"/>
      <c r="K64" s="95"/>
      <c r="L64" s="95"/>
      <c r="M64" s="137"/>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c r="IW64" s="95"/>
      <c r="IX64" s="95"/>
      <c r="IY64" s="95"/>
      <c r="IZ64" s="95"/>
      <c r="JA64" s="95"/>
      <c r="JB64" s="95"/>
      <c r="JC64" s="95"/>
      <c r="JD64" s="95"/>
      <c r="JE64" s="95"/>
      <c r="JF64" s="95"/>
      <c r="JG64" s="95"/>
      <c r="JH64" s="95"/>
      <c r="JI64" s="95"/>
      <c r="JJ64" s="95"/>
      <c r="JK64" s="95"/>
      <c r="JL64" s="95"/>
      <c r="JM64" s="95"/>
      <c r="JN64" s="95"/>
      <c r="JO64" s="95"/>
      <c r="JP64" s="95"/>
      <c r="JQ64" s="95"/>
      <c r="JR64" s="95"/>
      <c r="JS64" s="95"/>
      <c r="JT64" s="95"/>
      <c r="JU64" s="95"/>
      <c r="JV64" s="95"/>
      <c r="JW64" s="95"/>
      <c r="JX64" s="95"/>
      <c r="JY64" s="95"/>
      <c r="JZ64" s="95"/>
      <c r="KA64" s="95"/>
      <c r="KB64" s="95"/>
      <c r="KC64" s="95"/>
      <c r="KD64" s="95"/>
      <c r="KE64" s="95"/>
      <c r="KF64" s="95"/>
      <c r="KG64" s="95"/>
      <c r="KH64" s="95"/>
      <c r="KI64" s="95"/>
      <c r="KJ64" s="95"/>
      <c r="KK64" s="95"/>
      <c r="KL64" s="95"/>
      <c r="KM64" s="95"/>
      <c r="KN64" s="95"/>
      <c r="KO64" s="95"/>
      <c r="KP64" s="95"/>
      <c r="KQ64" s="95"/>
      <c r="KR64" s="95"/>
      <c r="KS64" s="95"/>
      <c r="KT64" s="95"/>
      <c r="KU64" s="95"/>
      <c r="KV64" s="95"/>
      <c r="KW64" s="95"/>
      <c r="KX64" s="95"/>
      <c r="KY64" s="95"/>
      <c r="KZ64" s="95"/>
      <c r="LA64" s="95"/>
      <c r="LB64" s="95"/>
      <c r="LC64" s="95"/>
      <c r="LD64" s="95"/>
      <c r="LE64" s="95"/>
      <c r="LF64" s="95"/>
      <c r="LG64" s="95"/>
      <c r="LH64" s="95"/>
      <c r="LI64" s="95"/>
      <c r="LJ64" s="95"/>
      <c r="LK64" s="95"/>
      <c r="LL64" s="95"/>
      <c r="LM64" s="95"/>
      <c r="LN64" s="95"/>
      <c r="LO64" s="95"/>
      <c r="LP64" s="95"/>
      <c r="LQ64" s="95"/>
      <c r="LR64" s="95"/>
      <c r="LS64" s="95"/>
      <c r="LT64" s="95"/>
      <c r="LU64" s="95"/>
      <c r="LV64" s="95"/>
      <c r="LW64" s="95"/>
      <c r="LX64" s="95"/>
      <c r="LY64" s="95"/>
      <c r="LZ64" s="95"/>
      <c r="MA64" s="95"/>
      <c r="MB64" s="95"/>
      <c r="MC64" s="95"/>
      <c r="MD64" s="95"/>
      <c r="ME64" s="95"/>
      <c r="MF64" s="95"/>
      <c r="MG64" s="95"/>
      <c r="MH64" s="95"/>
      <c r="MI64" s="95"/>
      <c r="MJ64" s="95"/>
      <c r="MK64" s="95"/>
      <c r="ML64" s="95"/>
      <c r="MM64" s="95"/>
      <c r="MN64" s="95"/>
      <c r="MO64" s="95"/>
      <c r="MP64" s="95"/>
      <c r="MQ64" s="95"/>
      <c r="MR64" s="95"/>
      <c r="MS64" s="95"/>
      <c r="MT64" s="95"/>
      <c r="MU64" s="95"/>
      <c r="MV64" s="95"/>
      <c r="MW64" s="95"/>
      <c r="MX64" s="95"/>
      <c r="MY64" s="95"/>
      <c r="MZ64" s="95"/>
      <c r="NA64" s="95"/>
      <c r="NB64" s="95"/>
      <c r="NC64" s="95"/>
      <c r="ND64" s="95"/>
      <c r="NE64" s="95"/>
      <c r="NF64" s="95"/>
      <c r="NG64" s="95"/>
      <c r="NH64" s="95"/>
      <c r="NI64" s="95"/>
      <c r="NJ64" s="95"/>
      <c r="NK64" s="95"/>
      <c r="NL64" s="95"/>
      <c r="NM64" s="95"/>
      <c r="NN64" s="95"/>
      <c r="NO64" s="95"/>
      <c r="NP64" s="95"/>
      <c r="NQ64" s="95"/>
      <c r="NR64" s="95"/>
      <c r="NS64" s="95"/>
      <c r="NT64" s="95"/>
      <c r="NU64" s="95"/>
      <c r="NV64" s="95"/>
      <c r="NW64" s="95"/>
      <c r="NX64" s="95"/>
      <c r="NY64" s="95"/>
      <c r="NZ64" s="95"/>
      <c r="OA64" s="95"/>
      <c r="OB64" s="95"/>
      <c r="OC64" s="95"/>
      <c r="OD64" s="95"/>
      <c r="OE64" s="95"/>
      <c r="OF64" s="95"/>
      <c r="OG64" s="95"/>
      <c r="OH64" s="95"/>
      <c r="OI64" s="95"/>
      <c r="OJ64" s="95"/>
      <c r="OK64" s="95"/>
      <c r="OL64" s="95"/>
      <c r="OM64" s="95"/>
      <c r="ON64" s="95"/>
      <c r="OO64" s="95"/>
      <c r="OP64" s="95"/>
      <c r="OQ64" s="95"/>
      <c r="OR64" s="95"/>
      <c r="OS64" s="95"/>
      <c r="OT64" s="95"/>
      <c r="OU64" s="95"/>
      <c r="OV64" s="95"/>
      <c r="OW64" s="95"/>
      <c r="OX64" s="95"/>
      <c r="OY64" s="95"/>
      <c r="OZ64" s="95"/>
      <c r="PA64" s="95"/>
      <c r="PB64" s="95"/>
      <c r="PC64" s="95"/>
      <c r="PD64" s="95"/>
      <c r="PE64" s="95"/>
      <c r="PF64" s="95"/>
      <c r="PG64" s="95"/>
      <c r="PH64" s="95"/>
      <c r="PI64" s="95"/>
      <c r="PJ64" s="95"/>
      <c r="PK64" s="95"/>
      <c r="PL64" s="95"/>
      <c r="PM64" s="95"/>
      <c r="PN64" s="95"/>
      <c r="PO64" s="95"/>
      <c r="PP64" s="95"/>
      <c r="PQ64" s="95"/>
      <c r="PR64" s="95"/>
      <c r="PS64" s="95"/>
      <c r="PT64" s="95"/>
      <c r="PU64" s="95"/>
      <c r="PV64" s="95"/>
      <c r="PW64" s="95"/>
      <c r="PX64" s="95"/>
      <c r="PY64" s="95"/>
      <c r="PZ64" s="95"/>
      <c r="QA64" s="95"/>
      <c r="QB64" s="95"/>
      <c r="QC64" s="95"/>
      <c r="QD64" s="95"/>
      <c r="QE64" s="95"/>
      <c r="QF64" s="95"/>
      <c r="QG64" s="95"/>
      <c r="QH64" s="95"/>
      <c r="QI64" s="95"/>
      <c r="QJ64" s="95"/>
      <c r="QK64" s="95"/>
      <c r="QL64" s="95"/>
      <c r="QM64" s="95"/>
      <c r="QN64" s="95"/>
      <c r="QO64" s="95"/>
      <c r="QP64" s="95"/>
      <c r="QQ64" s="95"/>
      <c r="QR64" s="95"/>
      <c r="QS64" s="95"/>
      <c r="QT64" s="95"/>
      <c r="QU64" s="95"/>
      <c r="QV64" s="95"/>
      <c r="QW64" s="95"/>
      <c r="QX64" s="95"/>
      <c r="QY64" s="95"/>
      <c r="QZ64" s="95"/>
      <c r="RA64" s="95"/>
      <c r="RB64" s="95"/>
      <c r="RC64" s="95"/>
      <c r="RD64" s="95"/>
      <c r="RE64" s="95"/>
      <c r="RF64" s="95"/>
      <c r="RG64" s="95"/>
      <c r="RH64" s="95"/>
      <c r="RI64" s="95"/>
      <c r="RJ64" s="95"/>
      <c r="RK64" s="95"/>
      <c r="RL64" s="95"/>
      <c r="RM64" s="95"/>
      <c r="RN64" s="95"/>
      <c r="RO64" s="95"/>
      <c r="RP64" s="95"/>
      <c r="RQ64" s="95"/>
      <c r="RR64" s="95"/>
      <c r="RS64" s="95"/>
      <c r="RT64" s="95"/>
      <c r="RU64" s="95"/>
      <c r="RV64" s="95"/>
      <c r="RW64" s="95"/>
      <c r="RX64" s="95"/>
      <c r="RY64" s="95"/>
      <c r="RZ64" s="95"/>
      <c r="SA64" s="95"/>
      <c r="SB64" s="95"/>
      <c r="SC64" s="95"/>
      <c r="SD64" s="95"/>
      <c r="SE64" s="95"/>
      <c r="SF64" s="95"/>
      <c r="SG64" s="95"/>
      <c r="SH64" s="95"/>
      <c r="SI64" s="95"/>
      <c r="SJ64" s="95"/>
      <c r="SK64" s="95"/>
      <c r="SL64" s="95"/>
      <c r="SM64" s="95"/>
      <c r="SN64" s="95"/>
      <c r="SO64" s="95"/>
      <c r="SP64" s="95"/>
      <c r="SQ64" s="95"/>
      <c r="SR64" s="95"/>
      <c r="SS64" s="95"/>
      <c r="ST64" s="95"/>
      <c r="SU64" s="95"/>
      <c r="SV64" s="95"/>
      <c r="SW64" s="95"/>
      <c r="SX64" s="95"/>
      <c r="SY64" s="95"/>
      <c r="SZ64" s="95"/>
      <c r="TA64" s="95"/>
      <c r="TB64" s="95"/>
      <c r="TC64" s="95"/>
      <c r="TD64" s="95"/>
      <c r="TE64" s="95"/>
      <c r="TF64" s="95"/>
      <c r="TG64" s="95"/>
      <c r="TH64" s="95"/>
      <c r="TI64" s="95"/>
      <c r="TJ64" s="95"/>
      <c r="TK64" s="95"/>
      <c r="TL64" s="95"/>
      <c r="TM64" s="95"/>
      <c r="TN64" s="95"/>
      <c r="TO64" s="95"/>
      <c r="TP64" s="95"/>
      <c r="TQ64" s="95"/>
      <c r="TR64" s="95"/>
      <c r="TS64" s="95"/>
      <c r="TT64" s="95"/>
      <c r="TU64" s="95"/>
      <c r="TV64" s="95"/>
      <c r="TW64" s="95"/>
      <c r="TX64" s="95"/>
      <c r="TY64" s="95"/>
      <c r="TZ64" s="95"/>
      <c r="UA64" s="95"/>
      <c r="UB64" s="95"/>
      <c r="UC64" s="95"/>
      <c r="UD64" s="95"/>
      <c r="UE64" s="95"/>
      <c r="UF64" s="95"/>
      <c r="UG64" s="95"/>
      <c r="UH64" s="95"/>
      <c r="UI64" s="95"/>
      <c r="UJ64" s="95"/>
      <c r="UK64" s="95"/>
      <c r="UL64" s="95"/>
      <c r="UM64" s="95"/>
      <c r="UN64" s="95"/>
      <c r="UO64" s="95"/>
      <c r="UP64" s="95"/>
      <c r="UQ64" s="95"/>
      <c r="UR64" s="95"/>
      <c r="US64" s="95"/>
      <c r="UT64" s="95"/>
      <c r="UU64" s="95"/>
      <c r="UV64" s="95"/>
      <c r="UW64" s="95"/>
      <c r="UX64" s="95"/>
      <c r="UY64" s="95"/>
      <c r="UZ64" s="95"/>
      <c r="VA64" s="95"/>
      <c r="VB64" s="95"/>
      <c r="VC64" s="95"/>
      <c r="VD64" s="95"/>
      <c r="VE64" s="95"/>
      <c r="VF64" s="95"/>
      <c r="VG64" s="95"/>
      <c r="VH64" s="95"/>
      <c r="VI64" s="95"/>
      <c r="VJ64" s="95"/>
      <c r="VK64" s="95"/>
      <c r="VL64" s="95"/>
      <c r="VM64" s="95"/>
      <c r="VN64" s="95"/>
      <c r="VO64" s="95"/>
      <c r="VP64" s="95"/>
      <c r="VQ64" s="95"/>
      <c r="VR64" s="95"/>
      <c r="VS64" s="95"/>
      <c r="VT64" s="95"/>
      <c r="VU64" s="95"/>
      <c r="VV64" s="95"/>
      <c r="VW64" s="95"/>
      <c r="VX64" s="95"/>
      <c r="VY64" s="95"/>
      <c r="VZ64" s="95"/>
      <c r="WA64" s="95"/>
      <c r="WB64" s="95"/>
      <c r="WC64" s="95"/>
      <c r="WD64" s="95"/>
      <c r="WE64" s="95"/>
      <c r="WF64" s="95"/>
      <c r="WG64" s="95"/>
      <c r="WH64" s="95"/>
      <c r="WI64" s="95"/>
      <c r="WJ64" s="95"/>
      <c r="WK64" s="95"/>
      <c r="WL64" s="95"/>
      <c r="WM64" s="95"/>
      <c r="WN64" s="95"/>
      <c r="WO64" s="95"/>
      <c r="WP64" s="95"/>
      <c r="WQ64" s="95"/>
      <c r="WR64" s="95"/>
      <c r="WS64" s="95"/>
      <c r="WT64" s="95"/>
      <c r="WU64" s="95"/>
      <c r="WV64" s="95"/>
      <c r="WW64" s="95"/>
      <c r="WX64" s="95"/>
      <c r="WY64" s="95"/>
      <c r="WZ64" s="95"/>
      <c r="XA64" s="95"/>
      <c r="XB64" s="95"/>
      <c r="XC64" s="95"/>
      <c r="XD64" s="95"/>
      <c r="XE64" s="95"/>
      <c r="XF64" s="95"/>
      <c r="XG64" s="95"/>
      <c r="XH64" s="95"/>
      <c r="XI64" s="95"/>
      <c r="XJ64" s="95"/>
      <c r="XK64" s="95"/>
      <c r="XL64" s="95"/>
      <c r="XM64" s="95"/>
      <c r="XN64" s="95"/>
      <c r="XO64" s="95"/>
      <c r="XP64" s="95"/>
      <c r="XQ64" s="95"/>
      <c r="XR64" s="95"/>
      <c r="XS64" s="95"/>
      <c r="XT64" s="95"/>
      <c r="XU64" s="95"/>
      <c r="XV64" s="95"/>
      <c r="XW64" s="95"/>
      <c r="XX64" s="95"/>
      <c r="XY64" s="95"/>
      <c r="XZ64" s="95"/>
      <c r="YA64" s="95"/>
      <c r="YB64" s="95"/>
      <c r="YC64" s="95"/>
      <c r="YD64" s="95"/>
      <c r="YE64" s="95"/>
      <c r="YF64" s="95"/>
      <c r="YG64" s="95"/>
      <c r="YH64" s="95"/>
      <c r="YI64" s="95"/>
      <c r="YJ64" s="95"/>
      <c r="YK64" s="95"/>
      <c r="YL64" s="95"/>
      <c r="YM64" s="95"/>
      <c r="YN64" s="95"/>
      <c r="YO64" s="95"/>
      <c r="YP64" s="95"/>
      <c r="YQ64" s="95"/>
      <c r="YR64" s="95"/>
      <c r="YS64" s="95"/>
      <c r="YT64" s="95"/>
      <c r="YU64" s="95"/>
      <c r="YV64" s="95"/>
      <c r="YW64" s="95"/>
      <c r="YX64" s="95"/>
      <c r="YY64" s="95"/>
      <c r="YZ64" s="95"/>
      <c r="ZA64" s="95"/>
      <c r="ZB64" s="95"/>
      <c r="ZC64" s="95"/>
      <c r="ZD64" s="95"/>
      <c r="ZE64" s="95"/>
      <c r="ZF64" s="95"/>
      <c r="ZG64" s="95"/>
      <c r="ZH64" s="95"/>
      <c r="ZI64" s="95"/>
      <c r="ZJ64" s="95"/>
      <c r="ZK64" s="95"/>
      <c r="ZL64" s="95"/>
      <c r="ZM64" s="95"/>
      <c r="ZN64" s="95"/>
      <c r="ZO64" s="95"/>
      <c r="ZP64" s="95"/>
      <c r="ZQ64" s="95"/>
      <c r="ZR64" s="95"/>
      <c r="ZS64" s="95"/>
      <c r="ZT64" s="95"/>
      <c r="ZU64" s="95"/>
      <c r="ZV64" s="95"/>
      <c r="ZW64" s="95"/>
      <c r="ZX64" s="95"/>
      <c r="ZY64" s="95"/>
      <c r="ZZ64" s="95"/>
      <c r="AAA64" s="95"/>
      <c r="AAB64" s="95"/>
      <c r="AAC64" s="95"/>
      <c r="AAD64" s="95"/>
      <c r="AAE64" s="95"/>
      <c r="AAF64" s="95"/>
      <c r="AAG64" s="95"/>
      <c r="AAH64" s="95"/>
      <c r="AAI64" s="95"/>
      <c r="AAJ64" s="95"/>
      <c r="AAK64" s="95"/>
      <c r="AAL64" s="95"/>
      <c r="AAM64" s="95"/>
      <c r="AAN64" s="95"/>
      <c r="AAO64" s="95"/>
      <c r="AAP64" s="95"/>
      <c r="AAQ64" s="95"/>
      <c r="AAR64" s="95"/>
      <c r="AAS64" s="95"/>
      <c r="AAT64" s="95"/>
      <c r="AAU64" s="95"/>
      <c r="AAV64" s="95"/>
      <c r="AAW64" s="95"/>
      <c r="AAX64" s="95"/>
      <c r="AAY64" s="95"/>
      <c r="AAZ64" s="95"/>
      <c r="ABA64" s="95"/>
      <c r="ABB64" s="95"/>
      <c r="ABC64" s="95"/>
      <c r="ABD64" s="95"/>
      <c r="ABE64" s="95"/>
      <c r="ABF64" s="95"/>
      <c r="ABG64" s="95"/>
      <c r="ABH64" s="95"/>
      <c r="ABI64" s="95"/>
      <c r="ABJ64" s="95"/>
      <c r="ABK64" s="95"/>
      <c r="ABL64" s="95"/>
      <c r="ABM64" s="95"/>
      <c r="ABN64" s="95"/>
      <c r="ABO64" s="95"/>
      <c r="ABP64" s="95"/>
      <c r="ABQ64" s="95"/>
      <c r="ABR64" s="95"/>
      <c r="ABS64" s="95"/>
      <c r="ABT64" s="95"/>
      <c r="ABU64" s="95"/>
      <c r="ABV64" s="95"/>
      <c r="ABW64" s="95"/>
      <c r="ABX64" s="95"/>
      <c r="ABY64" s="95"/>
      <c r="ABZ64" s="95"/>
      <c r="ACA64" s="95"/>
      <c r="ACB64" s="95"/>
      <c r="ACC64" s="95"/>
      <c r="ACD64" s="95"/>
      <c r="ACE64" s="95"/>
      <c r="ACF64" s="95"/>
      <c r="ACG64" s="95"/>
      <c r="ACH64" s="95"/>
      <c r="ACI64" s="95"/>
      <c r="ACJ64" s="95"/>
      <c r="ACK64" s="95"/>
      <c r="ACL64" s="95"/>
      <c r="ACM64" s="95"/>
      <c r="ACN64" s="95"/>
      <c r="ACO64" s="95"/>
      <c r="ACP64" s="95"/>
      <c r="ACQ64" s="95"/>
      <c r="ACR64" s="95"/>
      <c r="ACS64" s="95"/>
      <c r="ACT64" s="95"/>
      <c r="ACU64" s="95"/>
      <c r="ACV64" s="95"/>
      <c r="ACW64" s="95"/>
      <c r="ACX64" s="95"/>
      <c r="ACY64" s="95"/>
      <c r="ACZ64" s="95"/>
      <c r="ADA64" s="95"/>
      <c r="ADB64" s="95"/>
      <c r="ADC64" s="95"/>
      <c r="ADD64" s="95"/>
      <c r="ADE64" s="95"/>
      <c r="ADF64" s="95"/>
      <c r="ADG64" s="95"/>
      <c r="ADH64" s="95"/>
      <c r="ADI64" s="95"/>
      <c r="ADJ64" s="95"/>
      <c r="ADK64" s="95"/>
      <c r="ADL64" s="95"/>
      <c r="ADM64" s="95"/>
      <c r="ADN64" s="95"/>
      <c r="ADO64" s="95"/>
      <c r="ADP64" s="95"/>
      <c r="ADQ64" s="95"/>
      <c r="ADR64" s="95"/>
      <c r="ADS64" s="95"/>
      <c r="ADT64" s="95"/>
      <c r="ADU64" s="95"/>
      <c r="ADV64" s="95"/>
      <c r="ADW64" s="95"/>
      <c r="ADX64" s="95"/>
      <c r="ADY64" s="95"/>
      <c r="ADZ64" s="95"/>
      <c r="AEA64" s="95"/>
      <c r="AEB64" s="95"/>
      <c r="AEC64" s="95"/>
      <c r="AED64" s="95"/>
      <c r="AEE64" s="95"/>
      <c r="AEF64" s="95"/>
      <c r="AEG64" s="95"/>
      <c r="AEH64" s="95"/>
      <c r="AEI64" s="95"/>
      <c r="AEJ64" s="95"/>
      <c r="AEK64" s="95"/>
      <c r="AEL64" s="95"/>
      <c r="AEM64" s="95"/>
      <c r="AEN64" s="95"/>
      <c r="AEO64" s="95"/>
      <c r="AEP64" s="95"/>
      <c r="AEQ64" s="95"/>
      <c r="AER64" s="95"/>
      <c r="AES64" s="95"/>
      <c r="AET64" s="95"/>
      <c r="AEU64" s="95"/>
      <c r="AEV64" s="95"/>
      <c r="AEW64" s="95"/>
      <c r="AEX64" s="95"/>
      <c r="AEY64" s="95"/>
      <c r="AEZ64" s="95"/>
      <c r="AFA64" s="95"/>
      <c r="AFB64" s="95"/>
      <c r="AFC64" s="95"/>
      <c r="AFD64" s="95"/>
      <c r="AFE64" s="95"/>
      <c r="AFF64" s="95"/>
      <c r="AFG64" s="95"/>
      <c r="AFH64" s="95"/>
      <c r="AFI64" s="95"/>
      <c r="AFJ64" s="95"/>
      <c r="AFK64" s="95"/>
      <c r="AFL64" s="95"/>
      <c r="AFM64" s="95"/>
      <c r="AFN64" s="95"/>
      <c r="AFO64" s="95"/>
      <c r="AFP64" s="95"/>
      <c r="AFQ64" s="95"/>
      <c r="AFR64" s="95"/>
      <c r="AFS64" s="95"/>
      <c r="AFT64" s="95"/>
      <c r="AFU64" s="95"/>
      <c r="AFV64" s="95"/>
      <c r="AFW64" s="95"/>
      <c r="AFX64" s="95"/>
      <c r="AFY64" s="95"/>
      <c r="AFZ64" s="95"/>
      <c r="AGA64" s="95"/>
      <c r="AGB64" s="95"/>
      <c r="AGC64" s="95"/>
      <c r="AGD64" s="95"/>
      <c r="AGE64" s="95"/>
      <c r="AGF64" s="95"/>
      <c r="AGG64" s="95"/>
      <c r="AGH64" s="95"/>
      <c r="AGI64" s="95"/>
      <c r="AGJ64" s="95"/>
      <c r="AGK64" s="95"/>
      <c r="AGL64" s="95"/>
      <c r="AGM64" s="95"/>
      <c r="AGN64" s="95"/>
      <c r="AGO64" s="95"/>
      <c r="AGP64" s="95"/>
      <c r="AGQ64" s="95"/>
      <c r="AGR64" s="95"/>
      <c r="AGS64" s="95"/>
      <c r="AGT64" s="95"/>
      <c r="AGU64" s="95"/>
      <c r="AGV64" s="95"/>
      <c r="AGW64" s="95"/>
      <c r="AGX64" s="95"/>
      <c r="AGY64" s="95"/>
      <c r="AGZ64" s="95"/>
    </row>
    <row r="65" spans="1:884" s="455" customFormat="1">
      <c r="A65" s="146"/>
      <c r="B65" s="157"/>
      <c r="C65" s="145"/>
      <c r="D65" s="95"/>
      <c r="E65" s="156"/>
      <c r="F65" s="145"/>
      <c r="G65" s="118"/>
      <c r="H65" s="168"/>
      <c r="I65" s="154"/>
      <c r="J65" s="95"/>
      <c r="K65" s="95"/>
      <c r="L65" s="95"/>
      <c r="M65" s="137"/>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c r="HD65" s="95"/>
      <c r="HE65" s="95"/>
      <c r="HF65" s="95"/>
      <c r="HG65" s="95"/>
      <c r="HH65" s="95"/>
      <c r="HI65" s="95"/>
      <c r="HJ65" s="95"/>
      <c r="HK65" s="95"/>
      <c r="HL65" s="95"/>
      <c r="HM65" s="95"/>
      <c r="HN65" s="95"/>
      <c r="HO65" s="95"/>
      <c r="HP65" s="95"/>
      <c r="HQ65" s="95"/>
      <c r="HR65" s="95"/>
      <c r="HS65" s="95"/>
      <c r="HT65" s="95"/>
      <c r="HU65" s="95"/>
      <c r="HV65" s="95"/>
      <c r="HW65" s="95"/>
      <c r="HX65" s="95"/>
      <c r="HY65" s="95"/>
      <c r="HZ65" s="95"/>
      <c r="IA65" s="95"/>
      <c r="IB65" s="95"/>
      <c r="IC65" s="95"/>
      <c r="ID65" s="95"/>
      <c r="IE65" s="95"/>
      <c r="IF65" s="95"/>
      <c r="IG65" s="95"/>
      <c r="IH65" s="95"/>
      <c r="II65" s="95"/>
      <c r="IJ65" s="95"/>
      <c r="IK65" s="95"/>
      <c r="IL65" s="95"/>
      <c r="IM65" s="95"/>
      <c r="IN65" s="95"/>
      <c r="IO65" s="95"/>
      <c r="IP65" s="95"/>
      <c r="IQ65" s="95"/>
      <c r="IR65" s="95"/>
      <c r="IS65" s="95"/>
      <c r="IT65" s="95"/>
      <c r="IU65" s="95"/>
      <c r="IV65" s="95"/>
      <c r="IW65" s="95"/>
      <c r="IX65" s="95"/>
      <c r="IY65" s="95"/>
      <c r="IZ65" s="95"/>
      <c r="JA65" s="95"/>
      <c r="JB65" s="95"/>
      <c r="JC65" s="95"/>
      <c r="JD65" s="95"/>
      <c r="JE65" s="95"/>
      <c r="JF65" s="95"/>
      <c r="JG65" s="95"/>
      <c r="JH65" s="95"/>
      <c r="JI65" s="95"/>
      <c r="JJ65" s="95"/>
      <c r="JK65" s="95"/>
      <c r="JL65" s="95"/>
      <c r="JM65" s="95"/>
      <c r="JN65" s="95"/>
      <c r="JO65" s="95"/>
      <c r="JP65" s="95"/>
      <c r="JQ65" s="95"/>
      <c r="JR65" s="95"/>
      <c r="JS65" s="95"/>
      <c r="JT65" s="95"/>
      <c r="JU65" s="95"/>
      <c r="JV65" s="95"/>
      <c r="JW65" s="95"/>
      <c r="JX65" s="95"/>
      <c r="JY65" s="95"/>
      <c r="JZ65" s="95"/>
      <c r="KA65" s="95"/>
      <c r="KB65" s="95"/>
      <c r="KC65" s="95"/>
      <c r="KD65" s="95"/>
      <c r="KE65" s="95"/>
      <c r="KF65" s="95"/>
      <c r="KG65" s="95"/>
      <c r="KH65" s="95"/>
      <c r="KI65" s="95"/>
      <c r="KJ65" s="95"/>
      <c r="KK65" s="95"/>
      <c r="KL65" s="95"/>
      <c r="KM65" s="95"/>
      <c r="KN65" s="95"/>
      <c r="KO65" s="95"/>
      <c r="KP65" s="95"/>
      <c r="KQ65" s="95"/>
      <c r="KR65" s="95"/>
      <c r="KS65" s="95"/>
      <c r="KT65" s="95"/>
      <c r="KU65" s="95"/>
      <c r="KV65" s="95"/>
      <c r="KW65" s="95"/>
      <c r="KX65" s="95"/>
      <c r="KY65" s="95"/>
      <c r="KZ65" s="95"/>
      <c r="LA65" s="95"/>
      <c r="LB65" s="95"/>
      <c r="LC65" s="95"/>
      <c r="LD65" s="95"/>
      <c r="LE65" s="95"/>
      <c r="LF65" s="95"/>
      <c r="LG65" s="95"/>
      <c r="LH65" s="95"/>
      <c r="LI65" s="95"/>
      <c r="LJ65" s="95"/>
      <c r="LK65" s="95"/>
      <c r="LL65" s="95"/>
      <c r="LM65" s="95"/>
      <c r="LN65" s="95"/>
      <c r="LO65" s="95"/>
      <c r="LP65" s="95"/>
      <c r="LQ65" s="95"/>
      <c r="LR65" s="95"/>
      <c r="LS65" s="95"/>
      <c r="LT65" s="95"/>
      <c r="LU65" s="95"/>
      <c r="LV65" s="95"/>
      <c r="LW65" s="95"/>
      <c r="LX65" s="95"/>
      <c r="LY65" s="95"/>
      <c r="LZ65" s="95"/>
      <c r="MA65" s="95"/>
      <c r="MB65" s="95"/>
      <c r="MC65" s="95"/>
      <c r="MD65" s="95"/>
      <c r="ME65" s="95"/>
      <c r="MF65" s="95"/>
      <c r="MG65" s="95"/>
      <c r="MH65" s="95"/>
      <c r="MI65" s="95"/>
      <c r="MJ65" s="95"/>
      <c r="MK65" s="95"/>
      <c r="ML65" s="95"/>
      <c r="MM65" s="95"/>
      <c r="MN65" s="95"/>
      <c r="MO65" s="95"/>
      <c r="MP65" s="95"/>
      <c r="MQ65" s="95"/>
      <c r="MR65" s="95"/>
      <c r="MS65" s="95"/>
      <c r="MT65" s="95"/>
      <c r="MU65" s="95"/>
      <c r="MV65" s="95"/>
      <c r="MW65" s="95"/>
      <c r="MX65" s="95"/>
      <c r="MY65" s="95"/>
      <c r="MZ65" s="95"/>
      <c r="NA65" s="95"/>
      <c r="NB65" s="95"/>
      <c r="NC65" s="95"/>
      <c r="ND65" s="95"/>
      <c r="NE65" s="95"/>
      <c r="NF65" s="95"/>
      <c r="NG65" s="95"/>
      <c r="NH65" s="95"/>
      <c r="NI65" s="95"/>
      <c r="NJ65" s="95"/>
      <c r="NK65" s="95"/>
      <c r="NL65" s="95"/>
      <c r="NM65" s="95"/>
      <c r="NN65" s="95"/>
      <c r="NO65" s="95"/>
      <c r="NP65" s="95"/>
      <c r="NQ65" s="95"/>
      <c r="NR65" s="95"/>
      <c r="NS65" s="95"/>
      <c r="NT65" s="95"/>
      <c r="NU65" s="95"/>
      <c r="NV65" s="95"/>
      <c r="NW65" s="95"/>
      <c r="NX65" s="95"/>
      <c r="NY65" s="95"/>
      <c r="NZ65" s="95"/>
      <c r="OA65" s="95"/>
      <c r="OB65" s="95"/>
      <c r="OC65" s="95"/>
      <c r="OD65" s="95"/>
      <c r="OE65" s="95"/>
      <c r="OF65" s="95"/>
      <c r="OG65" s="95"/>
      <c r="OH65" s="95"/>
      <c r="OI65" s="95"/>
      <c r="OJ65" s="95"/>
      <c r="OK65" s="95"/>
      <c r="OL65" s="95"/>
      <c r="OM65" s="95"/>
      <c r="ON65" s="95"/>
      <c r="OO65" s="95"/>
      <c r="OP65" s="95"/>
      <c r="OQ65" s="95"/>
      <c r="OR65" s="95"/>
      <c r="OS65" s="95"/>
      <c r="OT65" s="95"/>
      <c r="OU65" s="95"/>
      <c r="OV65" s="95"/>
      <c r="OW65" s="95"/>
      <c r="OX65" s="95"/>
      <c r="OY65" s="95"/>
      <c r="OZ65" s="95"/>
      <c r="PA65" s="95"/>
      <c r="PB65" s="95"/>
      <c r="PC65" s="95"/>
      <c r="PD65" s="95"/>
      <c r="PE65" s="95"/>
      <c r="PF65" s="95"/>
      <c r="PG65" s="95"/>
      <c r="PH65" s="95"/>
      <c r="PI65" s="95"/>
      <c r="PJ65" s="95"/>
      <c r="PK65" s="95"/>
      <c r="PL65" s="95"/>
      <c r="PM65" s="95"/>
      <c r="PN65" s="95"/>
      <c r="PO65" s="95"/>
      <c r="PP65" s="95"/>
      <c r="PQ65" s="95"/>
      <c r="PR65" s="95"/>
      <c r="PS65" s="95"/>
      <c r="PT65" s="95"/>
      <c r="PU65" s="95"/>
      <c r="PV65" s="95"/>
      <c r="PW65" s="95"/>
      <c r="PX65" s="95"/>
      <c r="PY65" s="95"/>
      <c r="PZ65" s="95"/>
      <c r="QA65" s="95"/>
      <c r="QB65" s="95"/>
      <c r="QC65" s="95"/>
      <c r="QD65" s="95"/>
      <c r="QE65" s="95"/>
      <c r="QF65" s="95"/>
      <c r="QG65" s="95"/>
      <c r="QH65" s="95"/>
      <c r="QI65" s="95"/>
      <c r="QJ65" s="95"/>
      <c r="QK65" s="95"/>
      <c r="QL65" s="95"/>
      <c r="QM65" s="95"/>
      <c r="QN65" s="95"/>
      <c r="QO65" s="95"/>
      <c r="QP65" s="95"/>
      <c r="QQ65" s="95"/>
      <c r="QR65" s="95"/>
      <c r="QS65" s="95"/>
      <c r="QT65" s="95"/>
      <c r="QU65" s="95"/>
      <c r="QV65" s="95"/>
      <c r="QW65" s="95"/>
      <c r="QX65" s="95"/>
      <c r="QY65" s="95"/>
      <c r="QZ65" s="95"/>
      <c r="RA65" s="95"/>
      <c r="RB65" s="95"/>
      <c r="RC65" s="95"/>
      <c r="RD65" s="95"/>
      <c r="RE65" s="95"/>
      <c r="RF65" s="95"/>
      <c r="RG65" s="95"/>
      <c r="RH65" s="95"/>
      <c r="RI65" s="95"/>
      <c r="RJ65" s="95"/>
      <c r="RK65" s="95"/>
      <c r="RL65" s="95"/>
      <c r="RM65" s="95"/>
      <c r="RN65" s="95"/>
      <c r="RO65" s="95"/>
      <c r="RP65" s="95"/>
      <c r="RQ65" s="95"/>
      <c r="RR65" s="95"/>
      <c r="RS65" s="95"/>
      <c r="RT65" s="95"/>
      <c r="RU65" s="95"/>
      <c r="RV65" s="95"/>
      <c r="RW65" s="95"/>
      <c r="RX65" s="95"/>
      <c r="RY65" s="95"/>
      <c r="RZ65" s="95"/>
      <c r="SA65" s="95"/>
      <c r="SB65" s="95"/>
      <c r="SC65" s="95"/>
      <c r="SD65" s="95"/>
      <c r="SE65" s="95"/>
      <c r="SF65" s="95"/>
      <c r="SG65" s="95"/>
      <c r="SH65" s="95"/>
      <c r="SI65" s="95"/>
      <c r="SJ65" s="95"/>
      <c r="SK65" s="95"/>
      <c r="SL65" s="95"/>
      <c r="SM65" s="95"/>
      <c r="SN65" s="95"/>
      <c r="SO65" s="95"/>
      <c r="SP65" s="95"/>
      <c r="SQ65" s="95"/>
      <c r="SR65" s="95"/>
      <c r="SS65" s="95"/>
      <c r="ST65" s="95"/>
      <c r="SU65" s="95"/>
      <c r="SV65" s="95"/>
      <c r="SW65" s="95"/>
      <c r="SX65" s="95"/>
      <c r="SY65" s="95"/>
      <c r="SZ65" s="95"/>
      <c r="TA65" s="95"/>
      <c r="TB65" s="95"/>
      <c r="TC65" s="95"/>
      <c r="TD65" s="95"/>
      <c r="TE65" s="95"/>
      <c r="TF65" s="95"/>
      <c r="TG65" s="95"/>
      <c r="TH65" s="95"/>
      <c r="TI65" s="95"/>
      <c r="TJ65" s="95"/>
      <c r="TK65" s="95"/>
      <c r="TL65" s="95"/>
      <c r="TM65" s="95"/>
      <c r="TN65" s="95"/>
      <c r="TO65" s="95"/>
      <c r="TP65" s="95"/>
      <c r="TQ65" s="95"/>
      <c r="TR65" s="95"/>
      <c r="TS65" s="95"/>
      <c r="TT65" s="95"/>
      <c r="TU65" s="95"/>
      <c r="TV65" s="95"/>
      <c r="TW65" s="95"/>
      <c r="TX65" s="95"/>
      <c r="TY65" s="95"/>
      <c r="TZ65" s="95"/>
      <c r="UA65" s="95"/>
      <c r="UB65" s="95"/>
      <c r="UC65" s="95"/>
      <c r="UD65" s="95"/>
      <c r="UE65" s="95"/>
      <c r="UF65" s="95"/>
      <c r="UG65" s="95"/>
      <c r="UH65" s="95"/>
      <c r="UI65" s="95"/>
      <c r="UJ65" s="95"/>
      <c r="UK65" s="95"/>
      <c r="UL65" s="95"/>
      <c r="UM65" s="95"/>
      <c r="UN65" s="95"/>
      <c r="UO65" s="95"/>
      <c r="UP65" s="95"/>
      <c r="UQ65" s="95"/>
      <c r="UR65" s="95"/>
      <c r="US65" s="95"/>
      <c r="UT65" s="95"/>
      <c r="UU65" s="95"/>
      <c r="UV65" s="95"/>
      <c r="UW65" s="95"/>
      <c r="UX65" s="95"/>
      <c r="UY65" s="95"/>
      <c r="UZ65" s="95"/>
      <c r="VA65" s="95"/>
      <c r="VB65" s="95"/>
      <c r="VC65" s="95"/>
      <c r="VD65" s="95"/>
      <c r="VE65" s="95"/>
      <c r="VF65" s="95"/>
      <c r="VG65" s="95"/>
      <c r="VH65" s="95"/>
      <c r="VI65" s="95"/>
      <c r="VJ65" s="95"/>
      <c r="VK65" s="95"/>
      <c r="VL65" s="95"/>
      <c r="VM65" s="95"/>
      <c r="VN65" s="95"/>
      <c r="VO65" s="95"/>
      <c r="VP65" s="95"/>
      <c r="VQ65" s="95"/>
      <c r="VR65" s="95"/>
      <c r="VS65" s="95"/>
      <c r="VT65" s="95"/>
      <c r="VU65" s="95"/>
      <c r="VV65" s="95"/>
      <c r="VW65" s="95"/>
      <c r="VX65" s="95"/>
      <c r="VY65" s="95"/>
      <c r="VZ65" s="95"/>
      <c r="WA65" s="95"/>
      <c r="WB65" s="95"/>
      <c r="WC65" s="95"/>
      <c r="WD65" s="95"/>
      <c r="WE65" s="95"/>
      <c r="WF65" s="95"/>
      <c r="WG65" s="95"/>
      <c r="WH65" s="95"/>
      <c r="WI65" s="95"/>
      <c r="WJ65" s="95"/>
      <c r="WK65" s="95"/>
      <c r="WL65" s="95"/>
      <c r="WM65" s="95"/>
      <c r="WN65" s="95"/>
      <c r="WO65" s="95"/>
      <c r="WP65" s="95"/>
      <c r="WQ65" s="95"/>
      <c r="WR65" s="95"/>
      <c r="WS65" s="95"/>
      <c r="WT65" s="95"/>
      <c r="WU65" s="95"/>
      <c r="WV65" s="95"/>
      <c r="WW65" s="95"/>
      <c r="WX65" s="95"/>
      <c r="WY65" s="95"/>
      <c r="WZ65" s="95"/>
      <c r="XA65" s="95"/>
      <c r="XB65" s="95"/>
      <c r="XC65" s="95"/>
      <c r="XD65" s="95"/>
      <c r="XE65" s="95"/>
      <c r="XF65" s="95"/>
      <c r="XG65" s="95"/>
      <c r="XH65" s="95"/>
      <c r="XI65" s="95"/>
      <c r="XJ65" s="95"/>
      <c r="XK65" s="95"/>
      <c r="XL65" s="95"/>
      <c r="XM65" s="95"/>
      <c r="XN65" s="95"/>
      <c r="XO65" s="95"/>
      <c r="XP65" s="95"/>
      <c r="XQ65" s="95"/>
      <c r="XR65" s="95"/>
      <c r="XS65" s="95"/>
      <c r="XT65" s="95"/>
      <c r="XU65" s="95"/>
      <c r="XV65" s="95"/>
      <c r="XW65" s="95"/>
      <c r="XX65" s="95"/>
      <c r="XY65" s="95"/>
      <c r="XZ65" s="95"/>
      <c r="YA65" s="95"/>
      <c r="YB65" s="95"/>
      <c r="YC65" s="95"/>
      <c r="YD65" s="95"/>
      <c r="YE65" s="95"/>
      <c r="YF65" s="95"/>
      <c r="YG65" s="95"/>
      <c r="YH65" s="95"/>
      <c r="YI65" s="95"/>
      <c r="YJ65" s="95"/>
      <c r="YK65" s="95"/>
      <c r="YL65" s="95"/>
      <c r="YM65" s="95"/>
      <c r="YN65" s="95"/>
      <c r="YO65" s="95"/>
      <c r="YP65" s="95"/>
      <c r="YQ65" s="95"/>
      <c r="YR65" s="95"/>
      <c r="YS65" s="95"/>
      <c r="YT65" s="95"/>
      <c r="YU65" s="95"/>
      <c r="YV65" s="95"/>
      <c r="YW65" s="95"/>
      <c r="YX65" s="95"/>
      <c r="YY65" s="95"/>
      <c r="YZ65" s="95"/>
      <c r="ZA65" s="95"/>
      <c r="ZB65" s="95"/>
      <c r="ZC65" s="95"/>
      <c r="ZD65" s="95"/>
      <c r="ZE65" s="95"/>
      <c r="ZF65" s="95"/>
      <c r="ZG65" s="95"/>
      <c r="ZH65" s="95"/>
      <c r="ZI65" s="95"/>
      <c r="ZJ65" s="95"/>
      <c r="ZK65" s="95"/>
      <c r="ZL65" s="95"/>
      <c r="ZM65" s="95"/>
      <c r="ZN65" s="95"/>
      <c r="ZO65" s="95"/>
      <c r="ZP65" s="95"/>
      <c r="ZQ65" s="95"/>
      <c r="ZR65" s="95"/>
      <c r="ZS65" s="95"/>
      <c r="ZT65" s="95"/>
      <c r="ZU65" s="95"/>
      <c r="ZV65" s="95"/>
      <c r="ZW65" s="95"/>
      <c r="ZX65" s="95"/>
      <c r="ZY65" s="95"/>
      <c r="ZZ65" s="95"/>
      <c r="AAA65" s="95"/>
      <c r="AAB65" s="95"/>
      <c r="AAC65" s="95"/>
      <c r="AAD65" s="95"/>
      <c r="AAE65" s="95"/>
      <c r="AAF65" s="95"/>
      <c r="AAG65" s="95"/>
      <c r="AAH65" s="95"/>
      <c r="AAI65" s="95"/>
      <c r="AAJ65" s="95"/>
      <c r="AAK65" s="95"/>
      <c r="AAL65" s="95"/>
      <c r="AAM65" s="95"/>
      <c r="AAN65" s="95"/>
      <c r="AAO65" s="95"/>
      <c r="AAP65" s="95"/>
      <c r="AAQ65" s="95"/>
      <c r="AAR65" s="95"/>
      <c r="AAS65" s="95"/>
      <c r="AAT65" s="95"/>
      <c r="AAU65" s="95"/>
      <c r="AAV65" s="95"/>
      <c r="AAW65" s="95"/>
      <c r="AAX65" s="95"/>
      <c r="AAY65" s="95"/>
      <c r="AAZ65" s="95"/>
      <c r="ABA65" s="95"/>
      <c r="ABB65" s="95"/>
      <c r="ABC65" s="95"/>
      <c r="ABD65" s="95"/>
      <c r="ABE65" s="95"/>
      <c r="ABF65" s="95"/>
      <c r="ABG65" s="95"/>
      <c r="ABH65" s="95"/>
      <c r="ABI65" s="95"/>
      <c r="ABJ65" s="95"/>
      <c r="ABK65" s="95"/>
      <c r="ABL65" s="95"/>
      <c r="ABM65" s="95"/>
      <c r="ABN65" s="95"/>
      <c r="ABO65" s="95"/>
      <c r="ABP65" s="95"/>
      <c r="ABQ65" s="95"/>
      <c r="ABR65" s="95"/>
      <c r="ABS65" s="95"/>
      <c r="ABT65" s="95"/>
      <c r="ABU65" s="95"/>
      <c r="ABV65" s="95"/>
      <c r="ABW65" s="95"/>
      <c r="ABX65" s="95"/>
      <c r="ABY65" s="95"/>
      <c r="ABZ65" s="95"/>
      <c r="ACA65" s="95"/>
      <c r="ACB65" s="95"/>
      <c r="ACC65" s="95"/>
      <c r="ACD65" s="95"/>
      <c r="ACE65" s="95"/>
      <c r="ACF65" s="95"/>
      <c r="ACG65" s="95"/>
      <c r="ACH65" s="95"/>
      <c r="ACI65" s="95"/>
      <c r="ACJ65" s="95"/>
      <c r="ACK65" s="95"/>
      <c r="ACL65" s="95"/>
      <c r="ACM65" s="95"/>
      <c r="ACN65" s="95"/>
      <c r="ACO65" s="95"/>
      <c r="ACP65" s="95"/>
      <c r="ACQ65" s="95"/>
      <c r="ACR65" s="95"/>
      <c r="ACS65" s="95"/>
      <c r="ACT65" s="95"/>
      <c r="ACU65" s="95"/>
      <c r="ACV65" s="95"/>
      <c r="ACW65" s="95"/>
      <c r="ACX65" s="95"/>
      <c r="ACY65" s="95"/>
      <c r="ACZ65" s="95"/>
      <c r="ADA65" s="95"/>
      <c r="ADB65" s="95"/>
      <c r="ADC65" s="95"/>
      <c r="ADD65" s="95"/>
      <c r="ADE65" s="95"/>
      <c r="ADF65" s="95"/>
      <c r="ADG65" s="95"/>
      <c r="ADH65" s="95"/>
      <c r="ADI65" s="95"/>
      <c r="ADJ65" s="95"/>
      <c r="ADK65" s="95"/>
      <c r="ADL65" s="95"/>
      <c r="ADM65" s="95"/>
      <c r="ADN65" s="95"/>
      <c r="ADO65" s="95"/>
      <c r="ADP65" s="95"/>
      <c r="ADQ65" s="95"/>
      <c r="ADR65" s="95"/>
      <c r="ADS65" s="95"/>
      <c r="ADT65" s="95"/>
      <c r="ADU65" s="95"/>
      <c r="ADV65" s="95"/>
      <c r="ADW65" s="95"/>
      <c r="ADX65" s="95"/>
      <c r="ADY65" s="95"/>
      <c r="ADZ65" s="95"/>
      <c r="AEA65" s="95"/>
      <c r="AEB65" s="95"/>
      <c r="AEC65" s="95"/>
      <c r="AED65" s="95"/>
      <c r="AEE65" s="95"/>
      <c r="AEF65" s="95"/>
      <c r="AEG65" s="95"/>
      <c r="AEH65" s="95"/>
      <c r="AEI65" s="95"/>
      <c r="AEJ65" s="95"/>
      <c r="AEK65" s="95"/>
      <c r="AEL65" s="95"/>
      <c r="AEM65" s="95"/>
      <c r="AEN65" s="95"/>
      <c r="AEO65" s="95"/>
      <c r="AEP65" s="95"/>
      <c r="AEQ65" s="95"/>
      <c r="AER65" s="95"/>
      <c r="AES65" s="95"/>
      <c r="AET65" s="95"/>
      <c r="AEU65" s="95"/>
      <c r="AEV65" s="95"/>
      <c r="AEW65" s="95"/>
      <c r="AEX65" s="95"/>
      <c r="AEY65" s="95"/>
      <c r="AEZ65" s="95"/>
      <c r="AFA65" s="95"/>
      <c r="AFB65" s="95"/>
      <c r="AFC65" s="95"/>
      <c r="AFD65" s="95"/>
      <c r="AFE65" s="95"/>
      <c r="AFF65" s="95"/>
      <c r="AFG65" s="95"/>
      <c r="AFH65" s="95"/>
      <c r="AFI65" s="95"/>
      <c r="AFJ65" s="95"/>
      <c r="AFK65" s="95"/>
      <c r="AFL65" s="95"/>
      <c r="AFM65" s="95"/>
      <c r="AFN65" s="95"/>
      <c r="AFO65" s="95"/>
      <c r="AFP65" s="95"/>
      <c r="AFQ65" s="95"/>
      <c r="AFR65" s="95"/>
      <c r="AFS65" s="95"/>
      <c r="AFT65" s="95"/>
      <c r="AFU65" s="95"/>
      <c r="AFV65" s="95"/>
      <c r="AFW65" s="95"/>
      <c r="AFX65" s="95"/>
      <c r="AFY65" s="95"/>
      <c r="AFZ65" s="95"/>
      <c r="AGA65" s="95"/>
      <c r="AGB65" s="95"/>
      <c r="AGC65" s="95"/>
      <c r="AGD65" s="95"/>
      <c r="AGE65" s="95"/>
      <c r="AGF65" s="95"/>
      <c r="AGG65" s="95"/>
      <c r="AGH65" s="95"/>
      <c r="AGI65" s="95"/>
      <c r="AGJ65" s="95"/>
      <c r="AGK65" s="95"/>
      <c r="AGL65" s="95"/>
      <c r="AGM65" s="95"/>
      <c r="AGN65" s="95"/>
      <c r="AGO65" s="95"/>
      <c r="AGP65" s="95"/>
      <c r="AGQ65" s="95"/>
      <c r="AGR65" s="95"/>
      <c r="AGS65" s="95"/>
      <c r="AGT65" s="95"/>
      <c r="AGU65" s="95"/>
      <c r="AGV65" s="95"/>
      <c r="AGW65" s="95"/>
      <c r="AGX65" s="95"/>
      <c r="AGY65" s="95"/>
      <c r="AGZ65" s="95"/>
    </row>
    <row r="66" spans="1:884" s="455" customFormat="1" ht="13.8" thickBot="1">
      <c r="A66" s="143"/>
      <c r="B66" s="135"/>
      <c r="C66" s="135"/>
      <c r="D66" s="135"/>
      <c r="E66" s="135"/>
      <c r="F66" s="135"/>
      <c r="G66" s="143" t="s">
        <v>354</v>
      </c>
      <c r="H66" s="135"/>
      <c r="I66" s="135"/>
      <c r="J66" s="1192"/>
      <c r="K66" s="1192"/>
      <c r="L66" s="1192"/>
      <c r="M66" s="1193"/>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95"/>
      <c r="GB66" s="95"/>
      <c r="GC66" s="95"/>
      <c r="GD66" s="95"/>
      <c r="GE66" s="95"/>
      <c r="GF66" s="95"/>
      <c r="GG66" s="95"/>
      <c r="GH66" s="95"/>
      <c r="GI66" s="95"/>
      <c r="GJ66" s="95"/>
      <c r="GK66" s="95"/>
      <c r="GL66" s="95"/>
      <c r="GM66" s="95"/>
      <c r="GN66" s="95"/>
      <c r="GO66" s="95"/>
      <c r="GP66" s="95"/>
      <c r="GQ66" s="95"/>
      <c r="GR66" s="95"/>
      <c r="GS66" s="95"/>
      <c r="GT66" s="95"/>
      <c r="GU66" s="95"/>
      <c r="GV66" s="95"/>
      <c r="GW66" s="95"/>
      <c r="GX66" s="95"/>
      <c r="GY66" s="95"/>
      <c r="GZ66" s="95"/>
      <c r="HA66" s="95"/>
      <c r="HB66" s="95"/>
      <c r="HC66" s="95"/>
      <c r="HD66" s="95"/>
      <c r="HE66" s="95"/>
      <c r="HF66" s="95"/>
      <c r="HG66" s="95"/>
      <c r="HH66" s="95"/>
      <c r="HI66" s="95"/>
      <c r="HJ66" s="95"/>
      <c r="HK66" s="95"/>
      <c r="HL66" s="95"/>
      <c r="HM66" s="95"/>
      <c r="HN66" s="95"/>
      <c r="HO66" s="95"/>
      <c r="HP66" s="95"/>
      <c r="HQ66" s="95"/>
      <c r="HR66" s="95"/>
      <c r="HS66" s="95"/>
      <c r="HT66" s="95"/>
      <c r="HU66" s="95"/>
      <c r="HV66" s="95"/>
      <c r="HW66" s="95"/>
      <c r="HX66" s="95"/>
      <c r="HY66" s="95"/>
      <c r="HZ66" s="95"/>
      <c r="IA66" s="95"/>
      <c r="IB66" s="95"/>
      <c r="IC66" s="95"/>
      <c r="ID66" s="95"/>
      <c r="IE66" s="95"/>
      <c r="IF66" s="95"/>
      <c r="IG66" s="95"/>
      <c r="IH66" s="95"/>
      <c r="II66" s="95"/>
      <c r="IJ66" s="95"/>
      <c r="IK66" s="95"/>
      <c r="IL66" s="95"/>
      <c r="IM66" s="95"/>
      <c r="IN66" s="95"/>
      <c r="IO66" s="95"/>
      <c r="IP66" s="95"/>
      <c r="IQ66" s="95"/>
      <c r="IR66" s="95"/>
      <c r="IS66" s="95"/>
      <c r="IT66" s="95"/>
      <c r="IU66" s="95"/>
      <c r="IV66" s="95"/>
      <c r="IW66" s="95"/>
      <c r="IX66" s="95"/>
      <c r="IY66" s="95"/>
      <c r="IZ66" s="95"/>
      <c r="JA66" s="95"/>
      <c r="JB66" s="95"/>
      <c r="JC66" s="95"/>
      <c r="JD66" s="95"/>
      <c r="JE66" s="95"/>
      <c r="JF66" s="95"/>
      <c r="JG66" s="95"/>
      <c r="JH66" s="95"/>
      <c r="JI66" s="95"/>
      <c r="JJ66" s="95"/>
      <c r="JK66" s="95"/>
      <c r="JL66" s="95"/>
      <c r="JM66" s="95"/>
      <c r="JN66" s="95"/>
      <c r="JO66" s="95"/>
      <c r="JP66" s="95"/>
      <c r="JQ66" s="95"/>
      <c r="JR66" s="95"/>
      <c r="JS66" s="95"/>
      <c r="JT66" s="95"/>
      <c r="JU66" s="95"/>
      <c r="JV66" s="95"/>
      <c r="JW66" s="95"/>
      <c r="JX66" s="95"/>
      <c r="JY66" s="95"/>
      <c r="JZ66" s="95"/>
      <c r="KA66" s="95"/>
      <c r="KB66" s="95"/>
      <c r="KC66" s="95"/>
      <c r="KD66" s="95"/>
      <c r="KE66" s="95"/>
      <c r="KF66" s="95"/>
      <c r="KG66" s="95"/>
      <c r="KH66" s="95"/>
      <c r="KI66" s="95"/>
      <c r="KJ66" s="95"/>
      <c r="KK66" s="95"/>
      <c r="KL66" s="95"/>
      <c r="KM66" s="95"/>
      <c r="KN66" s="95"/>
      <c r="KO66" s="95"/>
      <c r="KP66" s="95"/>
      <c r="KQ66" s="95"/>
      <c r="KR66" s="95"/>
      <c r="KS66" s="95"/>
      <c r="KT66" s="95"/>
      <c r="KU66" s="95"/>
      <c r="KV66" s="95"/>
      <c r="KW66" s="95"/>
      <c r="KX66" s="95"/>
      <c r="KY66" s="95"/>
      <c r="KZ66" s="95"/>
      <c r="LA66" s="95"/>
      <c r="LB66" s="95"/>
      <c r="LC66" s="95"/>
      <c r="LD66" s="95"/>
      <c r="LE66" s="95"/>
      <c r="LF66" s="95"/>
      <c r="LG66" s="95"/>
      <c r="LH66" s="95"/>
      <c r="LI66" s="95"/>
      <c r="LJ66" s="95"/>
      <c r="LK66" s="95"/>
      <c r="LL66" s="95"/>
      <c r="LM66" s="95"/>
      <c r="LN66" s="95"/>
      <c r="LO66" s="95"/>
      <c r="LP66" s="95"/>
      <c r="LQ66" s="95"/>
      <c r="LR66" s="95"/>
      <c r="LS66" s="95"/>
      <c r="LT66" s="95"/>
      <c r="LU66" s="95"/>
      <c r="LV66" s="95"/>
      <c r="LW66" s="95"/>
      <c r="LX66" s="95"/>
      <c r="LY66" s="95"/>
      <c r="LZ66" s="95"/>
      <c r="MA66" s="95"/>
      <c r="MB66" s="95"/>
      <c r="MC66" s="95"/>
      <c r="MD66" s="95"/>
      <c r="ME66" s="95"/>
      <c r="MF66" s="95"/>
      <c r="MG66" s="95"/>
      <c r="MH66" s="95"/>
      <c r="MI66" s="95"/>
      <c r="MJ66" s="95"/>
      <c r="MK66" s="95"/>
      <c r="ML66" s="95"/>
      <c r="MM66" s="95"/>
      <c r="MN66" s="95"/>
      <c r="MO66" s="95"/>
      <c r="MP66" s="95"/>
      <c r="MQ66" s="95"/>
      <c r="MR66" s="95"/>
      <c r="MS66" s="95"/>
      <c r="MT66" s="95"/>
      <c r="MU66" s="95"/>
      <c r="MV66" s="95"/>
      <c r="MW66" s="95"/>
      <c r="MX66" s="95"/>
      <c r="MY66" s="95"/>
      <c r="MZ66" s="95"/>
      <c r="NA66" s="95"/>
      <c r="NB66" s="95"/>
      <c r="NC66" s="95"/>
      <c r="ND66" s="95"/>
      <c r="NE66" s="95"/>
      <c r="NF66" s="95"/>
      <c r="NG66" s="95"/>
      <c r="NH66" s="95"/>
      <c r="NI66" s="95"/>
      <c r="NJ66" s="95"/>
      <c r="NK66" s="95"/>
      <c r="NL66" s="95"/>
      <c r="NM66" s="95"/>
      <c r="NN66" s="95"/>
      <c r="NO66" s="95"/>
      <c r="NP66" s="95"/>
      <c r="NQ66" s="95"/>
      <c r="NR66" s="95"/>
      <c r="NS66" s="95"/>
      <c r="NT66" s="95"/>
      <c r="NU66" s="95"/>
      <c r="NV66" s="95"/>
      <c r="NW66" s="95"/>
      <c r="NX66" s="95"/>
      <c r="NY66" s="95"/>
      <c r="NZ66" s="95"/>
      <c r="OA66" s="95"/>
      <c r="OB66" s="95"/>
      <c r="OC66" s="95"/>
      <c r="OD66" s="95"/>
      <c r="OE66" s="95"/>
      <c r="OF66" s="95"/>
      <c r="OG66" s="95"/>
      <c r="OH66" s="95"/>
      <c r="OI66" s="95"/>
      <c r="OJ66" s="95"/>
      <c r="OK66" s="95"/>
      <c r="OL66" s="95"/>
      <c r="OM66" s="95"/>
      <c r="ON66" s="95"/>
      <c r="OO66" s="95"/>
      <c r="OP66" s="95"/>
      <c r="OQ66" s="95"/>
      <c r="OR66" s="95"/>
      <c r="OS66" s="95"/>
      <c r="OT66" s="95"/>
      <c r="OU66" s="95"/>
      <c r="OV66" s="95"/>
      <c r="OW66" s="95"/>
      <c r="OX66" s="95"/>
      <c r="OY66" s="95"/>
      <c r="OZ66" s="95"/>
      <c r="PA66" s="95"/>
      <c r="PB66" s="95"/>
      <c r="PC66" s="95"/>
      <c r="PD66" s="95"/>
      <c r="PE66" s="95"/>
      <c r="PF66" s="95"/>
      <c r="PG66" s="95"/>
      <c r="PH66" s="95"/>
      <c r="PI66" s="95"/>
      <c r="PJ66" s="95"/>
      <c r="PK66" s="95"/>
      <c r="PL66" s="95"/>
      <c r="PM66" s="95"/>
      <c r="PN66" s="95"/>
      <c r="PO66" s="95"/>
      <c r="PP66" s="95"/>
      <c r="PQ66" s="95"/>
      <c r="PR66" s="95"/>
      <c r="PS66" s="95"/>
      <c r="PT66" s="95"/>
      <c r="PU66" s="95"/>
      <c r="PV66" s="95"/>
      <c r="PW66" s="95"/>
      <c r="PX66" s="95"/>
      <c r="PY66" s="95"/>
      <c r="PZ66" s="95"/>
      <c r="QA66" s="95"/>
      <c r="QB66" s="95"/>
      <c r="QC66" s="95"/>
      <c r="QD66" s="95"/>
      <c r="QE66" s="95"/>
      <c r="QF66" s="95"/>
      <c r="QG66" s="95"/>
      <c r="QH66" s="95"/>
      <c r="QI66" s="95"/>
      <c r="QJ66" s="95"/>
      <c r="QK66" s="95"/>
      <c r="QL66" s="95"/>
      <c r="QM66" s="95"/>
      <c r="QN66" s="95"/>
      <c r="QO66" s="95"/>
      <c r="QP66" s="95"/>
      <c r="QQ66" s="95"/>
      <c r="QR66" s="95"/>
      <c r="QS66" s="95"/>
      <c r="QT66" s="95"/>
      <c r="QU66" s="95"/>
      <c r="QV66" s="95"/>
      <c r="QW66" s="95"/>
      <c r="QX66" s="95"/>
      <c r="QY66" s="95"/>
      <c r="QZ66" s="95"/>
      <c r="RA66" s="95"/>
      <c r="RB66" s="95"/>
      <c r="RC66" s="95"/>
      <c r="RD66" s="95"/>
      <c r="RE66" s="95"/>
      <c r="RF66" s="95"/>
      <c r="RG66" s="95"/>
      <c r="RH66" s="95"/>
      <c r="RI66" s="95"/>
      <c r="RJ66" s="95"/>
      <c r="RK66" s="95"/>
      <c r="RL66" s="95"/>
      <c r="RM66" s="95"/>
      <c r="RN66" s="95"/>
      <c r="RO66" s="95"/>
      <c r="RP66" s="95"/>
      <c r="RQ66" s="95"/>
      <c r="RR66" s="95"/>
      <c r="RS66" s="95"/>
      <c r="RT66" s="95"/>
      <c r="RU66" s="95"/>
      <c r="RV66" s="95"/>
      <c r="RW66" s="95"/>
      <c r="RX66" s="95"/>
      <c r="RY66" s="95"/>
      <c r="RZ66" s="95"/>
      <c r="SA66" s="95"/>
      <c r="SB66" s="95"/>
      <c r="SC66" s="95"/>
      <c r="SD66" s="95"/>
      <c r="SE66" s="95"/>
      <c r="SF66" s="95"/>
      <c r="SG66" s="95"/>
      <c r="SH66" s="95"/>
      <c r="SI66" s="95"/>
      <c r="SJ66" s="95"/>
      <c r="SK66" s="95"/>
      <c r="SL66" s="95"/>
      <c r="SM66" s="95"/>
      <c r="SN66" s="95"/>
      <c r="SO66" s="95"/>
      <c r="SP66" s="95"/>
      <c r="SQ66" s="95"/>
      <c r="SR66" s="95"/>
      <c r="SS66" s="95"/>
      <c r="ST66" s="95"/>
      <c r="SU66" s="95"/>
      <c r="SV66" s="95"/>
      <c r="SW66" s="95"/>
      <c r="SX66" s="95"/>
      <c r="SY66" s="95"/>
      <c r="SZ66" s="95"/>
      <c r="TA66" s="95"/>
      <c r="TB66" s="95"/>
      <c r="TC66" s="95"/>
      <c r="TD66" s="95"/>
      <c r="TE66" s="95"/>
      <c r="TF66" s="95"/>
      <c r="TG66" s="95"/>
      <c r="TH66" s="95"/>
      <c r="TI66" s="95"/>
      <c r="TJ66" s="95"/>
      <c r="TK66" s="95"/>
      <c r="TL66" s="95"/>
      <c r="TM66" s="95"/>
      <c r="TN66" s="95"/>
      <c r="TO66" s="95"/>
      <c r="TP66" s="95"/>
      <c r="TQ66" s="95"/>
      <c r="TR66" s="95"/>
      <c r="TS66" s="95"/>
      <c r="TT66" s="95"/>
      <c r="TU66" s="95"/>
      <c r="TV66" s="95"/>
      <c r="TW66" s="95"/>
      <c r="TX66" s="95"/>
      <c r="TY66" s="95"/>
      <c r="TZ66" s="95"/>
      <c r="UA66" s="95"/>
      <c r="UB66" s="95"/>
      <c r="UC66" s="95"/>
      <c r="UD66" s="95"/>
      <c r="UE66" s="95"/>
      <c r="UF66" s="95"/>
      <c r="UG66" s="95"/>
      <c r="UH66" s="95"/>
      <c r="UI66" s="95"/>
      <c r="UJ66" s="95"/>
      <c r="UK66" s="95"/>
      <c r="UL66" s="95"/>
      <c r="UM66" s="95"/>
      <c r="UN66" s="95"/>
      <c r="UO66" s="95"/>
      <c r="UP66" s="95"/>
      <c r="UQ66" s="95"/>
      <c r="UR66" s="95"/>
      <c r="US66" s="95"/>
      <c r="UT66" s="95"/>
      <c r="UU66" s="95"/>
      <c r="UV66" s="95"/>
      <c r="UW66" s="95"/>
      <c r="UX66" s="95"/>
      <c r="UY66" s="95"/>
      <c r="UZ66" s="95"/>
      <c r="VA66" s="95"/>
      <c r="VB66" s="95"/>
      <c r="VC66" s="95"/>
      <c r="VD66" s="95"/>
      <c r="VE66" s="95"/>
      <c r="VF66" s="95"/>
      <c r="VG66" s="95"/>
      <c r="VH66" s="95"/>
      <c r="VI66" s="95"/>
      <c r="VJ66" s="95"/>
      <c r="VK66" s="95"/>
      <c r="VL66" s="95"/>
      <c r="VM66" s="95"/>
      <c r="VN66" s="95"/>
      <c r="VO66" s="95"/>
      <c r="VP66" s="95"/>
      <c r="VQ66" s="95"/>
      <c r="VR66" s="95"/>
      <c r="VS66" s="95"/>
      <c r="VT66" s="95"/>
      <c r="VU66" s="95"/>
      <c r="VV66" s="95"/>
      <c r="VW66" s="95"/>
      <c r="VX66" s="95"/>
      <c r="VY66" s="95"/>
      <c r="VZ66" s="95"/>
      <c r="WA66" s="95"/>
      <c r="WB66" s="95"/>
      <c r="WC66" s="95"/>
      <c r="WD66" s="95"/>
      <c r="WE66" s="95"/>
      <c r="WF66" s="95"/>
      <c r="WG66" s="95"/>
      <c r="WH66" s="95"/>
      <c r="WI66" s="95"/>
      <c r="WJ66" s="95"/>
      <c r="WK66" s="95"/>
      <c r="WL66" s="95"/>
      <c r="WM66" s="95"/>
      <c r="WN66" s="95"/>
      <c r="WO66" s="95"/>
      <c r="WP66" s="95"/>
      <c r="WQ66" s="95"/>
      <c r="WR66" s="95"/>
      <c r="WS66" s="95"/>
      <c r="WT66" s="95"/>
      <c r="WU66" s="95"/>
      <c r="WV66" s="95"/>
      <c r="WW66" s="95"/>
      <c r="WX66" s="95"/>
      <c r="WY66" s="95"/>
      <c r="WZ66" s="95"/>
      <c r="XA66" s="95"/>
      <c r="XB66" s="95"/>
      <c r="XC66" s="95"/>
      <c r="XD66" s="95"/>
      <c r="XE66" s="95"/>
      <c r="XF66" s="95"/>
      <c r="XG66" s="95"/>
      <c r="XH66" s="95"/>
      <c r="XI66" s="95"/>
      <c r="XJ66" s="95"/>
      <c r="XK66" s="95"/>
      <c r="XL66" s="95"/>
      <c r="XM66" s="95"/>
      <c r="XN66" s="95"/>
      <c r="XO66" s="95"/>
      <c r="XP66" s="95"/>
      <c r="XQ66" s="95"/>
      <c r="XR66" s="95"/>
      <c r="XS66" s="95"/>
      <c r="XT66" s="95"/>
      <c r="XU66" s="95"/>
      <c r="XV66" s="95"/>
      <c r="XW66" s="95"/>
      <c r="XX66" s="95"/>
      <c r="XY66" s="95"/>
      <c r="XZ66" s="95"/>
      <c r="YA66" s="95"/>
      <c r="YB66" s="95"/>
      <c r="YC66" s="95"/>
      <c r="YD66" s="95"/>
      <c r="YE66" s="95"/>
      <c r="YF66" s="95"/>
      <c r="YG66" s="95"/>
      <c r="YH66" s="95"/>
      <c r="YI66" s="95"/>
      <c r="YJ66" s="95"/>
      <c r="YK66" s="95"/>
      <c r="YL66" s="95"/>
      <c r="YM66" s="95"/>
      <c r="YN66" s="95"/>
      <c r="YO66" s="95"/>
      <c r="YP66" s="95"/>
      <c r="YQ66" s="95"/>
      <c r="YR66" s="95"/>
      <c r="YS66" s="95"/>
      <c r="YT66" s="95"/>
      <c r="YU66" s="95"/>
      <c r="YV66" s="95"/>
      <c r="YW66" s="95"/>
      <c r="YX66" s="95"/>
      <c r="YY66" s="95"/>
      <c r="YZ66" s="95"/>
      <c r="ZA66" s="95"/>
      <c r="ZB66" s="95"/>
      <c r="ZC66" s="95"/>
      <c r="ZD66" s="95"/>
      <c r="ZE66" s="95"/>
      <c r="ZF66" s="95"/>
      <c r="ZG66" s="95"/>
      <c r="ZH66" s="95"/>
      <c r="ZI66" s="95"/>
      <c r="ZJ66" s="95"/>
      <c r="ZK66" s="95"/>
      <c r="ZL66" s="95"/>
      <c r="ZM66" s="95"/>
      <c r="ZN66" s="95"/>
      <c r="ZO66" s="95"/>
      <c r="ZP66" s="95"/>
      <c r="ZQ66" s="95"/>
      <c r="ZR66" s="95"/>
      <c r="ZS66" s="95"/>
      <c r="ZT66" s="95"/>
      <c r="ZU66" s="95"/>
      <c r="ZV66" s="95"/>
      <c r="ZW66" s="95"/>
      <c r="ZX66" s="95"/>
      <c r="ZY66" s="95"/>
      <c r="ZZ66" s="95"/>
      <c r="AAA66" s="95"/>
      <c r="AAB66" s="95"/>
      <c r="AAC66" s="95"/>
      <c r="AAD66" s="95"/>
      <c r="AAE66" s="95"/>
      <c r="AAF66" s="95"/>
      <c r="AAG66" s="95"/>
      <c r="AAH66" s="95"/>
      <c r="AAI66" s="95"/>
      <c r="AAJ66" s="95"/>
      <c r="AAK66" s="95"/>
      <c r="AAL66" s="95"/>
      <c r="AAM66" s="95"/>
      <c r="AAN66" s="95"/>
      <c r="AAO66" s="95"/>
      <c r="AAP66" s="95"/>
      <c r="AAQ66" s="95"/>
      <c r="AAR66" s="95"/>
      <c r="AAS66" s="95"/>
      <c r="AAT66" s="95"/>
      <c r="AAU66" s="95"/>
      <c r="AAV66" s="95"/>
      <c r="AAW66" s="95"/>
      <c r="AAX66" s="95"/>
      <c r="AAY66" s="95"/>
      <c r="AAZ66" s="95"/>
      <c r="ABA66" s="95"/>
      <c r="ABB66" s="95"/>
      <c r="ABC66" s="95"/>
      <c r="ABD66" s="95"/>
      <c r="ABE66" s="95"/>
      <c r="ABF66" s="95"/>
      <c r="ABG66" s="95"/>
      <c r="ABH66" s="95"/>
      <c r="ABI66" s="95"/>
      <c r="ABJ66" s="95"/>
      <c r="ABK66" s="95"/>
      <c r="ABL66" s="95"/>
      <c r="ABM66" s="95"/>
      <c r="ABN66" s="95"/>
      <c r="ABO66" s="95"/>
      <c r="ABP66" s="95"/>
      <c r="ABQ66" s="95"/>
      <c r="ABR66" s="95"/>
      <c r="ABS66" s="95"/>
      <c r="ABT66" s="95"/>
      <c r="ABU66" s="95"/>
      <c r="ABV66" s="95"/>
      <c r="ABW66" s="95"/>
      <c r="ABX66" s="95"/>
      <c r="ABY66" s="95"/>
      <c r="ABZ66" s="95"/>
      <c r="ACA66" s="95"/>
      <c r="ACB66" s="95"/>
      <c r="ACC66" s="95"/>
      <c r="ACD66" s="95"/>
      <c r="ACE66" s="95"/>
      <c r="ACF66" s="95"/>
      <c r="ACG66" s="95"/>
      <c r="ACH66" s="95"/>
      <c r="ACI66" s="95"/>
      <c r="ACJ66" s="95"/>
      <c r="ACK66" s="95"/>
      <c r="ACL66" s="95"/>
      <c r="ACM66" s="95"/>
      <c r="ACN66" s="95"/>
      <c r="ACO66" s="95"/>
      <c r="ACP66" s="95"/>
      <c r="ACQ66" s="95"/>
      <c r="ACR66" s="95"/>
      <c r="ACS66" s="95"/>
      <c r="ACT66" s="95"/>
      <c r="ACU66" s="95"/>
      <c r="ACV66" s="95"/>
      <c r="ACW66" s="95"/>
      <c r="ACX66" s="95"/>
      <c r="ACY66" s="95"/>
      <c r="ACZ66" s="95"/>
      <c r="ADA66" s="95"/>
      <c r="ADB66" s="95"/>
      <c r="ADC66" s="95"/>
      <c r="ADD66" s="95"/>
      <c r="ADE66" s="95"/>
      <c r="ADF66" s="95"/>
      <c r="ADG66" s="95"/>
      <c r="ADH66" s="95"/>
      <c r="ADI66" s="95"/>
      <c r="ADJ66" s="95"/>
      <c r="ADK66" s="95"/>
      <c r="ADL66" s="95"/>
      <c r="ADM66" s="95"/>
      <c r="ADN66" s="95"/>
      <c r="ADO66" s="95"/>
      <c r="ADP66" s="95"/>
      <c r="ADQ66" s="95"/>
      <c r="ADR66" s="95"/>
      <c r="ADS66" s="95"/>
      <c r="ADT66" s="95"/>
      <c r="ADU66" s="95"/>
      <c r="ADV66" s="95"/>
      <c r="ADW66" s="95"/>
      <c r="ADX66" s="95"/>
      <c r="ADY66" s="95"/>
      <c r="ADZ66" s="95"/>
      <c r="AEA66" s="95"/>
      <c r="AEB66" s="95"/>
      <c r="AEC66" s="95"/>
      <c r="AED66" s="95"/>
      <c r="AEE66" s="95"/>
      <c r="AEF66" s="95"/>
      <c r="AEG66" s="95"/>
      <c r="AEH66" s="95"/>
      <c r="AEI66" s="95"/>
      <c r="AEJ66" s="95"/>
      <c r="AEK66" s="95"/>
      <c r="AEL66" s="95"/>
      <c r="AEM66" s="95"/>
      <c r="AEN66" s="95"/>
      <c r="AEO66" s="95"/>
      <c r="AEP66" s="95"/>
      <c r="AEQ66" s="95"/>
      <c r="AER66" s="95"/>
      <c r="AES66" s="95"/>
      <c r="AET66" s="95"/>
      <c r="AEU66" s="95"/>
      <c r="AEV66" s="95"/>
      <c r="AEW66" s="95"/>
      <c r="AEX66" s="95"/>
      <c r="AEY66" s="95"/>
      <c r="AEZ66" s="95"/>
      <c r="AFA66" s="95"/>
      <c r="AFB66" s="95"/>
      <c r="AFC66" s="95"/>
      <c r="AFD66" s="95"/>
      <c r="AFE66" s="95"/>
      <c r="AFF66" s="95"/>
      <c r="AFG66" s="95"/>
      <c r="AFH66" s="95"/>
      <c r="AFI66" s="95"/>
      <c r="AFJ66" s="95"/>
      <c r="AFK66" s="95"/>
      <c r="AFL66" s="95"/>
      <c r="AFM66" s="95"/>
      <c r="AFN66" s="95"/>
      <c r="AFO66" s="95"/>
      <c r="AFP66" s="95"/>
      <c r="AFQ66" s="95"/>
      <c r="AFR66" s="95"/>
      <c r="AFS66" s="95"/>
      <c r="AFT66" s="95"/>
      <c r="AFU66" s="95"/>
      <c r="AFV66" s="95"/>
      <c r="AFW66" s="95"/>
      <c r="AFX66" s="95"/>
      <c r="AFY66" s="95"/>
      <c r="AFZ66" s="95"/>
      <c r="AGA66" s="95"/>
      <c r="AGB66" s="95"/>
      <c r="AGC66" s="95"/>
      <c r="AGD66" s="95"/>
      <c r="AGE66" s="95"/>
      <c r="AGF66" s="95"/>
      <c r="AGG66" s="95"/>
      <c r="AGH66" s="95"/>
      <c r="AGI66" s="95"/>
      <c r="AGJ66" s="95"/>
      <c r="AGK66" s="95"/>
      <c r="AGL66" s="95"/>
      <c r="AGM66" s="95"/>
      <c r="AGN66" s="95"/>
      <c r="AGO66" s="95"/>
      <c r="AGP66" s="95"/>
      <c r="AGQ66" s="95"/>
      <c r="AGR66" s="95"/>
      <c r="AGS66" s="95"/>
      <c r="AGT66" s="95"/>
      <c r="AGU66" s="95"/>
      <c r="AGV66" s="95"/>
      <c r="AGW66" s="95"/>
      <c r="AGX66" s="95"/>
      <c r="AGY66" s="95"/>
      <c r="AGZ66" s="95"/>
    </row>
    <row r="69" spans="1:884" ht="13.8" thickBot="1">
      <c r="A69" s="142" t="s">
        <v>227</v>
      </c>
    </row>
    <row r="70" spans="1:884">
      <c r="A70" s="1177"/>
      <c r="B70" s="1178"/>
      <c r="C70" s="1178"/>
      <c r="D70" s="1178"/>
      <c r="E70" s="1178"/>
      <c r="F70" s="1189"/>
      <c r="G70" s="148" t="s">
        <v>432</v>
      </c>
      <c r="H70" s="148" t="s">
        <v>840</v>
      </c>
      <c r="I70" s="148" t="s">
        <v>841</v>
      </c>
      <c r="J70" s="148"/>
      <c r="K70" s="148"/>
      <c r="L70" s="1190" t="s">
        <v>228</v>
      </c>
      <c r="M70" s="1191"/>
    </row>
    <row r="71" spans="1:884">
      <c r="A71" s="146" t="s">
        <v>28</v>
      </c>
      <c r="B71" s="176" t="s">
        <v>132</v>
      </c>
      <c r="E71" s="139"/>
      <c r="F71" s="175"/>
      <c r="M71" s="137"/>
      <c r="Q71" s="177"/>
    </row>
    <row r="72" spans="1:884">
      <c r="A72" s="146"/>
      <c r="B72" s="176"/>
      <c r="C72" s="95" t="s">
        <v>674</v>
      </c>
      <c r="E72" s="139"/>
      <c r="F72" s="175"/>
      <c r="G72" s="527">
        <v>1</v>
      </c>
      <c r="H72" s="323">
        <v>0</v>
      </c>
      <c r="I72" s="323">
        <v>0</v>
      </c>
      <c r="J72" s="323"/>
      <c r="K72" s="323"/>
      <c r="L72" s="154"/>
      <c r="M72" s="174"/>
    </row>
    <row r="73" spans="1:884">
      <c r="A73" s="146">
        <f>+A64+1</f>
        <v>173</v>
      </c>
      <c r="B73" s="176"/>
      <c r="C73" s="145" t="s">
        <v>143</v>
      </c>
      <c r="E73" s="139"/>
      <c r="F73" s="175"/>
      <c r="G73" s="955">
        <v>6.5000000000000002E-2</v>
      </c>
      <c r="H73" s="950">
        <v>0</v>
      </c>
      <c r="I73" s="950">
        <v>0</v>
      </c>
      <c r="J73" s="950"/>
      <c r="K73" s="335"/>
      <c r="M73" s="956">
        <f>(G73*G72+H73*H72+I73*I72+J73*J72)</f>
        <v>6.5000000000000002E-2</v>
      </c>
    </row>
    <row r="74" spans="1:884" ht="13.8" thickBot="1">
      <c r="A74" s="143"/>
      <c r="B74" s="152"/>
      <c r="C74" s="135" t="s">
        <v>442</v>
      </c>
      <c r="D74" s="173"/>
      <c r="E74" s="169"/>
      <c r="F74" s="172"/>
      <c r="G74" s="135"/>
      <c r="H74" s="135"/>
      <c r="I74" s="135"/>
      <c r="J74" s="135"/>
      <c r="K74" s="135"/>
      <c r="L74" s="135"/>
      <c r="M74" s="171"/>
      <c r="N74" s="170"/>
      <c r="O74" s="612"/>
    </row>
    <row r="76" spans="1:884" ht="13.8" thickBot="1">
      <c r="A76" s="462" t="s">
        <v>352</v>
      </c>
      <c r="B76" s="306"/>
      <c r="C76" s="306"/>
      <c r="D76" s="306"/>
      <c r="E76" s="306"/>
      <c r="F76" s="306"/>
      <c r="G76" s="306"/>
      <c r="H76" s="306"/>
      <c r="I76" s="306"/>
      <c r="J76" s="306"/>
      <c r="K76" s="306"/>
      <c r="L76" s="306"/>
      <c r="M76" s="306"/>
    </row>
    <row r="77" spans="1:884" ht="39.6">
      <c r="A77" s="1197"/>
      <c r="B77" s="1198"/>
      <c r="C77" s="1198"/>
      <c r="D77" s="1198"/>
      <c r="E77" s="1198"/>
      <c r="F77" s="1199"/>
      <c r="G77" s="884" t="s">
        <v>131</v>
      </c>
      <c r="H77" s="885" t="s">
        <v>351</v>
      </c>
      <c r="I77" s="885" t="s">
        <v>130</v>
      </c>
      <c r="J77" s="1200" t="s">
        <v>124</v>
      </c>
      <c r="K77" s="1200"/>
      <c r="L77" s="1200"/>
      <c r="M77" s="1201"/>
    </row>
    <row r="78" spans="1:884">
      <c r="A78" s="305"/>
      <c r="B78" s="157" t="s">
        <v>129</v>
      </c>
      <c r="C78" s="306"/>
      <c r="D78" s="306"/>
      <c r="E78" s="307"/>
      <c r="F78" s="309"/>
      <c r="G78" s="308"/>
      <c r="H78" s="306"/>
      <c r="I78" s="306"/>
      <c r="J78" s="306"/>
      <c r="K78" s="306"/>
      <c r="L78" s="306"/>
      <c r="M78" s="309"/>
    </row>
    <row r="79" spans="1:884">
      <c r="A79" s="305">
        <f>+A73+1</f>
        <v>174</v>
      </c>
      <c r="B79" s="814"/>
      <c r="C79" s="815" t="s">
        <v>192</v>
      </c>
      <c r="D79" s="306"/>
      <c r="E79" s="816"/>
      <c r="F79" s="95" t="s">
        <v>150</v>
      </c>
      <c r="G79" s="817">
        <v>0</v>
      </c>
      <c r="H79" s="818">
        <v>0</v>
      </c>
      <c r="I79" s="819">
        <f>G79-H79</f>
        <v>0</v>
      </c>
      <c r="J79" s="306"/>
      <c r="K79" s="306"/>
      <c r="L79" s="306"/>
      <c r="M79" s="309"/>
    </row>
    <row r="80" spans="1:884">
      <c r="A80" s="305"/>
      <c r="B80" s="157"/>
      <c r="C80" s="306"/>
      <c r="D80" s="306"/>
      <c r="E80" s="307"/>
      <c r="F80" s="309"/>
      <c r="G80" s="308"/>
      <c r="H80" s="306"/>
      <c r="I80" s="306"/>
      <c r="J80" s="306"/>
      <c r="K80" s="306"/>
      <c r="L80" s="306"/>
      <c r="M80" s="309"/>
    </row>
    <row r="81" spans="1:14">
      <c r="A81" s="305"/>
      <c r="B81" s="157"/>
      <c r="C81" s="95" t="s">
        <v>657</v>
      </c>
      <c r="D81" s="306"/>
      <c r="E81" s="307"/>
      <c r="F81" s="309"/>
      <c r="G81" s="308"/>
      <c r="H81" s="306"/>
      <c r="I81" s="306"/>
      <c r="J81" s="306"/>
      <c r="K81" s="306"/>
      <c r="L81" s="306"/>
      <c r="M81" s="309"/>
    </row>
    <row r="82" spans="1:14">
      <c r="A82" s="305"/>
      <c r="B82" s="157"/>
      <c r="C82" s="95" t="s">
        <v>660</v>
      </c>
      <c r="D82" s="306"/>
      <c r="E82" s="307"/>
      <c r="F82" s="309"/>
      <c r="G82" s="308"/>
      <c r="H82" s="306"/>
      <c r="I82" s="306"/>
      <c r="J82" s="306"/>
      <c r="K82" s="306"/>
      <c r="L82" s="306"/>
      <c r="M82" s="309"/>
    </row>
    <row r="83" spans="1:14">
      <c r="A83" s="305"/>
      <c r="B83" s="157"/>
      <c r="C83" s="95" t="s">
        <v>658</v>
      </c>
      <c r="D83" s="306"/>
      <c r="E83" s="307"/>
      <c r="F83" s="309"/>
      <c r="G83" s="308"/>
      <c r="H83" s="306"/>
      <c r="I83" s="306"/>
      <c r="J83" s="306"/>
      <c r="K83" s="306"/>
      <c r="L83" s="306"/>
      <c r="M83" s="309"/>
    </row>
    <row r="84" spans="1:14">
      <c r="A84" s="305"/>
      <c r="B84" s="157"/>
      <c r="C84" s="95" t="s">
        <v>659</v>
      </c>
      <c r="F84" s="309"/>
      <c r="G84" s="308"/>
      <c r="H84" s="306"/>
      <c r="I84" s="306"/>
      <c r="J84" s="306"/>
      <c r="K84" s="306"/>
      <c r="L84" s="306"/>
      <c r="M84" s="309"/>
    </row>
    <row r="85" spans="1:14" ht="13.8" thickBot="1">
      <c r="A85" s="143"/>
      <c r="B85" s="135"/>
      <c r="C85" s="135" t="s">
        <v>661</v>
      </c>
      <c r="D85" s="135"/>
      <c r="E85" s="135"/>
      <c r="F85" s="134"/>
      <c r="G85" s="143"/>
      <c r="H85" s="135"/>
      <c r="I85" s="135"/>
      <c r="J85" s="1202"/>
      <c r="K85" s="1202"/>
      <c r="L85" s="1202"/>
      <c r="M85" s="1203"/>
    </row>
    <row r="87" spans="1:14" ht="13.8" thickBot="1">
      <c r="A87" s="142" t="s">
        <v>128</v>
      </c>
    </row>
    <row r="88" spans="1:14" ht="66.75" customHeight="1">
      <c r="A88" s="1177"/>
      <c r="B88" s="1178"/>
      <c r="C88" s="1178"/>
      <c r="D88" s="1178"/>
      <c r="E88" s="1178"/>
      <c r="F88" s="1178"/>
      <c r="G88" s="162" t="str">
        <f>+C90</f>
        <v>Excluded Transmission Facilities</v>
      </c>
      <c r="H88" s="854" t="s">
        <v>746</v>
      </c>
      <c r="I88" s="1179" t="s">
        <v>127</v>
      </c>
      <c r="J88" s="1179"/>
      <c r="K88" s="1179"/>
      <c r="L88" s="1179"/>
      <c r="M88" s="1205"/>
    </row>
    <row r="89" spans="1:14">
      <c r="A89" s="118"/>
      <c r="B89" s="158" t="s">
        <v>126</v>
      </c>
      <c r="C89" s="157"/>
      <c r="D89" s="157"/>
      <c r="E89" s="168"/>
      <c r="F89" s="167"/>
      <c r="G89" s="166"/>
      <c r="M89" s="137"/>
    </row>
    <row r="90" spans="1:14" ht="12.75" customHeight="1">
      <c r="A90" s="146">
        <f>+A79+1</f>
        <v>175</v>
      </c>
      <c r="B90" s="124"/>
      <c r="C90" s="145" t="s">
        <v>193</v>
      </c>
      <c r="D90" s="157"/>
      <c r="E90" s="164"/>
      <c r="F90" s="145"/>
      <c r="G90" s="979">
        <f>-'2 - Cost Support '!F20+'9 - Workpaper'!P91</f>
        <v>-492158578.76923078</v>
      </c>
      <c r="H90" s="855">
        <v>0</v>
      </c>
      <c r="I90" s="1165" t="s">
        <v>989</v>
      </c>
      <c r="J90" s="1165"/>
      <c r="K90" s="1165"/>
      <c r="L90" s="1165"/>
      <c r="M90" s="1204"/>
    </row>
    <row r="91" spans="1:14">
      <c r="A91" s="146"/>
      <c r="B91" s="124"/>
      <c r="D91" s="157"/>
      <c r="E91" s="156"/>
      <c r="F91" s="155"/>
      <c r="G91" s="166"/>
      <c r="M91" s="137"/>
    </row>
    <row r="92" spans="1:14" ht="13.8" thickBot="1">
      <c r="A92" s="136"/>
      <c r="B92" s="135"/>
      <c r="C92" s="135"/>
      <c r="D92" s="135"/>
      <c r="E92" s="135"/>
      <c r="F92" s="135"/>
      <c r="G92" s="143"/>
      <c r="H92" s="135"/>
      <c r="I92" s="135"/>
      <c r="J92" s="135"/>
      <c r="K92" s="165" t="s">
        <v>123</v>
      </c>
      <c r="L92" s="135"/>
      <c r="M92" s="134"/>
    </row>
    <row r="93" spans="1:14">
      <c r="K93" s="163"/>
    </row>
    <row r="94" spans="1:14">
      <c r="B94" s="124"/>
      <c r="C94" s="124"/>
      <c r="D94" s="124"/>
      <c r="E94" s="164"/>
      <c r="F94" s="124"/>
      <c r="K94" s="163"/>
    </row>
    <row r="95" spans="1:14" ht="13.8" thickBot="1">
      <c r="A95" s="142" t="s">
        <v>147</v>
      </c>
    </row>
    <row r="96" spans="1:14">
      <c r="A96" s="160"/>
      <c r="B96" s="557"/>
      <c r="C96" s="557"/>
      <c r="D96" s="159"/>
      <c r="E96" s="159"/>
      <c r="F96" s="159"/>
      <c r="G96" s="148"/>
      <c r="H96" s="148"/>
      <c r="I96" s="148"/>
      <c r="J96" s="148"/>
      <c r="K96" s="148"/>
      <c r="L96" s="148"/>
      <c r="M96" s="558"/>
      <c r="N96" s="1057"/>
    </row>
    <row r="97" spans="1:15" ht="15.6">
      <c r="A97" s="118"/>
      <c r="B97" s="158"/>
      <c r="C97" s="1042"/>
      <c r="D97" s="1043"/>
      <c r="F97" s="121"/>
      <c r="G97" s="156"/>
      <c r="H97" s="158"/>
      <c r="I97" s="155"/>
      <c r="K97" s="154"/>
      <c r="M97" s="137"/>
    </row>
    <row r="98" spans="1:15" ht="46.8">
      <c r="A98" s="146"/>
      <c r="C98" s="1039" t="s">
        <v>938</v>
      </c>
      <c r="E98" s="443" t="s">
        <v>145</v>
      </c>
      <c r="F98" s="1051" t="s">
        <v>397</v>
      </c>
      <c r="G98" s="439" t="s">
        <v>41</v>
      </c>
      <c r="H98" s="1052" t="s">
        <v>939</v>
      </c>
      <c r="I98" s="1053"/>
      <c r="J98" s="443" t="s">
        <v>194</v>
      </c>
      <c r="K98" s="1051" t="s">
        <v>940</v>
      </c>
      <c r="L98" s="138"/>
      <c r="M98" s="137"/>
    </row>
    <row r="99" spans="1:15" ht="17.25" customHeight="1">
      <c r="A99" s="146"/>
      <c r="B99" s="124"/>
      <c r="C99" s="95" t="s">
        <v>401</v>
      </c>
      <c r="E99" s="439" t="s">
        <v>398</v>
      </c>
      <c r="F99" s="439" t="s">
        <v>400</v>
      </c>
      <c r="I99" s="133"/>
      <c r="J99" s="439" t="s">
        <v>399</v>
      </c>
      <c r="K99" s="145"/>
      <c r="L99" s="124"/>
      <c r="M99" s="137"/>
      <c r="O99" s="612"/>
    </row>
    <row r="100" spans="1:15" ht="17.25" customHeight="1">
      <c r="A100" s="146">
        <f>+A90+1</f>
        <v>176</v>
      </c>
      <c r="B100" s="124"/>
      <c r="C100" s="1044">
        <v>45047</v>
      </c>
      <c r="D100" s="95" t="s">
        <v>667</v>
      </c>
      <c r="E100" s="1010">
        <v>795</v>
      </c>
      <c r="F100" s="560">
        <v>17645855</v>
      </c>
      <c r="G100" s="1045">
        <f t="shared" ref="G100:G112" si="2">+E100+J100+F100</f>
        <v>17646650</v>
      </c>
      <c r="J100" s="560">
        <v>0</v>
      </c>
      <c r="K100" s="145"/>
      <c r="L100" s="124"/>
      <c r="M100" s="137"/>
    </row>
    <row r="101" spans="1:15" ht="17.25" customHeight="1">
      <c r="A101" s="146">
        <f>+A100+1</f>
        <v>177</v>
      </c>
      <c r="B101" s="124"/>
      <c r="C101" s="790" t="s">
        <v>254</v>
      </c>
      <c r="D101" s="95" t="s">
        <v>667</v>
      </c>
      <c r="E101" s="1011">
        <v>147041</v>
      </c>
      <c r="F101" s="555">
        <v>18405737</v>
      </c>
      <c r="G101" s="1045">
        <f t="shared" si="2"/>
        <v>18552778</v>
      </c>
      <c r="I101" s="133"/>
      <c r="J101" s="555">
        <v>0</v>
      </c>
      <c r="K101" s="145"/>
      <c r="L101" s="124"/>
      <c r="M101" s="137"/>
    </row>
    <row r="102" spans="1:15" ht="17.25" customHeight="1">
      <c r="A102" s="146">
        <f t="shared" ref="A102:A112" si="3">+A101+1</f>
        <v>178</v>
      </c>
      <c r="B102" s="124"/>
      <c r="C102" s="790" t="s">
        <v>155</v>
      </c>
      <c r="D102" s="95" t="s">
        <v>667</v>
      </c>
      <c r="E102" s="1011">
        <v>1279</v>
      </c>
      <c r="F102" s="555">
        <v>24340119</v>
      </c>
      <c r="G102" s="1045">
        <f t="shared" si="2"/>
        <v>24341398</v>
      </c>
      <c r="I102" s="133"/>
      <c r="J102" s="555">
        <v>0</v>
      </c>
      <c r="K102" s="145"/>
      <c r="L102" s="124"/>
      <c r="M102" s="137"/>
    </row>
    <row r="103" spans="1:15" ht="17.25" customHeight="1">
      <c r="A103" s="146">
        <f t="shared" si="3"/>
        <v>179</v>
      </c>
      <c r="B103" s="124"/>
      <c r="C103" s="790" t="s">
        <v>154</v>
      </c>
      <c r="D103" s="95" t="s">
        <v>667</v>
      </c>
      <c r="E103" s="1011">
        <v>198842</v>
      </c>
      <c r="F103" s="555">
        <v>18852828</v>
      </c>
      <c r="G103" s="1045">
        <f t="shared" si="2"/>
        <v>19051670</v>
      </c>
      <c r="I103" s="133"/>
      <c r="J103" s="555">
        <v>0</v>
      </c>
      <c r="K103" s="145"/>
      <c r="L103" s="124"/>
      <c r="M103" s="137"/>
    </row>
    <row r="104" spans="1:15" ht="17.25" customHeight="1">
      <c r="A104" s="146">
        <f t="shared" si="3"/>
        <v>180</v>
      </c>
      <c r="B104" s="124"/>
      <c r="C104" s="790" t="s">
        <v>153</v>
      </c>
      <c r="D104" s="95" t="s">
        <v>667</v>
      </c>
      <c r="E104" s="1011">
        <v>381028</v>
      </c>
      <c r="F104" s="555">
        <v>19199169</v>
      </c>
      <c r="G104" s="1045">
        <f t="shared" si="2"/>
        <v>19580197</v>
      </c>
      <c r="I104" s="133"/>
      <c r="J104" s="555">
        <v>0</v>
      </c>
      <c r="K104" s="145"/>
      <c r="L104" s="124"/>
      <c r="M104" s="137"/>
    </row>
    <row r="105" spans="1:15" ht="17.25" customHeight="1">
      <c r="A105" s="146">
        <f t="shared" si="3"/>
        <v>181</v>
      </c>
      <c r="B105" s="124"/>
      <c r="C105" s="790" t="s">
        <v>152</v>
      </c>
      <c r="D105" s="95" t="s">
        <v>667</v>
      </c>
      <c r="E105" s="1011">
        <v>395089</v>
      </c>
      <c r="F105" s="555">
        <v>21335246</v>
      </c>
      <c r="G105" s="1045">
        <f t="shared" si="2"/>
        <v>21730335</v>
      </c>
      <c r="I105" s="133"/>
      <c r="J105" s="555">
        <v>0</v>
      </c>
      <c r="K105" s="145"/>
      <c r="L105" s="124"/>
      <c r="M105" s="137"/>
    </row>
    <row r="106" spans="1:15" ht="17.25" customHeight="1">
      <c r="A106" s="146">
        <f t="shared" si="3"/>
        <v>182</v>
      </c>
      <c r="B106" s="124"/>
      <c r="C106" s="790" t="s">
        <v>151</v>
      </c>
      <c r="D106" s="95" t="s">
        <v>667</v>
      </c>
      <c r="E106" s="1011">
        <v>414809</v>
      </c>
      <c r="F106" s="555">
        <v>21126885</v>
      </c>
      <c r="G106" s="1045">
        <f t="shared" si="2"/>
        <v>21541694</v>
      </c>
      <c r="I106" s="133"/>
      <c r="J106" s="555">
        <v>0</v>
      </c>
      <c r="K106" s="145"/>
      <c r="L106" s="124"/>
      <c r="M106" s="137"/>
    </row>
    <row r="107" spans="1:15" ht="17.25" customHeight="1">
      <c r="A107" s="146">
        <f t="shared" si="3"/>
        <v>183</v>
      </c>
      <c r="B107" s="124"/>
      <c r="C107" s="790" t="s">
        <v>149</v>
      </c>
      <c r="D107" s="95" t="s">
        <v>1001</v>
      </c>
      <c r="E107" s="1011">
        <v>448199</v>
      </c>
      <c r="F107" s="555">
        <v>21052556</v>
      </c>
      <c r="G107" s="1045">
        <f t="shared" si="2"/>
        <v>21500755</v>
      </c>
      <c r="I107" s="133"/>
      <c r="J107" s="555">
        <v>0</v>
      </c>
      <c r="K107" s="145"/>
      <c r="L107" s="124"/>
      <c r="M107" s="137"/>
    </row>
    <row r="108" spans="1:15" ht="17.25" customHeight="1">
      <c r="A108" s="146">
        <f t="shared" si="3"/>
        <v>184</v>
      </c>
      <c r="B108" s="124"/>
      <c r="C108" s="1044">
        <v>45292</v>
      </c>
      <c r="D108" s="95" t="s">
        <v>667</v>
      </c>
      <c r="E108" s="1011">
        <v>546630</v>
      </c>
      <c r="F108" s="555">
        <v>21834896</v>
      </c>
      <c r="G108" s="1045">
        <f t="shared" si="2"/>
        <v>22381526</v>
      </c>
      <c r="I108" s="133"/>
      <c r="J108" s="555">
        <v>0</v>
      </c>
      <c r="K108" s="145"/>
      <c r="L108" s="124"/>
      <c r="M108" s="137"/>
    </row>
    <row r="109" spans="1:15" ht="17.25" customHeight="1">
      <c r="A109" s="146">
        <f t="shared" si="3"/>
        <v>185</v>
      </c>
      <c r="B109" s="124"/>
      <c r="C109" s="790" t="s">
        <v>157</v>
      </c>
      <c r="D109" s="95" t="s">
        <v>667</v>
      </c>
      <c r="E109" s="1011">
        <v>406401</v>
      </c>
      <c r="F109" s="555">
        <v>22025608</v>
      </c>
      <c r="G109" s="1045">
        <f t="shared" si="2"/>
        <v>22432009</v>
      </c>
      <c r="I109" s="133"/>
      <c r="J109" s="555">
        <v>0</v>
      </c>
      <c r="K109" s="145"/>
      <c r="L109" s="124"/>
      <c r="M109" s="137"/>
    </row>
    <row r="110" spans="1:15" ht="15.6">
      <c r="A110" s="146">
        <f t="shared" si="3"/>
        <v>186</v>
      </c>
      <c r="B110" s="124"/>
      <c r="C110" s="790" t="s">
        <v>156</v>
      </c>
      <c r="D110" s="95" t="s">
        <v>667</v>
      </c>
      <c r="E110" s="1011">
        <v>43802</v>
      </c>
      <c r="F110" s="555">
        <v>22580391</v>
      </c>
      <c r="G110" s="1045">
        <f t="shared" si="2"/>
        <v>22624193</v>
      </c>
      <c r="I110" s="133"/>
      <c r="J110" s="555">
        <v>0</v>
      </c>
      <c r="K110" s="145"/>
      <c r="L110" s="124"/>
      <c r="M110" s="137"/>
    </row>
    <row r="111" spans="1:15" ht="17.25" customHeight="1">
      <c r="A111" s="146">
        <f t="shared" si="3"/>
        <v>187</v>
      </c>
      <c r="B111" s="124"/>
      <c r="C111" s="790" t="s">
        <v>141</v>
      </c>
      <c r="D111" s="95" t="s">
        <v>667</v>
      </c>
      <c r="E111" s="1011">
        <v>121744</v>
      </c>
      <c r="F111" s="555">
        <v>23044424</v>
      </c>
      <c r="G111" s="1045">
        <f t="shared" si="2"/>
        <v>23166168</v>
      </c>
      <c r="I111" s="133"/>
      <c r="J111" s="555">
        <v>0</v>
      </c>
      <c r="K111" s="145"/>
      <c r="L111" s="124"/>
      <c r="M111" s="137"/>
    </row>
    <row r="112" spans="1:15" ht="17.25" customHeight="1">
      <c r="A112" s="146">
        <f t="shared" si="3"/>
        <v>188</v>
      </c>
      <c r="B112" s="124"/>
      <c r="C112" s="145" t="s">
        <v>138</v>
      </c>
      <c r="D112" s="95" t="s">
        <v>667</v>
      </c>
      <c r="E112" s="1011">
        <v>-7813</v>
      </c>
      <c r="F112" s="555">
        <v>23467699</v>
      </c>
      <c r="G112" s="1045">
        <f t="shared" si="2"/>
        <v>23459886</v>
      </c>
      <c r="I112" s="133"/>
      <c r="J112" s="555">
        <v>0</v>
      </c>
      <c r="L112" s="124"/>
      <c r="M112" s="137"/>
    </row>
    <row r="113" spans="1:14" ht="17.25" customHeight="1">
      <c r="A113" s="146"/>
      <c r="B113" s="124"/>
      <c r="C113" s="145"/>
      <c r="E113" s="1012"/>
      <c r="F113" s="559"/>
      <c r="G113" s="1045"/>
      <c r="I113" s="133"/>
      <c r="J113" s="153"/>
      <c r="L113" s="124"/>
      <c r="M113" s="137"/>
    </row>
    <row r="114" spans="1:14" ht="16.2" thickBot="1">
      <c r="A114" s="136">
        <f>+A112+1</f>
        <v>189</v>
      </c>
      <c r="B114" s="152"/>
      <c r="C114" s="161" t="s">
        <v>187</v>
      </c>
      <c r="D114" s="135"/>
      <c r="E114" s="161"/>
      <c r="F114" s="1009"/>
      <c r="G114" s="1013">
        <f>SUM(G100:G112)/13</f>
        <v>21385327.615384616</v>
      </c>
      <c r="H114" s="1046">
        <f>+'Appendix A'!J236</f>
        <v>1.4444767987278218E-2</v>
      </c>
      <c r="I114" s="561">
        <f>+G114*H114</f>
        <v>308906.09573616454</v>
      </c>
      <c r="J114" s="1040">
        <f>+AVERAGE(J100:J112)</f>
        <v>0</v>
      </c>
      <c r="K114" s="1041">
        <f>+'Appendix A'!J228</f>
        <v>4.8282496946761053E-2</v>
      </c>
      <c r="L114" s="1054">
        <f>+J114*K114</f>
        <v>0</v>
      </c>
      <c r="M114" s="1047">
        <f>+I114+L114</f>
        <v>308906.09573616454</v>
      </c>
    </row>
    <row r="115" spans="1:14" ht="15.6">
      <c r="B115" s="124"/>
      <c r="C115" s="130"/>
      <c r="D115" s="121"/>
      <c r="E115" s="121"/>
      <c r="F115" s="121"/>
      <c r="G115" s="151"/>
      <c r="H115" s="149"/>
      <c r="I115" s="150"/>
      <c r="J115" s="149"/>
      <c r="K115" s="149"/>
      <c r="L115" s="138"/>
      <c r="M115" s="138"/>
    </row>
    <row r="116" spans="1:14" ht="15.6">
      <c r="A116" s="439"/>
      <c r="B116" s="121"/>
      <c r="C116" s="121"/>
      <c r="D116" s="121"/>
      <c r="E116" s="121"/>
      <c r="G116" s="121"/>
      <c r="H116" s="121"/>
      <c r="I116" s="121"/>
      <c r="J116" s="121"/>
      <c r="K116" s="121"/>
      <c r="L116" s="121"/>
      <c r="M116" s="121"/>
    </row>
    <row r="117" spans="1:14" ht="16.2" thickBot="1">
      <c r="A117" s="440" t="s">
        <v>927</v>
      </c>
      <c r="B117" s="121"/>
      <c r="C117" s="121"/>
      <c r="D117" s="121"/>
      <c r="E117" s="121"/>
      <c r="F117" s="121"/>
      <c r="G117" s="121"/>
      <c r="H117" s="121"/>
      <c r="I117" s="121"/>
      <c r="J117" s="121"/>
      <c r="K117" s="121"/>
      <c r="L117" s="121"/>
      <c r="M117" s="121"/>
    </row>
    <row r="118" spans="1:14" ht="15.6">
      <c r="A118" s="1162"/>
      <c r="B118" s="1163"/>
      <c r="C118" s="1163"/>
      <c r="D118" s="1163"/>
      <c r="E118" s="1163"/>
      <c r="F118" s="1163"/>
      <c r="G118" s="592"/>
      <c r="H118" s="592"/>
      <c r="I118" s="592"/>
      <c r="J118" s="1194" t="s">
        <v>124</v>
      </c>
      <c r="K118" s="1195"/>
      <c r="L118" s="1195"/>
      <c r="M118" s="1196"/>
    </row>
    <row r="119" spans="1:14" ht="15.6">
      <c r="A119" s="441">
        <f>+A114</f>
        <v>189</v>
      </c>
      <c r="B119" s="121"/>
      <c r="C119" s="442" t="s">
        <v>239</v>
      </c>
      <c r="D119" s="121"/>
      <c r="E119" s="439"/>
      <c r="F119" s="995"/>
      <c r="G119" s="1105"/>
      <c r="H119" s="121"/>
      <c r="I119" s="121"/>
      <c r="J119" s="443"/>
      <c r="K119" s="443"/>
      <c r="L119" s="443"/>
      <c r="M119" s="1106"/>
      <c r="N119" s="121"/>
    </row>
    <row r="120" spans="1:14" ht="15.6">
      <c r="A120" s="441"/>
      <c r="B120" s="121"/>
      <c r="C120" s="442"/>
      <c r="D120" s="121"/>
      <c r="E120" s="439"/>
      <c r="F120" s="995"/>
      <c r="G120" s="1105"/>
      <c r="H120" s="121"/>
      <c r="I120" s="121"/>
      <c r="J120" s="443"/>
      <c r="K120" s="443"/>
      <c r="L120" s="443"/>
      <c r="M120" s="1106"/>
      <c r="N120" s="121"/>
    </row>
    <row r="121" spans="1:14" ht="15.6">
      <c r="A121" s="441"/>
      <c r="B121" s="439"/>
      <c r="C121" s="121"/>
      <c r="D121" s="121"/>
      <c r="E121" s="121"/>
      <c r="F121" s="121"/>
      <c r="G121" s="1107"/>
      <c r="H121" s="1107"/>
      <c r="I121" s="1107"/>
      <c r="J121" s="1107"/>
      <c r="K121" s="1107"/>
      <c r="L121" s="1107"/>
      <c r="M121" s="444"/>
      <c r="N121" s="121"/>
    </row>
    <row r="122" spans="1:14" ht="15.6">
      <c r="A122" s="441">
        <f>A119+1</f>
        <v>190</v>
      </c>
      <c r="B122" s="439"/>
      <c r="C122" s="1108" t="s">
        <v>410</v>
      </c>
      <c r="D122" s="438"/>
      <c r="E122" s="1109"/>
      <c r="F122" s="121"/>
      <c r="G122" s="90"/>
      <c r="H122" s="90"/>
      <c r="I122" s="90"/>
      <c r="J122" s="1110"/>
      <c r="K122" s="1110"/>
      <c r="L122" s="1111"/>
      <c r="M122" s="444"/>
      <c r="N122" s="121"/>
    </row>
    <row r="123" spans="1:14" ht="15.6">
      <c r="A123" s="441">
        <f t="shared" ref="A123:A130" si="4">+A122+1</f>
        <v>191</v>
      </c>
      <c r="B123" s="439"/>
      <c r="C123" s="225" t="s">
        <v>240</v>
      </c>
      <c r="D123" s="225"/>
      <c r="E123" s="121"/>
      <c r="F123" s="1112"/>
      <c r="G123" s="90"/>
      <c r="H123" s="90"/>
      <c r="I123" s="90"/>
      <c r="J123" s="1110"/>
      <c r="K123" s="1110"/>
      <c r="L123" s="1111"/>
      <c r="M123" s="444"/>
      <c r="N123" s="121"/>
    </row>
    <row r="124" spans="1:14" ht="15.6">
      <c r="A124" s="441">
        <f t="shared" si="4"/>
        <v>192</v>
      </c>
      <c r="B124" s="439"/>
      <c r="C124" s="225" t="s">
        <v>241</v>
      </c>
      <c r="D124" s="225"/>
      <c r="E124" s="121"/>
      <c r="F124" s="1112"/>
      <c r="G124" s="1113"/>
      <c r="H124" s="1113"/>
      <c r="I124" s="1113"/>
      <c r="J124" s="1113"/>
      <c r="K124" s="1113"/>
      <c r="L124" s="1111"/>
      <c r="M124" s="444"/>
      <c r="N124" s="121"/>
    </row>
    <row r="125" spans="1:14" ht="15.6">
      <c r="A125" s="441">
        <f t="shared" si="4"/>
        <v>193</v>
      </c>
      <c r="B125" s="439"/>
      <c r="C125" s="225" t="s">
        <v>242</v>
      </c>
      <c r="D125" s="225"/>
      <c r="E125" s="121"/>
      <c r="F125" s="1114"/>
      <c r="G125" s="121"/>
      <c r="H125" s="121"/>
      <c r="I125" s="121"/>
      <c r="J125" s="121"/>
      <c r="K125" s="121"/>
      <c r="L125" s="121"/>
      <c r="M125" s="444"/>
      <c r="N125" s="121"/>
    </row>
    <row r="126" spans="1:14" ht="15.6">
      <c r="A126" s="441">
        <f t="shared" si="4"/>
        <v>194</v>
      </c>
      <c r="B126" s="439"/>
      <c r="C126" s="225" t="s">
        <v>271</v>
      </c>
      <c r="D126" s="225"/>
      <c r="E126" s="121" t="s">
        <v>667</v>
      </c>
      <c r="F126" s="1115"/>
      <c r="G126" s="121"/>
      <c r="H126" s="121"/>
      <c r="I126" s="121"/>
      <c r="J126" s="121"/>
      <c r="K126" s="121"/>
      <c r="L126" s="121"/>
      <c r="M126" s="444"/>
      <c r="N126" s="121"/>
    </row>
    <row r="127" spans="1:14" ht="15.6">
      <c r="A127" s="441">
        <f t="shared" si="4"/>
        <v>195</v>
      </c>
      <c r="B127" s="439"/>
      <c r="C127" s="225" t="s">
        <v>272</v>
      </c>
      <c r="D127" s="225"/>
      <c r="E127" s="121"/>
      <c r="F127" s="1116"/>
      <c r="G127" s="121"/>
      <c r="H127" s="121"/>
      <c r="I127" s="121"/>
      <c r="J127" s="121"/>
      <c r="K127" s="121"/>
      <c r="L127" s="121"/>
      <c r="M127" s="444"/>
      <c r="N127" s="121"/>
    </row>
    <row r="128" spans="1:14" ht="15.6">
      <c r="A128" s="441">
        <f t="shared" si="4"/>
        <v>196</v>
      </c>
      <c r="B128" s="439"/>
      <c r="C128" s="225" t="s">
        <v>273</v>
      </c>
      <c r="D128" s="225"/>
      <c r="E128" s="121" t="s">
        <v>667</v>
      </c>
      <c r="F128" s="1117"/>
      <c r="G128" s="121"/>
      <c r="H128" s="121"/>
      <c r="I128" s="121"/>
      <c r="J128" s="121"/>
      <c r="K128" s="121"/>
      <c r="L128" s="121"/>
      <c r="M128" s="444"/>
      <c r="N128" s="121"/>
    </row>
    <row r="129" spans="1:14" ht="15.6">
      <c r="A129" s="441">
        <f t="shared" si="4"/>
        <v>197</v>
      </c>
      <c r="B129" s="439"/>
      <c r="C129" s="225" t="s">
        <v>641</v>
      </c>
      <c r="D129" s="954" t="s">
        <v>28</v>
      </c>
      <c r="E129" s="121"/>
      <c r="F129" s="1116"/>
      <c r="G129" s="121"/>
      <c r="H129" s="121"/>
      <c r="I129" s="121"/>
      <c r="J129" s="121"/>
      <c r="K129" s="121"/>
      <c r="L129" s="121"/>
      <c r="M129" s="444"/>
      <c r="N129" s="121"/>
    </row>
    <row r="130" spans="1:14" ht="15.6">
      <c r="A130" s="441">
        <f t="shared" si="4"/>
        <v>198</v>
      </c>
      <c r="B130" s="439"/>
      <c r="C130" s="225" t="str">
        <f>"Lines "&amp;A123&amp;"-"&amp;A125&amp;" cannot change absent approval or acceptance by FERC in a separate proceeding. "</f>
        <v xml:space="preserve">Lines 191-193 cannot change absent approval or acceptance by FERC in a separate proceeding. </v>
      </c>
      <c r="D130" s="225"/>
      <c r="E130" s="121"/>
      <c r="F130" s="225"/>
      <c r="G130" s="121"/>
      <c r="H130" s="121"/>
      <c r="I130" s="121"/>
      <c r="J130" s="121"/>
      <c r="K130" s="121"/>
      <c r="L130" s="121"/>
      <c r="M130" s="444"/>
      <c r="N130" s="121"/>
    </row>
    <row r="131" spans="1:14" ht="15.6">
      <c r="A131" s="441"/>
      <c r="B131" s="439"/>
      <c r="C131" s="225"/>
      <c r="D131" s="225"/>
      <c r="E131" s="121"/>
      <c r="F131" s="225"/>
      <c r="G131" s="121"/>
      <c r="H131" s="121"/>
      <c r="I131" s="121"/>
      <c r="J131" s="121"/>
      <c r="K131" s="121"/>
      <c r="L131" s="121"/>
      <c r="M131" s="444"/>
      <c r="N131" s="121"/>
    </row>
    <row r="132" spans="1:14" ht="15.6">
      <c r="A132" s="441">
        <f>+A129+1</f>
        <v>198</v>
      </c>
      <c r="B132" s="121"/>
      <c r="C132" s="1108" t="s">
        <v>411</v>
      </c>
      <c r="D132" s="438"/>
      <c r="E132" s="121"/>
      <c r="F132" s="121"/>
      <c r="G132" s="121"/>
      <c r="H132" s="121"/>
      <c r="I132" s="121"/>
      <c r="J132" s="121"/>
      <c r="K132" s="121"/>
      <c r="L132" s="121"/>
      <c r="M132" s="444"/>
      <c r="N132" s="121"/>
    </row>
    <row r="133" spans="1:14" ht="15.6">
      <c r="A133" s="441">
        <f t="shared" ref="A133:A140" si="5">+A132+1</f>
        <v>199</v>
      </c>
      <c r="B133" s="121"/>
      <c r="C133" s="225" t="s">
        <v>240</v>
      </c>
      <c r="D133" s="225"/>
      <c r="E133" s="121"/>
      <c r="F133" s="1112"/>
      <c r="G133" s="1118"/>
      <c r="H133" s="121"/>
      <c r="I133" s="121"/>
      <c r="J133" s="121"/>
      <c r="K133" s="121"/>
      <c r="L133" s="121"/>
      <c r="M133" s="444"/>
      <c r="N133" s="121"/>
    </row>
    <row r="134" spans="1:14" ht="15.6">
      <c r="A134" s="441">
        <f t="shared" si="5"/>
        <v>200</v>
      </c>
      <c r="B134" s="439"/>
      <c r="C134" s="225" t="s">
        <v>241</v>
      </c>
      <c r="D134" s="225"/>
      <c r="E134" s="121"/>
      <c r="F134" s="1112"/>
      <c r="G134" s="1118"/>
      <c r="H134" s="121"/>
      <c r="I134" s="121"/>
      <c r="J134" s="121"/>
      <c r="K134" s="121"/>
      <c r="L134" s="121"/>
      <c r="M134" s="444"/>
      <c r="N134" s="121"/>
    </row>
    <row r="135" spans="1:14" ht="15.6">
      <c r="A135" s="441">
        <f t="shared" si="5"/>
        <v>201</v>
      </c>
      <c r="B135" s="439"/>
      <c r="C135" s="225" t="s">
        <v>242</v>
      </c>
      <c r="D135" s="225"/>
      <c r="E135" s="121"/>
      <c r="F135" s="1114"/>
      <c r="G135" s="1118"/>
      <c r="H135" s="121"/>
      <c r="I135" s="121"/>
      <c r="J135" s="121"/>
      <c r="K135" s="121"/>
      <c r="L135" s="121"/>
      <c r="M135" s="444"/>
      <c r="N135" s="121"/>
    </row>
    <row r="136" spans="1:14" ht="15.6">
      <c r="A136" s="441">
        <f t="shared" si="5"/>
        <v>202</v>
      </c>
      <c r="B136" s="439"/>
      <c r="C136" s="225" t="s">
        <v>271</v>
      </c>
      <c r="D136" s="225"/>
      <c r="E136" s="121" t="s">
        <v>667</v>
      </c>
      <c r="F136" s="1115"/>
      <c r="G136" s="121"/>
      <c r="H136" s="121"/>
      <c r="I136" s="121"/>
      <c r="J136" s="121"/>
      <c r="K136" s="121"/>
      <c r="L136" s="121"/>
      <c r="M136" s="444"/>
      <c r="N136" s="121"/>
    </row>
    <row r="137" spans="1:14" ht="15.6">
      <c r="A137" s="441">
        <f t="shared" si="5"/>
        <v>203</v>
      </c>
      <c r="B137" s="439"/>
      <c r="C137" s="225" t="s">
        <v>272</v>
      </c>
      <c r="D137" s="225"/>
      <c r="E137" s="121"/>
      <c r="F137" s="1116"/>
      <c r="G137" s="121"/>
      <c r="H137" s="121"/>
      <c r="I137" s="121"/>
      <c r="J137" s="121"/>
      <c r="K137" s="121"/>
      <c r="L137" s="121"/>
      <c r="M137" s="444"/>
      <c r="N137" s="121"/>
    </row>
    <row r="138" spans="1:14" ht="15.6">
      <c r="A138" s="441">
        <f t="shared" si="5"/>
        <v>204</v>
      </c>
      <c r="B138" s="439"/>
      <c r="C138" s="225" t="s">
        <v>273</v>
      </c>
      <c r="D138" s="225"/>
      <c r="E138" s="121" t="s">
        <v>667</v>
      </c>
      <c r="F138" s="1117"/>
      <c r="G138" s="121"/>
      <c r="H138" s="121"/>
      <c r="I138" s="121"/>
      <c r="J138" s="121"/>
      <c r="K138" s="121"/>
      <c r="L138" s="121"/>
      <c r="M138" s="444"/>
      <c r="N138" s="121"/>
    </row>
    <row r="139" spans="1:14" ht="15.6">
      <c r="A139" s="441">
        <f t="shared" si="5"/>
        <v>205</v>
      </c>
      <c r="B139" s="439"/>
      <c r="C139" s="225" t="s">
        <v>641</v>
      </c>
      <c r="D139" s="954" t="s">
        <v>28</v>
      </c>
      <c r="E139" s="121"/>
      <c r="F139" s="1116"/>
      <c r="G139" s="121"/>
      <c r="H139" s="121"/>
      <c r="I139" s="121"/>
      <c r="J139" s="121"/>
      <c r="K139" s="121"/>
      <c r="L139" s="121"/>
      <c r="M139" s="444"/>
      <c r="N139" s="121"/>
    </row>
    <row r="140" spans="1:14" ht="15.6">
      <c r="A140" s="441">
        <f t="shared" si="5"/>
        <v>206</v>
      </c>
      <c r="B140" s="439"/>
      <c r="C140" s="225" t="str">
        <f>"Lines "&amp;A133&amp;"-"&amp;A135&amp;" cannot change absent approval or acceptance by FERC in a separate proceeding. "</f>
        <v xml:space="preserve">Lines 199-201 cannot change absent approval or acceptance by FERC in a separate proceeding. </v>
      </c>
      <c r="D140" s="225"/>
      <c r="E140" s="121"/>
      <c r="F140" s="225"/>
      <c r="G140" s="121"/>
      <c r="H140" s="121"/>
      <c r="I140" s="121"/>
      <c r="J140" s="121"/>
      <c r="K140" s="121"/>
      <c r="L140" s="121"/>
      <c r="M140" s="444"/>
      <c r="N140" s="121"/>
    </row>
    <row r="141" spans="1:14" ht="15.6">
      <c r="A141" s="441"/>
      <c r="B141" s="121"/>
      <c r="C141" s="121"/>
      <c r="D141" s="121"/>
      <c r="E141" s="121"/>
      <c r="F141" s="121"/>
      <c r="G141" s="121"/>
      <c r="H141" s="121"/>
      <c r="I141" s="121"/>
      <c r="J141" s="121"/>
      <c r="K141" s="121"/>
      <c r="L141" s="121"/>
      <c r="M141" s="444"/>
      <c r="N141" s="121"/>
    </row>
    <row r="142" spans="1:14" ht="15.6">
      <c r="A142" s="441">
        <f>+A140+1</f>
        <v>207</v>
      </c>
      <c r="B142" s="121"/>
      <c r="C142" s="1108" t="s">
        <v>412</v>
      </c>
      <c r="D142" s="438"/>
      <c r="E142" s="121"/>
      <c r="F142" s="121"/>
      <c r="G142" s="121"/>
      <c r="H142" s="121"/>
      <c r="I142" s="121"/>
      <c r="J142" s="121"/>
      <c r="K142" s="121"/>
      <c r="L142" s="121"/>
      <c r="M142" s="444"/>
      <c r="N142" s="121"/>
    </row>
    <row r="143" spans="1:14" ht="15.6">
      <c r="A143" s="441">
        <f t="shared" ref="A143:A170" si="6">+A142+1</f>
        <v>208</v>
      </c>
      <c r="B143" s="121"/>
      <c r="C143" s="225" t="s">
        <v>240</v>
      </c>
      <c r="D143" s="225"/>
      <c r="E143" s="121"/>
      <c r="F143" s="1112"/>
      <c r="G143" s="121"/>
      <c r="H143" s="121"/>
      <c r="I143" s="121"/>
      <c r="J143" s="121"/>
      <c r="K143" s="121"/>
      <c r="L143" s="121"/>
      <c r="M143" s="444"/>
      <c r="N143" s="121"/>
    </row>
    <row r="144" spans="1:14" ht="15.6">
      <c r="A144" s="441">
        <f t="shared" si="6"/>
        <v>209</v>
      </c>
      <c r="B144" s="121"/>
      <c r="C144" s="225" t="s">
        <v>241</v>
      </c>
      <c r="D144" s="225"/>
      <c r="E144" s="121"/>
      <c r="F144" s="1112"/>
      <c r="G144" s="121"/>
      <c r="H144" s="121"/>
      <c r="I144" s="121"/>
      <c r="J144" s="121"/>
      <c r="K144" s="121"/>
      <c r="L144" s="121"/>
      <c r="M144" s="444"/>
      <c r="N144" s="121"/>
    </row>
    <row r="145" spans="1:14" ht="15.6">
      <c r="A145" s="441">
        <f t="shared" si="6"/>
        <v>210</v>
      </c>
      <c r="B145" s="121"/>
      <c r="C145" s="225" t="s">
        <v>242</v>
      </c>
      <c r="D145" s="225"/>
      <c r="E145" s="121"/>
      <c r="F145" s="1114"/>
      <c r="G145" s="121"/>
      <c r="H145" s="121"/>
      <c r="I145" s="121"/>
      <c r="J145" s="121"/>
      <c r="K145" s="121"/>
      <c r="L145" s="121"/>
      <c r="M145" s="444"/>
      <c r="N145" s="121"/>
    </row>
    <row r="146" spans="1:14" ht="15.6">
      <c r="A146" s="441">
        <f t="shared" si="6"/>
        <v>211</v>
      </c>
      <c r="B146" s="121"/>
      <c r="C146" s="225" t="s">
        <v>271</v>
      </c>
      <c r="D146" s="225"/>
      <c r="E146" s="121" t="s">
        <v>667</v>
      </c>
      <c r="F146" s="1115"/>
      <c r="G146" s="121"/>
      <c r="H146" s="121"/>
      <c r="I146" s="121"/>
      <c r="J146" s="121"/>
      <c r="K146" s="121"/>
      <c r="L146" s="121"/>
      <c r="M146" s="444"/>
      <c r="N146" s="121"/>
    </row>
    <row r="147" spans="1:14" ht="15.6">
      <c r="A147" s="441">
        <f t="shared" si="6"/>
        <v>212</v>
      </c>
      <c r="B147" s="121"/>
      <c r="C147" s="225" t="s">
        <v>272</v>
      </c>
      <c r="D147" s="225"/>
      <c r="E147" s="121"/>
      <c r="F147" s="1116"/>
      <c r="G147" s="121"/>
      <c r="H147" s="121"/>
      <c r="I147" s="121"/>
      <c r="J147" s="121"/>
      <c r="K147" s="121"/>
      <c r="L147" s="121"/>
      <c r="M147" s="444"/>
      <c r="N147" s="121"/>
    </row>
    <row r="148" spans="1:14" ht="15.6">
      <c r="A148" s="441">
        <f t="shared" si="6"/>
        <v>213</v>
      </c>
      <c r="B148" s="121"/>
      <c r="C148" s="225" t="s">
        <v>273</v>
      </c>
      <c r="D148" s="225"/>
      <c r="E148" s="121" t="s">
        <v>667</v>
      </c>
      <c r="F148" s="1117"/>
      <c r="G148" s="121"/>
      <c r="H148" s="121"/>
      <c r="I148" s="121"/>
      <c r="J148" s="121"/>
      <c r="K148" s="121"/>
      <c r="L148" s="121"/>
      <c r="M148" s="444"/>
      <c r="N148" s="121"/>
    </row>
    <row r="149" spans="1:14" ht="15.6">
      <c r="A149" s="441">
        <f t="shared" si="6"/>
        <v>214</v>
      </c>
      <c r="B149" s="121"/>
      <c r="C149" s="225" t="s">
        <v>641</v>
      </c>
      <c r="D149" s="954" t="s">
        <v>28</v>
      </c>
      <c r="E149" s="121"/>
      <c r="F149" s="1116"/>
      <c r="G149" s="121"/>
      <c r="H149" s="121"/>
      <c r="I149" s="121"/>
      <c r="J149" s="121"/>
      <c r="K149" s="121"/>
      <c r="L149" s="121"/>
      <c r="M149" s="444"/>
      <c r="N149" s="121"/>
    </row>
    <row r="150" spans="1:14" ht="15.6">
      <c r="A150" s="441">
        <f t="shared" si="6"/>
        <v>215</v>
      </c>
      <c r="B150" s="121"/>
      <c r="C150" s="225" t="str">
        <f>"Lines "&amp;A143&amp;"-"&amp;A145&amp;" cannot change absent approval or acceptance by FERC in a separate proceeding. "</f>
        <v xml:space="preserve">Lines 208-210 cannot change absent approval or acceptance by FERC in a separate proceeding. </v>
      </c>
      <c r="D150" s="225"/>
      <c r="E150" s="121"/>
      <c r="F150" s="225"/>
      <c r="G150" s="121"/>
      <c r="H150" s="121"/>
      <c r="I150" s="121"/>
      <c r="J150" s="121"/>
      <c r="K150" s="121"/>
      <c r="L150" s="121"/>
      <c r="M150" s="444"/>
      <c r="N150" s="121"/>
    </row>
    <row r="151" spans="1:14" ht="15.6">
      <c r="A151" s="441"/>
      <c r="B151" s="121"/>
      <c r="C151" s="121"/>
      <c r="D151" s="121"/>
      <c r="E151" s="121"/>
      <c r="F151" s="121"/>
      <c r="G151" s="121"/>
      <c r="H151" s="121"/>
      <c r="I151" s="121"/>
      <c r="J151" s="121"/>
      <c r="K151" s="121"/>
      <c r="L151" s="121"/>
      <c r="M151" s="444"/>
      <c r="N151" s="121"/>
    </row>
    <row r="152" spans="1:14" ht="15.6">
      <c r="A152" s="441">
        <f>+A150+1</f>
        <v>216</v>
      </c>
      <c r="B152" s="121"/>
      <c r="C152" s="1108" t="s">
        <v>413</v>
      </c>
      <c r="D152" s="438"/>
      <c r="E152" s="121"/>
      <c r="F152" s="121"/>
      <c r="G152" s="121"/>
      <c r="H152" s="121"/>
      <c r="I152" s="121"/>
      <c r="J152" s="121"/>
      <c r="K152" s="121"/>
      <c r="L152" s="121"/>
      <c r="M152" s="444"/>
      <c r="N152" s="121"/>
    </row>
    <row r="153" spans="1:14" ht="15.6">
      <c r="A153" s="441">
        <f t="shared" si="6"/>
        <v>217</v>
      </c>
      <c r="B153" s="121"/>
      <c r="C153" s="225" t="s">
        <v>240</v>
      </c>
      <c r="D153" s="225"/>
      <c r="E153" s="121"/>
      <c r="F153" s="1112"/>
      <c r="G153" s="121"/>
      <c r="H153" s="121"/>
      <c r="I153" s="121"/>
      <c r="J153" s="121"/>
      <c r="K153" s="121"/>
      <c r="L153" s="121"/>
      <c r="M153" s="444"/>
      <c r="N153" s="121"/>
    </row>
    <row r="154" spans="1:14" ht="15.6">
      <c r="A154" s="441">
        <f t="shared" si="6"/>
        <v>218</v>
      </c>
      <c r="B154" s="121"/>
      <c r="C154" s="225" t="s">
        <v>241</v>
      </c>
      <c r="D154" s="225"/>
      <c r="E154" s="121"/>
      <c r="F154" s="1112"/>
      <c r="G154" s="121"/>
      <c r="H154" s="121"/>
      <c r="I154" s="121"/>
      <c r="J154" s="121"/>
      <c r="K154" s="121"/>
      <c r="L154" s="121"/>
      <c r="M154" s="444"/>
      <c r="N154" s="121"/>
    </row>
    <row r="155" spans="1:14" ht="15.6">
      <c r="A155" s="441">
        <f t="shared" si="6"/>
        <v>219</v>
      </c>
      <c r="B155" s="121"/>
      <c r="C155" s="225" t="s">
        <v>242</v>
      </c>
      <c r="D155" s="225"/>
      <c r="E155" s="121"/>
      <c r="F155" s="1114"/>
      <c r="G155" s="121"/>
      <c r="H155" s="121"/>
      <c r="I155" s="121"/>
      <c r="J155" s="121"/>
      <c r="K155" s="121"/>
      <c r="L155" s="121"/>
      <c r="M155" s="444"/>
      <c r="N155" s="121"/>
    </row>
    <row r="156" spans="1:14" ht="15.6">
      <c r="A156" s="441">
        <f t="shared" si="6"/>
        <v>220</v>
      </c>
      <c r="B156" s="121"/>
      <c r="C156" s="225" t="s">
        <v>271</v>
      </c>
      <c r="D156" s="225"/>
      <c r="E156" s="121" t="s">
        <v>667</v>
      </c>
      <c r="F156" s="1115"/>
      <c r="G156" s="121"/>
      <c r="H156" s="121"/>
      <c r="I156" s="121"/>
      <c r="J156" s="121"/>
      <c r="K156" s="121"/>
      <c r="L156" s="121"/>
      <c r="M156" s="444"/>
      <c r="N156" s="121"/>
    </row>
    <row r="157" spans="1:14" ht="15.6">
      <c r="A157" s="441">
        <f t="shared" si="6"/>
        <v>221</v>
      </c>
      <c r="B157" s="121"/>
      <c r="C157" s="225" t="s">
        <v>272</v>
      </c>
      <c r="D157" s="225"/>
      <c r="E157" s="121"/>
      <c r="F157" s="1116"/>
      <c r="G157" s="121"/>
      <c r="H157" s="121"/>
      <c r="I157" s="121"/>
      <c r="J157" s="121"/>
      <c r="K157" s="121"/>
      <c r="L157" s="121"/>
      <c r="M157" s="444"/>
      <c r="N157" s="121"/>
    </row>
    <row r="158" spans="1:14" ht="15.6">
      <c r="A158" s="441">
        <f t="shared" si="6"/>
        <v>222</v>
      </c>
      <c r="B158" s="121"/>
      <c r="C158" s="225" t="s">
        <v>273</v>
      </c>
      <c r="D158" s="225"/>
      <c r="E158" s="121" t="s">
        <v>667</v>
      </c>
      <c r="F158" s="1117"/>
      <c r="G158" s="121"/>
      <c r="H158" s="121"/>
      <c r="I158" s="121"/>
      <c r="J158" s="121"/>
      <c r="K158" s="121"/>
      <c r="L158" s="121"/>
      <c r="M158" s="444"/>
      <c r="N158" s="121"/>
    </row>
    <row r="159" spans="1:14" ht="15.6">
      <c r="A159" s="441">
        <f t="shared" si="6"/>
        <v>223</v>
      </c>
      <c r="B159" s="121"/>
      <c r="C159" s="225" t="s">
        <v>641</v>
      </c>
      <c r="D159" s="954" t="s">
        <v>28</v>
      </c>
      <c r="E159" s="121"/>
      <c r="F159" s="1116"/>
      <c r="G159" s="121"/>
      <c r="H159" s="121"/>
      <c r="I159" s="121"/>
      <c r="J159" s="121"/>
      <c r="K159" s="121"/>
      <c r="L159" s="121"/>
      <c r="M159" s="444"/>
      <c r="N159" s="121"/>
    </row>
    <row r="160" spans="1:14" ht="15.6">
      <c r="A160" s="441">
        <f t="shared" si="6"/>
        <v>224</v>
      </c>
      <c r="B160" s="121"/>
      <c r="C160" s="225" t="str">
        <f>"Lines "&amp;A153&amp;"-"&amp;A155&amp;" cannot change absent approval or acceptance by FERC in a separate proceeding. "</f>
        <v xml:space="preserve">Lines 217-219 cannot change absent approval or acceptance by FERC in a separate proceeding. </v>
      </c>
      <c r="D160" s="225"/>
      <c r="E160" s="121"/>
      <c r="F160" s="225"/>
      <c r="G160" s="121"/>
      <c r="H160" s="121"/>
      <c r="I160" s="121"/>
      <c r="J160" s="121"/>
      <c r="K160" s="121"/>
      <c r="L160" s="121"/>
      <c r="M160" s="444"/>
      <c r="N160" s="121"/>
    </row>
    <row r="161" spans="1:14" ht="15.6">
      <c r="A161" s="441"/>
      <c r="B161" s="121"/>
      <c r="C161" s="121"/>
      <c r="D161" s="121"/>
      <c r="E161" s="121"/>
      <c r="F161" s="121"/>
      <c r="G161" s="121"/>
      <c r="H161" s="121"/>
      <c r="I161" s="121"/>
      <c r="J161" s="121"/>
      <c r="K161" s="121"/>
      <c r="L161" s="121"/>
      <c r="M161" s="444"/>
      <c r="N161" s="121"/>
    </row>
    <row r="162" spans="1:14" ht="15.6">
      <c r="A162" s="441">
        <f>+A160+1</f>
        <v>225</v>
      </c>
      <c r="B162" s="121"/>
      <c r="C162" s="1108" t="s">
        <v>414</v>
      </c>
      <c r="D162" s="438"/>
      <c r="E162" s="121"/>
      <c r="F162" s="121"/>
      <c r="G162" s="121"/>
      <c r="H162" s="121"/>
      <c r="I162" s="121"/>
      <c r="J162" s="121"/>
      <c r="K162" s="121"/>
      <c r="L162" s="121"/>
      <c r="M162" s="444"/>
      <c r="N162" s="121"/>
    </row>
    <row r="163" spans="1:14" ht="15.6">
      <c r="A163" s="441">
        <f t="shared" si="6"/>
        <v>226</v>
      </c>
      <c r="B163" s="121"/>
      <c r="C163" s="225" t="s">
        <v>240</v>
      </c>
      <c r="D163" s="225"/>
      <c r="E163" s="121"/>
      <c r="F163" s="1112"/>
      <c r="G163" s="121"/>
      <c r="H163" s="121"/>
      <c r="I163" s="121"/>
      <c r="J163" s="121"/>
      <c r="K163" s="121"/>
      <c r="L163" s="121"/>
      <c r="M163" s="444"/>
      <c r="N163" s="121"/>
    </row>
    <row r="164" spans="1:14" ht="15.6">
      <c r="A164" s="441">
        <f t="shared" si="6"/>
        <v>227</v>
      </c>
      <c r="B164" s="121"/>
      <c r="C164" s="225" t="s">
        <v>241</v>
      </c>
      <c r="D164" s="225"/>
      <c r="E164" s="121"/>
      <c r="F164" s="1115"/>
      <c r="G164" s="121"/>
      <c r="H164" s="121"/>
      <c r="I164" s="121"/>
      <c r="J164" s="121"/>
      <c r="K164" s="121"/>
      <c r="L164" s="121"/>
      <c r="M164" s="444"/>
      <c r="N164" s="121"/>
    </row>
    <row r="165" spans="1:14" ht="15.6">
      <c r="A165" s="441">
        <f t="shared" si="6"/>
        <v>228</v>
      </c>
      <c r="B165" s="121"/>
      <c r="C165" s="225" t="s">
        <v>242</v>
      </c>
      <c r="D165" s="225"/>
      <c r="E165" s="121"/>
      <c r="F165" s="1114"/>
      <c r="G165" s="121"/>
      <c r="H165" s="121"/>
      <c r="I165" s="121"/>
      <c r="J165" s="121"/>
      <c r="K165" s="121"/>
      <c r="L165" s="121"/>
      <c r="M165" s="444"/>
      <c r="N165" s="121"/>
    </row>
    <row r="166" spans="1:14" ht="15.6">
      <c r="A166" s="441">
        <f t="shared" si="6"/>
        <v>229</v>
      </c>
      <c r="B166" s="121"/>
      <c r="C166" s="225" t="s">
        <v>271</v>
      </c>
      <c r="D166" s="225"/>
      <c r="E166" s="121" t="s">
        <v>667</v>
      </c>
      <c r="F166" s="1115"/>
      <c r="G166" s="121"/>
      <c r="H166" s="121"/>
      <c r="I166" s="121"/>
      <c r="J166" s="121"/>
      <c r="K166" s="121"/>
      <c r="L166" s="121"/>
      <c r="M166" s="444"/>
      <c r="N166" s="121"/>
    </row>
    <row r="167" spans="1:14" ht="15.6">
      <c r="A167" s="441">
        <f t="shared" si="6"/>
        <v>230</v>
      </c>
      <c r="B167" s="121"/>
      <c r="C167" s="225" t="s">
        <v>272</v>
      </c>
      <c r="D167" s="225"/>
      <c r="E167" s="121"/>
      <c r="F167" s="1116"/>
      <c r="G167" s="121"/>
      <c r="H167" s="121"/>
      <c r="I167" s="121"/>
      <c r="J167" s="121"/>
      <c r="K167" s="121"/>
      <c r="L167" s="121"/>
      <c r="M167" s="444"/>
      <c r="N167" s="121"/>
    </row>
    <row r="168" spans="1:14" ht="15.6">
      <c r="A168" s="441">
        <f t="shared" si="6"/>
        <v>231</v>
      </c>
      <c r="B168" s="121"/>
      <c r="C168" s="225" t="s">
        <v>273</v>
      </c>
      <c r="D168" s="225"/>
      <c r="E168" s="121" t="s">
        <v>667</v>
      </c>
      <c r="F168" s="1117"/>
      <c r="G168" s="121"/>
      <c r="H168" s="121"/>
      <c r="I168" s="121"/>
      <c r="J168" s="121"/>
      <c r="K168" s="121"/>
      <c r="L168" s="121"/>
      <c r="M168" s="444"/>
      <c r="N168" s="121"/>
    </row>
    <row r="169" spans="1:14" ht="15.6">
      <c r="A169" s="441">
        <f t="shared" si="6"/>
        <v>232</v>
      </c>
      <c r="B169" s="121"/>
      <c r="C169" s="225" t="s">
        <v>641</v>
      </c>
      <c r="D169" s="954" t="s">
        <v>28</v>
      </c>
      <c r="E169" s="121"/>
      <c r="F169" s="1116"/>
      <c r="G169" s="121"/>
      <c r="H169" s="121"/>
      <c r="I169" s="121"/>
      <c r="J169" s="121"/>
      <c r="K169" s="121"/>
      <c r="L169" s="121"/>
      <c r="M169" s="444"/>
      <c r="N169" s="121"/>
    </row>
    <row r="170" spans="1:14" ht="15.6">
      <c r="A170" s="441">
        <f t="shared" si="6"/>
        <v>233</v>
      </c>
      <c r="B170" s="121"/>
      <c r="C170" s="225" t="str">
        <f>"Lines "&amp;A163&amp;"-"&amp;A165&amp;" cannot change absent approval or acceptance by FERC in a separate proceeding. "</f>
        <v xml:space="preserve">Lines 226-228 cannot change absent approval or acceptance by FERC in a separate proceeding. </v>
      </c>
      <c r="D170" s="225"/>
      <c r="E170" s="121"/>
      <c r="F170" s="225"/>
      <c r="G170" s="121"/>
      <c r="H170" s="121"/>
      <c r="I170" s="121"/>
      <c r="J170" s="121"/>
      <c r="K170" s="121"/>
      <c r="L170" s="121"/>
      <c r="M170" s="444"/>
      <c r="N170" s="121"/>
    </row>
    <row r="171" spans="1:14" ht="15.6">
      <c r="A171" s="441"/>
      <c r="B171" s="121"/>
      <c r="C171" s="121"/>
      <c r="D171" s="121"/>
      <c r="E171" s="121"/>
      <c r="F171" s="121"/>
      <c r="G171" s="121"/>
      <c r="H171" s="121"/>
      <c r="I171" s="121"/>
      <c r="J171" s="121"/>
      <c r="K171" s="121"/>
      <c r="L171" s="121"/>
      <c r="M171" s="444"/>
      <c r="N171" s="121"/>
    </row>
    <row r="172" spans="1:14" ht="15.6">
      <c r="A172" s="441">
        <f>+A170+1</f>
        <v>234</v>
      </c>
      <c r="B172" s="121"/>
      <c r="C172" s="1108" t="str">
        <f>+'Appendix A'!E9</f>
        <v>HURLEY AVENUE PROJECT - SYSTEM DELIVERABILITY UPGRADE</v>
      </c>
      <c r="D172" s="438"/>
      <c r="E172" s="121"/>
      <c r="F172" s="121"/>
      <c r="G172" s="121"/>
      <c r="H172" s="121"/>
      <c r="I172" s="121"/>
      <c r="J172" s="121"/>
      <c r="K172" s="121"/>
      <c r="L172" s="121"/>
      <c r="M172" s="444"/>
      <c r="N172" s="121"/>
    </row>
    <row r="173" spans="1:14" ht="15.6">
      <c r="A173" s="441">
        <f t="shared" ref="A173:A180" si="7">+A172+1</f>
        <v>235</v>
      </c>
      <c r="B173" s="121"/>
      <c r="C173" s="225" t="s">
        <v>240</v>
      </c>
      <c r="D173" s="225"/>
      <c r="E173" s="121"/>
      <c r="F173" s="1112"/>
      <c r="G173" s="121"/>
      <c r="H173" s="121"/>
      <c r="I173" s="121"/>
      <c r="J173" s="121"/>
      <c r="K173" s="121"/>
      <c r="L173" s="121"/>
      <c r="M173" s="444"/>
      <c r="N173" s="121"/>
    </row>
    <row r="174" spans="1:14" ht="15.6">
      <c r="A174" s="441">
        <f t="shared" si="7"/>
        <v>236</v>
      </c>
      <c r="B174" s="121"/>
      <c r="C174" s="225" t="s">
        <v>241</v>
      </c>
      <c r="D174" s="225"/>
      <c r="E174" s="121"/>
      <c r="F174" s="1112"/>
      <c r="G174" s="121"/>
      <c r="H174" s="121"/>
      <c r="I174" s="121"/>
      <c r="J174" s="121"/>
      <c r="K174" s="121"/>
      <c r="L174" s="121"/>
      <c r="M174" s="444"/>
      <c r="N174" s="121"/>
    </row>
    <row r="175" spans="1:14" ht="15.6">
      <c r="A175" s="441">
        <f t="shared" si="7"/>
        <v>237</v>
      </c>
      <c r="B175" s="121"/>
      <c r="C175" s="225" t="s">
        <v>242</v>
      </c>
      <c r="D175" s="225"/>
      <c r="E175" s="121"/>
      <c r="F175" s="1119"/>
      <c r="G175" s="121"/>
      <c r="H175" s="121"/>
      <c r="I175" s="121"/>
      <c r="J175" s="121"/>
      <c r="K175" s="121"/>
      <c r="L175" s="121"/>
      <c r="M175" s="444"/>
      <c r="N175" s="121"/>
    </row>
    <row r="176" spans="1:14" ht="15.6">
      <c r="A176" s="441">
        <f t="shared" si="7"/>
        <v>238</v>
      </c>
      <c r="B176" s="121"/>
      <c r="C176" s="225" t="s">
        <v>271</v>
      </c>
      <c r="D176" s="225"/>
      <c r="E176" s="121" t="s">
        <v>667</v>
      </c>
      <c r="F176" s="1115"/>
      <c r="G176" s="121"/>
      <c r="H176" s="121"/>
      <c r="I176" s="121"/>
      <c r="J176" s="121"/>
      <c r="K176" s="121"/>
      <c r="L176" s="121"/>
      <c r="M176" s="444"/>
      <c r="N176" s="121"/>
    </row>
    <row r="177" spans="1:14" ht="15.6">
      <c r="A177" s="441">
        <f t="shared" si="7"/>
        <v>239</v>
      </c>
      <c r="B177" s="121"/>
      <c r="C177" s="225" t="s">
        <v>272</v>
      </c>
      <c r="D177" s="225"/>
      <c r="E177" s="121"/>
      <c r="F177" s="1116"/>
      <c r="G177" s="121"/>
      <c r="H177" s="121"/>
      <c r="I177" s="121"/>
      <c r="J177" s="121"/>
      <c r="K177" s="121"/>
      <c r="L177" s="121"/>
      <c r="M177" s="444"/>
      <c r="N177" s="121"/>
    </row>
    <row r="178" spans="1:14" ht="15.6">
      <c r="A178" s="441">
        <f t="shared" si="7"/>
        <v>240</v>
      </c>
      <c r="B178" s="121"/>
      <c r="C178" s="225" t="s">
        <v>273</v>
      </c>
      <c r="D178" s="225"/>
      <c r="E178" s="121" t="s">
        <v>667</v>
      </c>
      <c r="F178" s="1117"/>
      <c r="G178" s="121"/>
      <c r="H178" s="121"/>
      <c r="I178" s="121"/>
      <c r="J178" s="121"/>
      <c r="K178" s="121"/>
      <c r="L178" s="121"/>
      <c r="M178" s="444"/>
      <c r="N178" s="121"/>
    </row>
    <row r="179" spans="1:14" ht="15.6">
      <c r="A179" s="441">
        <f t="shared" si="7"/>
        <v>241</v>
      </c>
      <c r="B179" s="121"/>
      <c r="C179" s="225" t="s">
        <v>641</v>
      </c>
      <c r="D179" s="954" t="s">
        <v>28</v>
      </c>
      <c r="E179" s="121"/>
      <c r="F179" s="1116"/>
      <c r="G179" s="121"/>
      <c r="H179" s="121"/>
      <c r="I179" s="121"/>
      <c r="J179" s="121"/>
      <c r="K179" s="121"/>
      <c r="L179" s="121"/>
      <c r="M179" s="444"/>
      <c r="N179" s="121"/>
    </row>
    <row r="180" spans="1:14" ht="15.6">
      <c r="A180" s="441">
        <f t="shared" si="7"/>
        <v>242</v>
      </c>
      <c r="B180" s="121"/>
      <c r="C180" s="225" t="str">
        <f>"Lines "&amp;A173&amp;"-"&amp;A175&amp;" cannot change absent approval or acceptance by FERC in a separate proceeding. "</f>
        <v xml:space="preserve">Lines 235-237 cannot change absent approval or acceptance by FERC in a separate proceeding. </v>
      </c>
      <c r="D180" s="225"/>
      <c r="E180" s="121"/>
      <c r="F180" s="225"/>
      <c r="G180" s="121"/>
      <c r="H180" s="121"/>
      <c r="I180" s="121"/>
      <c r="J180" s="121"/>
      <c r="K180" s="121"/>
      <c r="L180" s="121"/>
      <c r="M180" s="444"/>
      <c r="N180" s="121"/>
    </row>
    <row r="181" spans="1:14" ht="15.6">
      <c r="A181" s="441"/>
      <c r="B181" s="121"/>
      <c r="C181" s="121"/>
      <c r="D181" s="121"/>
      <c r="E181" s="121"/>
      <c r="F181" s="121"/>
      <c r="G181" s="121"/>
      <c r="H181" s="121"/>
      <c r="I181" s="121"/>
      <c r="J181" s="121"/>
      <c r="K181" s="121"/>
      <c r="L181" s="121"/>
      <c r="M181" s="444"/>
      <c r="N181" s="121"/>
    </row>
    <row r="182" spans="1:14" ht="15.6">
      <c r="A182" s="441"/>
      <c r="B182" s="121"/>
      <c r="C182" s="121"/>
      <c r="D182" s="121"/>
      <c r="E182" s="121"/>
      <c r="F182" s="121"/>
      <c r="G182" s="121"/>
      <c r="H182" s="121"/>
      <c r="I182" s="121"/>
      <c r="J182" s="121"/>
      <c r="K182" s="121"/>
      <c r="L182" s="121"/>
      <c r="M182" s="444"/>
      <c r="N182" s="121"/>
    </row>
    <row r="183" spans="1:14" ht="16.2" thickBot="1">
      <c r="A183" s="800">
        <f>+A180+1</f>
        <v>243</v>
      </c>
      <c r="B183" s="161"/>
      <c r="C183" s="161" t="str">
        <f>+'Appendix A'!C148</f>
        <v xml:space="preserve">     PBOP expense adjustment</v>
      </c>
      <c r="D183" s="161" t="str">
        <f>"(sum lines "&amp;A129&amp;", "&amp;A149&amp;", "&amp;A139&amp;", "&amp;A159&amp;", "&amp;A169&amp;", &amp; "&amp;A179&amp;")"</f>
        <v>(sum lines 197, 214, 205, 223, 232, &amp; 241)</v>
      </c>
      <c r="E183" s="161"/>
      <c r="F183" s="1120"/>
      <c r="G183" s="161"/>
      <c r="H183" s="161"/>
      <c r="I183" s="161"/>
      <c r="J183" s="161"/>
      <c r="K183" s="161"/>
      <c r="L183" s="161"/>
      <c r="M183" s="1121"/>
      <c r="N183" s="121"/>
    </row>
    <row r="184" spans="1:14" ht="15.6">
      <c r="A184" s="439"/>
      <c r="B184" s="121"/>
      <c r="C184" s="121"/>
      <c r="D184" s="121"/>
      <c r="E184" s="121"/>
      <c r="F184" s="121"/>
      <c r="G184" s="121"/>
      <c r="H184" s="121"/>
      <c r="I184" s="121"/>
      <c r="J184" s="121"/>
      <c r="K184" s="121"/>
      <c r="L184" s="121"/>
      <c r="M184" s="121"/>
      <c r="N184" s="121"/>
    </row>
    <row r="185" spans="1:14" ht="15.6">
      <c r="A185" s="121"/>
      <c r="B185" s="121"/>
      <c r="C185" s="121"/>
      <c r="D185" s="121"/>
      <c r="E185" s="121"/>
      <c r="F185" s="121"/>
      <c r="G185" s="121"/>
      <c r="H185" s="121"/>
      <c r="I185" s="121"/>
      <c r="J185" s="121"/>
      <c r="K185" s="121"/>
      <c r="L185" s="121"/>
      <c r="M185" s="121"/>
      <c r="N185" s="121"/>
    </row>
    <row r="186" spans="1:14" ht="15.6">
      <c r="A186" s="121"/>
      <c r="B186" s="121"/>
      <c r="C186" s="121"/>
      <c r="D186" s="121"/>
      <c r="E186" s="121"/>
      <c r="F186" s="121"/>
      <c r="G186" s="121"/>
      <c r="H186" s="121"/>
      <c r="I186" s="121"/>
      <c r="J186" s="121"/>
      <c r="K186" s="121"/>
      <c r="L186" s="121"/>
      <c r="M186" s="121"/>
      <c r="N186" s="121"/>
    </row>
    <row r="187" spans="1:14" ht="15.6">
      <c r="A187" s="121"/>
      <c r="B187" s="121"/>
      <c r="C187" s="121"/>
      <c r="D187" s="121"/>
      <c r="E187" s="121"/>
      <c r="F187" s="121"/>
      <c r="G187" s="121"/>
      <c r="H187" s="121"/>
      <c r="I187" s="121"/>
      <c r="J187" s="121"/>
      <c r="K187" s="121"/>
      <c r="L187" s="121"/>
      <c r="M187" s="121"/>
      <c r="N187" s="121"/>
    </row>
    <row r="188" spans="1:14" ht="15.6">
      <c r="A188" s="121"/>
      <c r="B188" s="121"/>
      <c r="C188" s="121"/>
      <c r="D188" s="121"/>
      <c r="E188" s="121"/>
      <c r="F188" s="121"/>
      <c r="G188" s="121"/>
      <c r="H188" s="121"/>
      <c r="I188" s="121"/>
      <c r="J188" s="121"/>
      <c r="K188" s="121"/>
      <c r="L188" s="121"/>
      <c r="M188" s="121"/>
      <c r="N188" s="121"/>
    </row>
    <row r="189" spans="1:14" ht="15.6">
      <c r="A189" s="121"/>
      <c r="B189" s="121"/>
      <c r="C189" s="121"/>
      <c r="D189" s="121"/>
      <c r="E189" s="121"/>
      <c r="F189" s="121"/>
      <c r="G189" s="121"/>
      <c r="H189" s="121"/>
      <c r="I189" s="121"/>
      <c r="J189" s="121"/>
      <c r="K189" s="121"/>
      <c r="L189" s="121"/>
      <c r="M189" s="121"/>
      <c r="N189" s="121"/>
    </row>
    <row r="190" spans="1:14" ht="15.6">
      <c r="A190" s="121"/>
      <c r="B190" s="121"/>
      <c r="C190" s="121"/>
      <c r="D190" s="121"/>
      <c r="E190" s="121"/>
      <c r="F190" s="121"/>
      <c r="G190" s="121"/>
      <c r="H190" s="121"/>
      <c r="I190" s="121"/>
      <c r="J190" s="121"/>
      <c r="K190" s="121"/>
      <c r="L190" s="121"/>
      <c r="M190" s="121"/>
      <c r="N190" s="121"/>
    </row>
    <row r="191" spans="1:14" ht="15.6">
      <c r="A191" s="121"/>
      <c r="B191" s="121"/>
      <c r="C191" s="121"/>
      <c r="D191" s="121"/>
      <c r="E191" s="121"/>
      <c r="F191" s="121"/>
      <c r="G191" s="121"/>
      <c r="H191" s="121"/>
      <c r="I191" s="121"/>
      <c r="J191" s="121"/>
      <c r="K191" s="121"/>
      <c r="L191" s="121"/>
      <c r="M191" s="121"/>
      <c r="N191" s="121"/>
    </row>
    <row r="192" spans="1:14" ht="15.6">
      <c r="A192" s="121"/>
      <c r="B192" s="121"/>
      <c r="C192" s="121"/>
      <c r="D192" s="121"/>
      <c r="E192" s="121"/>
      <c r="F192" s="121"/>
      <c r="G192" s="121"/>
      <c r="H192" s="121"/>
      <c r="I192" s="121"/>
      <c r="J192" s="121"/>
      <c r="K192" s="121"/>
      <c r="L192" s="121"/>
      <c r="M192" s="121"/>
      <c r="N192" s="121"/>
    </row>
    <row r="193" spans="1:14" ht="15.6">
      <c r="A193" s="121"/>
      <c r="B193" s="121"/>
      <c r="C193" s="121"/>
      <c r="D193" s="121"/>
      <c r="E193" s="121"/>
      <c r="F193" s="121"/>
      <c r="G193" s="121"/>
      <c r="H193" s="121"/>
      <c r="I193" s="121"/>
      <c r="J193" s="121"/>
      <c r="K193" s="121"/>
      <c r="L193" s="121"/>
      <c r="M193" s="121"/>
      <c r="N193" s="121"/>
    </row>
    <row r="194" spans="1:14" ht="15.6">
      <c r="A194" s="121"/>
      <c r="B194" s="121"/>
      <c r="C194" s="121"/>
      <c r="D194" s="121"/>
      <c r="E194" s="121"/>
      <c r="F194" s="121"/>
      <c r="G194" s="121"/>
      <c r="H194" s="121"/>
      <c r="I194" s="121"/>
      <c r="J194" s="121"/>
      <c r="K194" s="121"/>
      <c r="L194" s="121"/>
      <c r="M194" s="121"/>
      <c r="N194" s="121"/>
    </row>
    <row r="195" spans="1:14" ht="15.6">
      <c r="A195" s="121"/>
      <c r="B195" s="121"/>
      <c r="C195" s="121"/>
      <c r="D195" s="121"/>
      <c r="E195" s="121"/>
      <c r="F195" s="121"/>
      <c r="G195" s="121"/>
      <c r="H195" s="121"/>
      <c r="I195" s="121"/>
      <c r="J195" s="121"/>
      <c r="K195" s="121"/>
      <c r="L195" s="121"/>
      <c r="M195" s="121"/>
      <c r="N195" s="121"/>
    </row>
    <row r="196" spans="1:14" ht="15.6">
      <c r="A196" s="121"/>
      <c r="B196" s="121"/>
      <c r="C196" s="121"/>
      <c r="D196" s="121"/>
      <c r="E196" s="121"/>
      <c r="F196" s="121"/>
      <c r="G196" s="121"/>
      <c r="H196" s="121"/>
      <c r="I196" s="121"/>
      <c r="J196" s="121"/>
      <c r="K196" s="121"/>
      <c r="L196" s="121"/>
      <c r="M196" s="121"/>
      <c r="N196" s="121"/>
    </row>
    <row r="197" spans="1:14" ht="15.6">
      <c r="A197" s="121"/>
      <c r="B197" s="121"/>
      <c r="C197" s="121"/>
      <c r="D197" s="121"/>
      <c r="E197" s="121"/>
      <c r="F197" s="121"/>
      <c r="G197" s="121"/>
      <c r="H197" s="121"/>
      <c r="I197" s="121"/>
      <c r="J197" s="121"/>
      <c r="K197" s="121"/>
      <c r="L197" s="121"/>
      <c r="M197" s="121"/>
      <c r="N197" s="121"/>
    </row>
    <row r="198" spans="1:14" ht="15.6">
      <c r="A198" s="121"/>
      <c r="B198" s="121"/>
      <c r="C198" s="121"/>
      <c r="D198" s="121"/>
      <c r="E198" s="121"/>
      <c r="F198" s="121"/>
      <c r="G198" s="121"/>
      <c r="H198" s="121"/>
      <c r="I198" s="121"/>
      <c r="J198" s="121"/>
      <c r="K198" s="121"/>
      <c r="L198" s="121"/>
      <c r="M198" s="121"/>
      <c r="N198" s="121"/>
    </row>
    <row r="199" spans="1:14" ht="15.6">
      <c r="A199" s="121"/>
      <c r="B199" s="121"/>
      <c r="C199" s="121"/>
      <c r="D199" s="121"/>
      <c r="E199" s="121"/>
      <c r="F199" s="121"/>
      <c r="G199" s="121"/>
      <c r="H199" s="121"/>
      <c r="I199" s="121"/>
      <c r="J199" s="121"/>
      <c r="K199" s="121"/>
      <c r="L199" s="121"/>
      <c r="M199" s="121"/>
      <c r="N199" s="121"/>
    </row>
    <row r="200" spans="1:14" ht="15.6">
      <c r="A200" s="121"/>
      <c r="B200" s="121"/>
      <c r="C200" s="121"/>
      <c r="D200" s="121"/>
      <c r="E200" s="121"/>
      <c r="F200" s="121"/>
      <c r="G200" s="121"/>
      <c r="H200" s="121"/>
      <c r="I200" s="121"/>
      <c r="J200" s="121"/>
      <c r="K200" s="121"/>
      <c r="L200" s="121"/>
      <c r="M200" s="121"/>
      <c r="N200" s="121"/>
    </row>
    <row r="201" spans="1:14" ht="15.6">
      <c r="A201" s="121"/>
      <c r="B201" s="121"/>
      <c r="C201" s="121"/>
      <c r="D201" s="121"/>
      <c r="E201" s="121"/>
      <c r="F201" s="121"/>
      <c r="G201" s="121"/>
      <c r="H201" s="121"/>
      <c r="I201" s="121"/>
      <c r="J201" s="121"/>
      <c r="K201" s="121"/>
      <c r="L201" s="121"/>
      <c r="M201" s="121"/>
      <c r="N201" s="121"/>
    </row>
    <row r="202" spans="1:14" ht="15.6">
      <c r="A202" s="121"/>
      <c r="B202" s="121"/>
      <c r="C202" s="121"/>
      <c r="D202" s="121"/>
      <c r="E202" s="121"/>
      <c r="F202" s="121"/>
      <c r="G202" s="121"/>
      <c r="H202" s="121"/>
      <c r="I202" s="121"/>
      <c r="J202" s="121"/>
      <c r="K202" s="121"/>
      <c r="L202" s="121"/>
      <c r="M202" s="121"/>
      <c r="N202" s="121"/>
    </row>
    <row r="203" spans="1:14" ht="15.6">
      <c r="A203" s="121"/>
      <c r="B203" s="121"/>
      <c r="C203" s="121"/>
      <c r="D203" s="121"/>
      <c r="E203" s="121"/>
      <c r="F203" s="121"/>
      <c r="G203" s="121"/>
      <c r="H203" s="121"/>
      <c r="I203" s="121"/>
      <c r="J203" s="121"/>
      <c r="K203" s="121"/>
      <c r="L203" s="121"/>
      <c r="M203" s="121"/>
      <c r="N203" s="121"/>
    </row>
    <row r="204" spans="1:14" ht="15.6">
      <c r="A204" s="121"/>
      <c r="B204" s="121"/>
      <c r="C204" s="121"/>
      <c r="D204" s="121"/>
      <c r="E204" s="121"/>
      <c r="F204" s="121"/>
      <c r="G204" s="121"/>
      <c r="H204" s="121"/>
      <c r="I204" s="121"/>
      <c r="J204" s="121"/>
      <c r="K204" s="121"/>
      <c r="L204" s="121"/>
      <c r="M204" s="121"/>
      <c r="N204" s="121"/>
    </row>
    <row r="205" spans="1:14" ht="15.6">
      <c r="A205" s="121"/>
      <c r="B205" s="121"/>
      <c r="C205" s="121"/>
      <c r="D205" s="121"/>
      <c r="E205" s="121"/>
      <c r="F205" s="121"/>
      <c r="G205" s="121"/>
      <c r="H205" s="121"/>
      <c r="I205" s="121"/>
      <c r="J205" s="121"/>
      <c r="K205" s="121"/>
      <c r="L205" s="121"/>
      <c r="M205" s="121"/>
      <c r="N205" s="121"/>
    </row>
    <row r="206" spans="1:14" ht="15.6">
      <c r="A206" s="121"/>
      <c r="B206" s="121"/>
      <c r="C206" s="121"/>
      <c r="D206" s="121"/>
      <c r="E206" s="121"/>
      <c r="F206" s="121"/>
      <c r="G206" s="121"/>
      <c r="H206" s="121"/>
      <c r="I206" s="121"/>
      <c r="J206" s="121"/>
      <c r="K206" s="121"/>
      <c r="L206" s="121"/>
      <c r="M206" s="121"/>
      <c r="N206" s="121"/>
    </row>
    <row r="207" spans="1:14" ht="15.6">
      <c r="A207" s="121"/>
      <c r="B207" s="121"/>
      <c r="C207" s="121"/>
      <c r="D207" s="121"/>
      <c r="E207" s="121"/>
      <c r="F207" s="121"/>
      <c r="G207" s="121"/>
      <c r="H207" s="121"/>
      <c r="I207" s="121"/>
      <c r="J207" s="121"/>
      <c r="K207" s="121"/>
      <c r="L207" s="121"/>
      <c r="M207" s="121"/>
      <c r="N207" s="121"/>
    </row>
    <row r="208" spans="1:14" ht="15.6">
      <c r="A208" s="121"/>
      <c r="B208" s="121"/>
      <c r="C208" s="121"/>
      <c r="D208" s="121"/>
      <c r="E208" s="121"/>
      <c r="F208" s="121"/>
      <c r="G208" s="121"/>
      <c r="H208" s="121"/>
      <c r="I208" s="121"/>
      <c r="J208" s="121"/>
      <c r="K208" s="121"/>
      <c r="L208" s="121"/>
      <c r="M208" s="121"/>
      <c r="N208" s="121"/>
    </row>
    <row r="209" spans="1:14" ht="15.6">
      <c r="A209" s="121"/>
      <c r="B209" s="121"/>
      <c r="C209" s="121"/>
      <c r="D209" s="121"/>
      <c r="E209" s="121"/>
      <c r="F209" s="121"/>
      <c r="G209" s="121"/>
      <c r="H209" s="121"/>
      <c r="I209" s="121"/>
      <c r="J209" s="121"/>
      <c r="K209" s="121"/>
      <c r="L209" s="121"/>
      <c r="M209" s="121"/>
      <c r="N209" s="121"/>
    </row>
    <row r="210" spans="1:14" ht="15.6">
      <c r="A210" s="121"/>
      <c r="B210" s="121"/>
      <c r="C210" s="121"/>
      <c r="D210" s="121"/>
      <c r="E210" s="121"/>
      <c r="F210" s="121"/>
      <c r="G210" s="121"/>
      <c r="H210" s="121"/>
      <c r="I210" s="121"/>
      <c r="J210" s="121"/>
      <c r="K210" s="121"/>
      <c r="L210" s="121"/>
      <c r="M210" s="121"/>
      <c r="N210" s="121"/>
    </row>
    <row r="211" spans="1:14" ht="15.6">
      <c r="A211" s="439"/>
      <c r="B211" s="121"/>
      <c r="C211" s="121"/>
      <c r="D211" s="121"/>
      <c r="E211" s="121"/>
      <c r="F211" s="121"/>
      <c r="G211" s="121"/>
      <c r="H211" s="121"/>
      <c r="I211" s="121"/>
      <c r="J211" s="121"/>
      <c r="K211" s="121"/>
      <c r="L211" s="121"/>
      <c r="M211" s="121"/>
      <c r="N211" s="121"/>
    </row>
    <row r="212" spans="1:14" ht="15.6">
      <c r="A212" s="439"/>
      <c r="B212" s="121"/>
      <c r="C212" s="121"/>
      <c r="D212" s="121"/>
      <c r="E212" s="121"/>
      <c r="F212" s="121"/>
      <c r="G212" s="121"/>
      <c r="H212" s="121"/>
      <c r="I212" s="121"/>
      <c r="J212" s="121"/>
      <c r="K212" s="121"/>
      <c r="L212" s="121"/>
      <c r="M212" s="121"/>
      <c r="N212" s="121"/>
    </row>
    <row r="213" spans="1:14" ht="15.6">
      <c r="A213" s="439"/>
      <c r="B213" s="121"/>
      <c r="C213" s="121"/>
      <c r="D213" s="121"/>
      <c r="E213" s="121"/>
      <c r="F213" s="121"/>
      <c r="G213" s="121"/>
      <c r="H213" s="121"/>
      <c r="I213" s="121"/>
      <c r="J213" s="121"/>
      <c r="K213" s="121"/>
      <c r="L213" s="121"/>
      <c r="M213" s="121"/>
      <c r="N213" s="121"/>
    </row>
    <row r="214" spans="1:14" ht="15.6">
      <c r="A214" s="439"/>
      <c r="B214" s="121"/>
      <c r="C214" s="121"/>
      <c r="D214" s="121"/>
      <c r="E214" s="121"/>
      <c r="F214" s="121"/>
      <c r="G214" s="121"/>
      <c r="H214" s="121"/>
      <c r="I214" s="121"/>
      <c r="J214" s="121"/>
      <c r="K214" s="121"/>
      <c r="L214" s="121"/>
      <c r="M214" s="121"/>
      <c r="N214" s="121"/>
    </row>
    <row r="215" spans="1:14" ht="15.6">
      <c r="A215" s="439"/>
      <c r="B215" s="121"/>
      <c r="C215" s="121"/>
      <c r="D215" s="121"/>
      <c r="E215" s="121"/>
      <c r="F215" s="121"/>
      <c r="G215" s="121"/>
      <c r="H215" s="121"/>
      <c r="I215" s="121"/>
      <c r="J215" s="121"/>
      <c r="K215" s="121"/>
      <c r="L215" s="121"/>
      <c r="M215" s="121"/>
      <c r="N215" s="121"/>
    </row>
    <row r="216" spans="1:14" ht="15.6">
      <c r="A216" s="439"/>
      <c r="B216" s="121"/>
      <c r="C216" s="121"/>
      <c r="D216" s="121"/>
      <c r="E216" s="121"/>
      <c r="F216" s="121"/>
      <c r="G216" s="121"/>
      <c r="H216" s="121"/>
      <c r="I216" s="121"/>
      <c r="J216" s="121"/>
      <c r="K216" s="121"/>
      <c r="L216" s="121"/>
      <c r="M216" s="121"/>
      <c r="N216" s="121"/>
    </row>
    <row r="217" spans="1:14" ht="15.6">
      <c r="A217" s="439"/>
      <c r="B217" s="121"/>
      <c r="C217" s="121"/>
      <c r="D217" s="121"/>
      <c r="E217" s="121"/>
      <c r="F217" s="121"/>
      <c r="G217" s="121"/>
      <c r="H217" s="121"/>
      <c r="I217" s="121"/>
      <c r="J217" s="121"/>
      <c r="K217" s="121"/>
      <c r="L217" s="121"/>
      <c r="M217" s="121"/>
      <c r="N217" s="121"/>
    </row>
    <row r="218" spans="1:14" ht="15.6">
      <c r="A218" s="439"/>
      <c r="B218" s="121"/>
      <c r="C218" s="121"/>
      <c r="D218" s="121"/>
      <c r="E218" s="121"/>
      <c r="F218" s="121"/>
      <c r="G218" s="121"/>
      <c r="H218" s="121"/>
      <c r="I218" s="121"/>
      <c r="J218" s="121"/>
      <c r="K218" s="121"/>
      <c r="L218" s="121"/>
      <c r="M218" s="121"/>
      <c r="N218" s="121"/>
    </row>
    <row r="219" spans="1:14" ht="15.6">
      <c r="A219" s="439"/>
      <c r="B219" s="121"/>
      <c r="C219" s="121"/>
      <c r="D219" s="121"/>
      <c r="E219" s="121"/>
      <c r="F219" s="121"/>
      <c r="G219" s="121"/>
      <c r="H219" s="121"/>
      <c r="I219" s="121"/>
      <c r="J219" s="121"/>
      <c r="K219" s="121"/>
      <c r="L219" s="121"/>
      <c r="M219" s="121"/>
      <c r="N219" s="121"/>
    </row>
    <row r="220" spans="1:14" ht="15.6">
      <c r="A220" s="439"/>
      <c r="B220" s="121"/>
      <c r="C220" s="121"/>
      <c r="D220" s="121"/>
      <c r="E220" s="121"/>
      <c r="F220" s="121"/>
      <c r="G220" s="121"/>
      <c r="H220" s="121"/>
      <c r="I220" s="121"/>
      <c r="J220" s="121"/>
      <c r="K220" s="121"/>
      <c r="L220" s="121"/>
      <c r="M220" s="121"/>
      <c r="N220" s="121"/>
    </row>
    <row r="221" spans="1:14" ht="15.6">
      <c r="A221" s="439"/>
      <c r="B221" s="121"/>
      <c r="C221" s="121"/>
      <c r="D221" s="121"/>
      <c r="E221" s="121"/>
      <c r="F221" s="121"/>
      <c r="G221" s="121"/>
      <c r="H221" s="121"/>
      <c r="I221" s="121"/>
      <c r="J221" s="121"/>
      <c r="K221" s="121"/>
      <c r="L221" s="121"/>
      <c r="M221" s="121"/>
      <c r="N221" s="121"/>
    </row>
    <row r="222" spans="1:14" ht="15.6">
      <c r="A222" s="439"/>
      <c r="B222" s="121"/>
      <c r="C222" s="121"/>
      <c r="D222" s="121"/>
      <c r="E222" s="121"/>
      <c r="F222" s="121"/>
      <c r="G222" s="121"/>
      <c r="H222" s="121"/>
      <c r="I222" s="121"/>
      <c r="J222" s="121"/>
      <c r="K222" s="121"/>
      <c r="L222" s="121"/>
      <c r="M222" s="121"/>
      <c r="N222" s="121"/>
    </row>
    <row r="223" spans="1:14" ht="15.6">
      <c r="A223" s="439"/>
      <c r="B223" s="121"/>
      <c r="C223" s="121"/>
      <c r="D223" s="121"/>
      <c r="E223" s="121"/>
      <c r="F223" s="121"/>
      <c r="G223" s="121"/>
      <c r="H223" s="121"/>
      <c r="I223" s="121"/>
      <c r="J223" s="121"/>
      <c r="K223" s="121"/>
      <c r="L223" s="121"/>
      <c r="M223" s="121"/>
      <c r="N223" s="121"/>
    </row>
    <row r="224" spans="1:14" ht="15.6">
      <c r="A224" s="439"/>
      <c r="B224" s="121"/>
      <c r="C224" s="121"/>
      <c r="D224" s="121"/>
      <c r="E224" s="121"/>
      <c r="F224" s="121"/>
      <c r="G224" s="121"/>
      <c r="H224" s="121"/>
      <c r="I224" s="121"/>
      <c r="J224" s="121"/>
      <c r="K224" s="121"/>
      <c r="L224" s="121"/>
      <c r="M224" s="121"/>
      <c r="N224" s="121"/>
    </row>
    <row r="225" spans="1:14" ht="15.6">
      <c r="A225" s="439"/>
      <c r="B225" s="121"/>
      <c r="C225" s="121"/>
      <c r="D225" s="121"/>
      <c r="E225" s="121"/>
      <c r="F225" s="121"/>
      <c r="G225" s="121"/>
      <c r="H225" s="121"/>
      <c r="I225" s="121"/>
      <c r="J225" s="121"/>
      <c r="K225" s="121"/>
      <c r="L225" s="121"/>
      <c r="M225" s="121"/>
      <c r="N225" s="121"/>
    </row>
    <row r="226" spans="1:14" ht="15.6">
      <c r="A226" s="439"/>
      <c r="B226" s="121"/>
      <c r="C226" s="121"/>
      <c r="D226" s="121"/>
      <c r="E226" s="121"/>
      <c r="F226" s="121"/>
      <c r="G226" s="121"/>
      <c r="H226" s="121"/>
      <c r="I226" s="121"/>
      <c r="J226" s="121"/>
      <c r="K226" s="121"/>
      <c r="L226" s="121"/>
      <c r="M226" s="121"/>
      <c r="N226" s="121"/>
    </row>
    <row r="227" spans="1:14" ht="15.6">
      <c r="A227" s="439"/>
      <c r="B227" s="121"/>
      <c r="C227" s="121"/>
      <c r="D227" s="121"/>
      <c r="E227" s="121"/>
      <c r="F227" s="121"/>
      <c r="G227" s="121"/>
      <c r="H227" s="121"/>
      <c r="I227" s="121"/>
      <c r="J227" s="121"/>
      <c r="K227" s="121"/>
      <c r="L227" s="121"/>
      <c r="M227" s="121"/>
      <c r="N227" s="121"/>
    </row>
    <row r="228" spans="1:14" ht="15.6">
      <c r="A228" s="439"/>
      <c r="B228" s="121"/>
      <c r="C228" s="121"/>
      <c r="D228" s="121"/>
      <c r="E228" s="121"/>
      <c r="F228" s="121"/>
      <c r="G228" s="121"/>
      <c r="H228" s="121"/>
      <c r="I228" s="121"/>
      <c r="J228" s="121"/>
      <c r="K228" s="121"/>
      <c r="L228" s="121"/>
      <c r="M228" s="121"/>
      <c r="N228" s="121"/>
    </row>
    <row r="229" spans="1:14" ht="15.6">
      <c r="A229" s="439"/>
      <c r="B229" s="121"/>
      <c r="C229" s="121"/>
      <c r="D229" s="121"/>
      <c r="E229" s="121"/>
      <c r="F229" s="121"/>
      <c r="G229" s="121"/>
      <c r="H229" s="121"/>
      <c r="I229" s="121"/>
      <c r="J229" s="121"/>
      <c r="K229" s="121"/>
      <c r="L229" s="121"/>
      <c r="M229" s="121"/>
      <c r="N229" s="121"/>
    </row>
    <row r="230" spans="1:14" ht="15.6">
      <c r="A230" s="439"/>
      <c r="B230" s="121"/>
      <c r="C230" s="121"/>
      <c r="D230" s="121"/>
      <c r="E230" s="121"/>
      <c r="F230" s="121"/>
      <c r="G230" s="121"/>
      <c r="H230" s="121"/>
      <c r="I230" s="121"/>
      <c r="J230" s="121"/>
      <c r="K230" s="121"/>
      <c r="L230" s="121"/>
      <c r="M230" s="121"/>
      <c r="N230" s="121"/>
    </row>
    <row r="231" spans="1:14" ht="15.6">
      <c r="A231" s="439"/>
      <c r="B231" s="121"/>
      <c r="C231" s="121"/>
      <c r="D231" s="121"/>
      <c r="E231" s="121"/>
      <c r="F231" s="121"/>
      <c r="G231" s="121"/>
      <c r="H231" s="121"/>
      <c r="I231" s="121"/>
      <c r="J231" s="121"/>
      <c r="K231" s="121"/>
      <c r="L231" s="121"/>
      <c r="M231" s="121"/>
      <c r="N231" s="121"/>
    </row>
    <row r="232" spans="1:14" ht="15.6">
      <c r="A232" s="439"/>
      <c r="B232" s="121"/>
      <c r="C232" s="121"/>
      <c r="D232" s="121"/>
      <c r="E232" s="121"/>
      <c r="F232" s="121"/>
      <c r="G232" s="121"/>
      <c r="H232" s="121"/>
      <c r="I232" s="121"/>
      <c r="J232" s="121"/>
      <c r="K232" s="121"/>
      <c r="L232" s="121"/>
      <c r="M232" s="121"/>
      <c r="N232" s="121"/>
    </row>
    <row r="233" spans="1:14" ht="15.6">
      <c r="A233" s="439"/>
      <c r="B233" s="121"/>
      <c r="C233" s="121"/>
      <c r="D233" s="121"/>
      <c r="E233" s="121"/>
      <c r="F233" s="121"/>
      <c r="G233" s="121"/>
      <c r="H233" s="121"/>
      <c r="I233" s="121"/>
      <c r="J233" s="121"/>
      <c r="K233" s="121"/>
      <c r="L233" s="121"/>
      <c r="M233" s="121"/>
      <c r="N233" s="121"/>
    </row>
    <row r="234" spans="1:14" ht="15.6">
      <c r="A234" s="439"/>
      <c r="B234" s="121"/>
      <c r="C234" s="121"/>
      <c r="D234" s="121"/>
      <c r="E234" s="121"/>
      <c r="F234" s="121"/>
      <c r="G234" s="121"/>
      <c r="H234" s="121"/>
      <c r="I234" s="121"/>
      <c r="J234" s="121"/>
      <c r="K234" s="121"/>
      <c r="L234" s="121"/>
      <c r="M234" s="121"/>
      <c r="N234" s="121"/>
    </row>
    <row r="235" spans="1:14" ht="15.6">
      <c r="A235" s="439"/>
      <c r="B235" s="121"/>
      <c r="C235" s="121"/>
      <c r="D235" s="121"/>
      <c r="E235" s="121"/>
      <c r="F235" s="121"/>
      <c r="G235" s="121"/>
      <c r="H235" s="121"/>
      <c r="I235" s="121"/>
      <c r="J235" s="121"/>
      <c r="K235" s="121"/>
      <c r="L235" s="121"/>
      <c r="M235" s="121"/>
      <c r="N235" s="121"/>
    </row>
    <row r="236" spans="1:14" ht="15.6">
      <c r="A236" s="439"/>
      <c r="B236" s="121"/>
      <c r="C236" s="121"/>
      <c r="D236" s="121"/>
      <c r="E236" s="121"/>
      <c r="F236" s="121"/>
      <c r="G236" s="121"/>
      <c r="H236" s="121"/>
      <c r="I236" s="121"/>
      <c r="J236" s="121"/>
      <c r="K236" s="121"/>
      <c r="L236" s="121"/>
      <c r="M236" s="121"/>
      <c r="N236" s="121"/>
    </row>
    <row r="237" spans="1:14" ht="15.6">
      <c r="A237" s="439"/>
      <c r="B237" s="121"/>
      <c r="C237" s="121"/>
      <c r="D237" s="121"/>
      <c r="E237" s="121"/>
      <c r="F237" s="121"/>
      <c r="G237" s="121"/>
      <c r="H237" s="121"/>
      <c r="I237" s="121"/>
      <c r="J237" s="121"/>
      <c r="K237" s="121"/>
      <c r="L237" s="121"/>
      <c r="M237" s="121"/>
      <c r="N237" s="121"/>
    </row>
    <row r="238" spans="1:14" ht="15.6">
      <c r="A238" s="439"/>
      <c r="B238" s="121"/>
      <c r="C238" s="121"/>
      <c r="D238" s="121"/>
      <c r="E238" s="121"/>
      <c r="F238" s="121"/>
      <c r="G238" s="121"/>
      <c r="H238" s="121"/>
      <c r="I238" s="121"/>
      <c r="J238" s="121"/>
      <c r="K238" s="121"/>
      <c r="L238" s="121"/>
      <c r="M238" s="121"/>
      <c r="N238" s="121"/>
    </row>
    <row r="239" spans="1:14" ht="15.6">
      <c r="A239" s="439"/>
      <c r="B239" s="121"/>
      <c r="C239" s="121"/>
      <c r="D239" s="121"/>
      <c r="E239" s="121"/>
      <c r="F239" s="121"/>
      <c r="G239" s="121"/>
      <c r="H239" s="121"/>
      <c r="I239" s="121"/>
      <c r="J239" s="121"/>
      <c r="K239" s="121"/>
      <c r="L239" s="121"/>
      <c r="M239" s="121"/>
      <c r="N239" s="121"/>
    </row>
    <row r="240" spans="1:14" ht="15.6">
      <c r="A240" s="439"/>
      <c r="B240" s="121"/>
      <c r="C240" s="121"/>
      <c r="D240" s="121"/>
      <c r="E240" s="121"/>
      <c r="F240" s="121"/>
      <c r="G240" s="121"/>
      <c r="H240" s="121"/>
      <c r="I240" s="121"/>
      <c r="J240" s="121"/>
      <c r="K240" s="121"/>
      <c r="L240" s="121"/>
      <c r="M240" s="121"/>
      <c r="N240" s="121"/>
    </row>
    <row r="241" spans="1:14" ht="15.6">
      <c r="A241" s="439"/>
      <c r="B241" s="121"/>
      <c r="C241" s="121"/>
      <c r="D241" s="121"/>
      <c r="E241" s="121"/>
      <c r="F241" s="121"/>
      <c r="G241" s="121"/>
      <c r="H241" s="121"/>
      <c r="I241" s="121"/>
      <c r="J241" s="121"/>
      <c r="K241" s="121"/>
      <c r="L241" s="121"/>
      <c r="M241" s="121"/>
      <c r="N241" s="121"/>
    </row>
    <row r="242" spans="1:14" ht="15.6">
      <c r="A242" s="439"/>
      <c r="B242" s="121"/>
      <c r="C242" s="121"/>
      <c r="D242" s="121"/>
      <c r="E242" s="121"/>
      <c r="F242" s="121"/>
      <c r="G242" s="121"/>
      <c r="H242" s="121"/>
      <c r="I242" s="121"/>
      <c r="J242" s="121"/>
      <c r="K242" s="121"/>
      <c r="L242" s="121"/>
      <c r="M242" s="121"/>
      <c r="N242" s="121"/>
    </row>
    <row r="243" spans="1:14" ht="15.6">
      <c r="A243" s="439"/>
      <c r="B243" s="121"/>
      <c r="C243" s="121"/>
      <c r="D243" s="121"/>
      <c r="E243" s="121"/>
      <c r="F243" s="121"/>
      <c r="G243" s="121"/>
      <c r="H243" s="121"/>
      <c r="I243" s="121"/>
      <c r="J243" s="121"/>
      <c r="K243" s="121"/>
      <c r="L243" s="121"/>
      <c r="M243" s="121"/>
      <c r="N243" s="121"/>
    </row>
    <row r="244" spans="1:14" ht="15.6">
      <c r="A244" s="439"/>
      <c r="B244" s="121"/>
      <c r="C244" s="121"/>
      <c r="D244" s="121"/>
      <c r="E244" s="121"/>
      <c r="F244" s="121"/>
      <c r="G244" s="121"/>
      <c r="H244" s="121"/>
      <c r="I244" s="121"/>
      <c r="J244" s="121"/>
      <c r="K244" s="121"/>
      <c r="L244" s="121"/>
      <c r="M244" s="121"/>
      <c r="N244" s="121"/>
    </row>
    <row r="245" spans="1:14" ht="15.6">
      <c r="A245" s="439"/>
      <c r="B245" s="121"/>
      <c r="C245" s="121"/>
      <c r="D245" s="121"/>
      <c r="E245" s="121"/>
      <c r="F245" s="121"/>
      <c r="G245" s="121"/>
      <c r="H245" s="121"/>
      <c r="I245" s="121"/>
      <c r="J245" s="121"/>
      <c r="K245" s="121"/>
      <c r="L245" s="121"/>
      <c r="M245" s="121"/>
      <c r="N245" s="121"/>
    </row>
    <row r="246" spans="1:14" ht="15.6">
      <c r="A246" s="439"/>
      <c r="B246" s="121"/>
      <c r="C246" s="121"/>
      <c r="D246" s="121"/>
      <c r="E246" s="121"/>
      <c r="F246" s="121"/>
      <c r="G246" s="121"/>
      <c r="H246" s="121"/>
      <c r="I246" s="121"/>
      <c r="J246" s="121"/>
      <c r="K246" s="121"/>
      <c r="L246" s="121"/>
      <c r="M246" s="121"/>
      <c r="N246" s="121"/>
    </row>
    <row r="247" spans="1:14" ht="15.6">
      <c r="A247" s="439"/>
      <c r="B247" s="121"/>
      <c r="C247" s="121"/>
      <c r="D247" s="121"/>
      <c r="E247" s="121"/>
      <c r="F247" s="121"/>
      <c r="G247" s="121"/>
      <c r="H247" s="121"/>
      <c r="I247" s="121"/>
      <c r="J247" s="121"/>
      <c r="K247" s="121"/>
      <c r="L247" s="121"/>
      <c r="M247" s="121"/>
      <c r="N247" s="121"/>
    </row>
    <row r="248" spans="1:14" ht="15.6">
      <c r="A248" s="439"/>
      <c r="B248" s="121"/>
      <c r="C248" s="121"/>
      <c r="D248" s="121"/>
      <c r="E248" s="121"/>
      <c r="F248" s="121"/>
      <c r="G248" s="121"/>
      <c r="H248" s="121"/>
      <c r="I248" s="121"/>
      <c r="J248" s="121"/>
      <c r="K248" s="121"/>
      <c r="L248" s="121"/>
      <c r="M248" s="121"/>
      <c r="N248" s="121"/>
    </row>
    <row r="249" spans="1:14" ht="15.6">
      <c r="A249" s="439"/>
      <c r="B249" s="121"/>
      <c r="C249" s="121"/>
      <c r="D249" s="121"/>
      <c r="E249" s="121"/>
      <c r="F249" s="121"/>
      <c r="G249" s="121"/>
      <c r="H249" s="121"/>
      <c r="I249" s="121"/>
      <c r="J249" s="121"/>
      <c r="K249" s="121"/>
      <c r="L249" s="121"/>
      <c r="M249" s="121"/>
      <c r="N249" s="121"/>
    </row>
    <row r="250" spans="1:14" ht="15.6">
      <c r="A250" s="439"/>
      <c r="B250" s="121"/>
      <c r="C250" s="121"/>
      <c r="D250" s="121"/>
      <c r="E250" s="121"/>
      <c r="F250" s="121"/>
      <c r="G250" s="121"/>
      <c r="H250" s="121"/>
      <c r="I250" s="121"/>
      <c r="J250" s="121"/>
      <c r="K250" s="121"/>
      <c r="L250" s="121"/>
      <c r="M250" s="121"/>
      <c r="N250" s="121"/>
    </row>
    <row r="251" spans="1:14" ht="15.6">
      <c r="A251" s="439"/>
      <c r="B251" s="121"/>
      <c r="C251" s="121"/>
      <c r="D251" s="121"/>
      <c r="E251" s="121"/>
      <c r="F251" s="121"/>
      <c r="G251" s="121"/>
      <c r="H251" s="121"/>
      <c r="I251" s="121"/>
      <c r="J251" s="121"/>
      <c r="K251" s="121"/>
      <c r="L251" s="121"/>
      <c r="M251" s="121"/>
      <c r="N251" s="121"/>
    </row>
    <row r="252" spans="1:14" ht="15.6">
      <c r="A252" s="439"/>
      <c r="B252" s="121"/>
      <c r="C252" s="121"/>
      <c r="D252" s="121"/>
      <c r="E252" s="121"/>
      <c r="F252" s="121"/>
      <c r="G252" s="121"/>
      <c r="H252" s="121"/>
      <c r="I252" s="121"/>
      <c r="J252" s="121"/>
      <c r="K252" s="121"/>
      <c r="L252" s="121"/>
      <c r="M252" s="121"/>
      <c r="N252" s="121"/>
    </row>
  </sheetData>
  <mergeCells count="24">
    <mergeCell ref="J118:M118"/>
    <mergeCell ref="A118:F118"/>
    <mergeCell ref="A77:F77"/>
    <mergeCell ref="J77:M77"/>
    <mergeCell ref="J85:M85"/>
    <mergeCell ref="A88:F88"/>
    <mergeCell ref="I90:M90"/>
    <mergeCell ref="I88:M88"/>
    <mergeCell ref="J53:M53"/>
    <mergeCell ref="A61:F61"/>
    <mergeCell ref="J61:M61"/>
    <mergeCell ref="A70:F70"/>
    <mergeCell ref="L70:M70"/>
    <mergeCell ref="J66:M66"/>
    <mergeCell ref="J34:M34"/>
    <mergeCell ref="A52:F52"/>
    <mergeCell ref="J52:M52"/>
    <mergeCell ref="D1:I1"/>
    <mergeCell ref="D2:I2"/>
    <mergeCell ref="A3:F3"/>
    <mergeCell ref="J3:M3"/>
    <mergeCell ref="A33:F33"/>
    <mergeCell ref="J33:M33"/>
    <mergeCell ref="C44:J48"/>
  </mergeCells>
  <printOptions horizontalCentered="1"/>
  <pageMargins left="0.25" right="0.25" top="0.75" bottom="0.75" header="0.5" footer="0.5"/>
  <pageSetup scale="33" fitToHeight="0" orientation="landscape" r:id="rId1"/>
  <headerFooter alignWithMargins="0"/>
  <rowBreaks count="1" manualBreakCount="1">
    <brk id="9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R44"/>
  <sheetViews>
    <sheetView view="pageLayout" zoomScale="50" zoomScaleNormal="85" zoomScalePageLayoutView="50" workbookViewId="0">
      <selection activeCell="C4" sqref="C4"/>
    </sheetView>
  </sheetViews>
  <sheetFormatPr defaultRowHeight="15.6"/>
  <cols>
    <col min="1" max="1" width="8.81640625" style="225" customWidth="1"/>
    <col min="2" max="2" width="41.08984375" style="225" customWidth="1"/>
    <col min="3" max="3" width="14.453125" style="225" customWidth="1"/>
    <col min="4" max="4" width="14.08984375" style="225" bestFit="1" customWidth="1"/>
    <col min="5" max="6" width="16.08984375" style="225" bestFit="1" customWidth="1"/>
    <col min="7" max="7" width="14.81640625" style="225" bestFit="1" customWidth="1"/>
    <col min="8" max="8" width="14.08984375" style="225" bestFit="1" customWidth="1"/>
    <col min="9" max="9" width="14.81640625" style="225" bestFit="1" customWidth="1"/>
    <col min="10" max="10" width="14.7265625" style="225" customWidth="1"/>
    <col min="11" max="11" width="14.81640625" style="225" bestFit="1" customWidth="1"/>
    <col min="12" max="12" width="14.453125" style="225" customWidth="1"/>
    <col min="13" max="13" width="14.81640625" style="225" bestFit="1" customWidth="1"/>
    <col min="14" max="14" width="14" style="225" bestFit="1" customWidth="1"/>
    <col min="15" max="16" width="15.81640625" style="225" customWidth="1"/>
    <col min="17" max="17" width="15.08984375" style="225" customWidth="1"/>
    <col min="18" max="18" width="8.81640625" style="225" customWidth="1"/>
  </cols>
  <sheetData>
    <row r="1" spans="1:17" ht="17.399999999999999">
      <c r="E1" s="1170" t="s">
        <v>431</v>
      </c>
      <c r="F1" s="1170"/>
      <c r="G1" s="1170"/>
      <c r="H1" s="1170"/>
      <c r="I1" s="1170"/>
      <c r="J1" s="1170"/>
      <c r="O1" s="121"/>
    </row>
    <row r="2" spans="1:17" ht="17.399999999999999">
      <c r="A2" s="954" t="s">
        <v>635</v>
      </c>
      <c r="E2" s="1170" t="str">
        <f>'Appendix A'!$E$9</f>
        <v>HURLEY AVENUE PROJECT - SYSTEM DELIVERABILITY UPGRADE</v>
      </c>
      <c r="F2" s="1170"/>
      <c r="G2" s="1170"/>
      <c r="H2" s="1170"/>
      <c r="I2" s="1170"/>
      <c r="J2" s="1170"/>
    </row>
    <row r="3" spans="1:17" ht="16.2" thickBot="1">
      <c r="A3" s="1206"/>
      <c r="B3" s="1206"/>
      <c r="C3" s="1206"/>
      <c r="D3" s="1206"/>
      <c r="E3" s="1206"/>
      <c r="F3" s="1206"/>
      <c r="G3" s="731"/>
      <c r="H3" s="1207"/>
      <c r="I3" s="1208"/>
      <c r="J3" s="1208"/>
      <c r="K3" s="1208"/>
      <c r="L3" s="1208"/>
      <c r="M3" s="1208"/>
      <c r="N3" s="732"/>
      <c r="O3" s="732"/>
      <c r="P3" s="732"/>
      <c r="Q3" s="732"/>
    </row>
    <row r="4" spans="1:17">
      <c r="A4" s="733"/>
      <c r="B4" s="734"/>
      <c r="C4" s="735"/>
      <c r="D4" s="736"/>
      <c r="E4" s="737"/>
      <c r="F4" s="737"/>
      <c r="G4" s="737"/>
      <c r="H4" s="736"/>
      <c r="I4" s="736"/>
      <c r="J4" s="736"/>
      <c r="K4" s="736"/>
      <c r="L4" s="736"/>
      <c r="M4" s="736"/>
      <c r="N4" s="738"/>
      <c r="O4" s="738"/>
      <c r="P4" s="738"/>
      <c r="Q4" s="739"/>
    </row>
    <row r="5" spans="1:17">
      <c r="A5" s="740"/>
      <c r="B5" s="711"/>
      <c r="C5" s="711"/>
      <c r="D5" s="712"/>
      <c r="E5" s="712"/>
      <c r="F5" s="712"/>
      <c r="G5" s="712"/>
      <c r="H5" s="712"/>
      <c r="I5" s="712"/>
      <c r="J5" s="712"/>
      <c r="K5" s="712"/>
      <c r="L5" s="712"/>
      <c r="M5" s="712"/>
      <c r="N5" s="712"/>
      <c r="O5" s="712"/>
      <c r="P5" s="712"/>
      <c r="Q5" s="713"/>
    </row>
    <row r="6" spans="1:17">
      <c r="A6" s="714"/>
      <c r="B6" s="711"/>
      <c r="C6" s="741" t="s">
        <v>597</v>
      </c>
      <c r="D6" s="981" t="s">
        <v>138</v>
      </c>
      <c r="E6" s="981" t="s">
        <v>254</v>
      </c>
      <c r="F6" s="981" t="s">
        <v>155</v>
      </c>
      <c r="G6" s="981" t="s">
        <v>154</v>
      </c>
      <c r="H6" s="981" t="s">
        <v>153</v>
      </c>
      <c r="I6" s="981" t="s">
        <v>164</v>
      </c>
      <c r="J6" s="981" t="s">
        <v>151</v>
      </c>
      <c r="K6" s="981" t="s">
        <v>149</v>
      </c>
      <c r="L6" s="981" t="s">
        <v>158</v>
      </c>
      <c r="M6" s="981" t="s">
        <v>157</v>
      </c>
      <c r="N6" s="981" t="s">
        <v>156</v>
      </c>
      <c r="O6" s="981" t="s">
        <v>141</v>
      </c>
      <c r="P6" s="981" t="s">
        <v>138</v>
      </c>
      <c r="Q6" s="713"/>
    </row>
    <row r="7" spans="1:17">
      <c r="A7" s="742" t="s">
        <v>288</v>
      </c>
      <c r="B7" s="743" t="s">
        <v>422</v>
      </c>
      <c r="C7" s="743" t="s">
        <v>598</v>
      </c>
      <c r="D7" s="980">
        <v>2023</v>
      </c>
      <c r="E7" s="744"/>
      <c r="F7" s="744"/>
      <c r="G7" s="744"/>
      <c r="H7" s="744"/>
      <c r="I7" s="744"/>
      <c r="J7" s="744"/>
      <c r="K7" s="744"/>
      <c r="L7" s="980">
        <v>2024</v>
      </c>
      <c r="M7" s="744"/>
      <c r="N7" s="744"/>
      <c r="O7" s="744"/>
      <c r="P7" s="744"/>
      <c r="Q7" s="745" t="s">
        <v>599</v>
      </c>
    </row>
    <row r="8" spans="1:17" ht="30.75" customHeight="1">
      <c r="A8" s="714"/>
      <c r="D8" s="443" t="s">
        <v>150</v>
      </c>
      <c r="E8" s="715" t="s">
        <v>600</v>
      </c>
      <c r="F8" s="443" t="s">
        <v>150</v>
      </c>
      <c r="G8" s="443" t="s">
        <v>150</v>
      </c>
      <c r="H8" s="715" t="s">
        <v>600</v>
      </c>
      <c r="I8" s="443" t="s">
        <v>150</v>
      </c>
      <c r="J8" s="443" t="s">
        <v>150</v>
      </c>
      <c r="K8" s="715" t="s">
        <v>600</v>
      </c>
      <c r="L8" s="443" t="s">
        <v>150</v>
      </c>
      <c r="M8" s="443">
        <v>0</v>
      </c>
      <c r="N8" s="715" t="s">
        <v>600</v>
      </c>
      <c r="O8" s="443" t="s">
        <v>150</v>
      </c>
      <c r="P8" s="443" t="s">
        <v>150</v>
      </c>
      <c r="Q8" s="716"/>
    </row>
    <row r="9" spans="1:17">
      <c r="A9" s="714">
        <v>244</v>
      </c>
      <c r="B9" s="225" t="s">
        <v>601</v>
      </c>
      <c r="D9" s="717"/>
      <c r="E9" s="717"/>
      <c r="F9" s="717"/>
      <c r="G9" s="717"/>
      <c r="H9" s="717"/>
      <c r="I9" s="717"/>
      <c r="J9" s="717"/>
      <c r="K9" s="717"/>
      <c r="L9" s="717"/>
      <c r="M9" s="717"/>
      <c r="N9" s="717"/>
      <c r="O9" s="717"/>
      <c r="P9" s="717"/>
      <c r="Q9" s="718"/>
    </row>
    <row r="10" spans="1:17">
      <c r="A10" s="714">
        <f t="shared" ref="A10:A40" si="0">A9+1</f>
        <v>245</v>
      </c>
      <c r="B10" s="719" t="s">
        <v>602</v>
      </c>
      <c r="C10" s="711" t="s">
        <v>603</v>
      </c>
      <c r="D10" s="722">
        <v>0</v>
      </c>
      <c r="E10" s="722">
        <v>0</v>
      </c>
      <c r="F10" s="722">
        <v>0</v>
      </c>
      <c r="G10" s="722">
        <v>0</v>
      </c>
      <c r="H10" s="722">
        <v>0</v>
      </c>
      <c r="I10" s="722">
        <v>0</v>
      </c>
      <c r="J10" s="722">
        <v>0</v>
      </c>
      <c r="K10" s="722">
        <v>0</v>
      </c>
      <c r="L10" s="722">
        <v>0</v>
      </c>
      <c r="M10" s="722">
        <v>0</v>
      </c>
      <c r="N10" s="722">
        <v>0</v>
      </c>
      <c r="O10" s="722">
        <v>0</v>
      </c>
      <c r="P10" s="722">
        <v>0</v>
      </c>
      <c r="Q10" s="718">
        <f>AVERAGE(D10:P10)</f>
        <v>0</v>
      </c>
    </row>
    <row r="11" spans="1:17">
      <c r="A11" s="714">
        <f t="shared" si="0"/>
        <v>246</v>
      </c>
      <c r="B11" s="719" t="s">
        <v>604</v>
      </c>
      <c r="C11" s="711" t="s">
        <v>605</v>
      </c>
      <c r="D11" s="746">
        <v>0</v>
      </c>
      <c r="E11" s="746">
        <v>0</v>
      </c>
      <c r="F11" s="746">
        <v>0</v>
      </c>
      <c r="G11" s="746">
        <v>0</v>
      </c>
      <c r="H11" s="746">
        <v>0</v>
      </c>
      <c r="I11" s="746">
        <v>0</v>
      </c>
      <c r="J11" s="746">
        <v>0</v>
      </c>
      <c r="K11" s="746">
        <v>0</v>
      </c>
      <c r="L11" s="746">
        <v>0</v>
      </c>
      <c r="M11" s="746">
        <v>0</v>
      </c>
      <c r="N11" s="746">
        <v>0</v>
      </c>
      <c r="O11" s="746">
        <v>0</v>
      </c>
      <c r="P11" s="746">
        <v>0</v>
      </c>
      <c r="Q11" s="747">
        <f>AVERAGE(D11:P11)</f>
        <v>0</v>
      </c>
    </row>
    <row r="12" spans="1:17">
      <c r="A12" s="714">
        <f t="shared" si="0"/>
        <v>247</v>
      </c>
      <c r="B12" s="719" t="s">
        <v>606</v>
      </c>
      <c r="C12" s="711" t="s">
        <v>607</v>
      </c>
      <c r="D12" s="746">
        <v>922800000</v>
      </c>
      <c r="E12" s="746">
        <v>1032800000</v>
      </c>
      <c r="F12" s="746">
        <v>1032800000</v>
      </c>
      <c r="G12" s="746">
        <v>1032800000</v>
      </c>
      <c r="H12" s="746">
        <v>1009400000</v>
      </c>
      <c r="I12" s="746">
        <v>1009400000</v>
      </c>
      <c r="J12" s="746">
        <v>1009400000</v>
      </c>
      <c r="K12" s="746">
        <v>1009400000</v>
      </c>
      <c r="L12" s="746">
        <v>1009400000</v>
      </c>
      <c r="M12" s="746">
        <v>1119400000</v>
      </c>
      <c r="N12" s="746">
        <v>1119400000</v>
      </c>
      <c r="O12" s="746">
        <v>1119400000</v>
      </c>
      <c r="P12" s="746">
        <v>1119400000</v>
      </c>
      <c r="Q12" s="747">
        <f>AVERAGE(D12:P12)</f>
        <v>1041984615.3846154</v>
      </c>
    </row>
    <row r="13" spans="1:17" ht="16.2" thickBot="1">
      <c r="A13" s="714">
        <f t="shared" si="0"/>
        <v>248</v>
      </c>
      <c r="B13" s="720" t="s">
        <v>608</v>
      </c>
      <c r="C13" s="711" t="s">
        <v>782</v>
      </c>
      <c r="D13" s="724">
        <v>0</v>
      </c>
      <c r="E13" s="724">
        <v>0</v>
      </c>
      <c r="F13" s="724">
        <v>0</v>
      </c>
      <c r="G13" s="724">
        <v>0</v>
      </c>
      <c r="H13" s="724">
        <v>0</v>
      </c>
      <c r="I13" s="724">
        <v>0</v>
      </c>
      <c r="J13" s="724">
        <v>0</v>
      </c>
      <c r="K13" s="724">
        <v>0</v>
      </c>
      <c r="L13" s="724">
        <v>0</v>
      </c>
      <c r="M13" s="724">
        <v>0</v>
      </c>
      <c r="N13" s="724">
        <v>0</v>
      </c>
      <c r="O13" s="724">
        <v>0</v>
      </c>
      <c r="P13" s="724">
        <v>0</v>
      </c>
      <c r="Q13" s="747">
        <f>AVERAGE(D13:P13)</f>
        <v>0</v>
      </c>
    </row>
    <row r="14" spans="1:17" ht="16.2" thickBot="1">
      <c r="A14" s="714">
        <f t="shared" si="0"/>
        <v>249</v>
      </c>
      <c r="B14" s="721" t="s">
        <v>609</v>
      </c>
      <c r="C14" s="711" t="str">
        <f>"Sum Lines "&amp;A9&amp;" - "&amp;A13</f>
        <v>Sum Lines 244 - 248</v>
      </c>
      <c r="D14" s="717">
        <f>SUM(D10:D13)</f>
        <v>922800000</v>
      </c>
      <c r="E14" s="717">
        <f>SUM(E10:E13)</f>
        <v>1032800000</v>
      </c>
      <c r="F14" s="717">
        <f t="shared" ref="F14:P14" si="1">SUM(F10:F13)</f>
        <v>1032800000</v>
      </c>
      <c r="G14" s="717">
        <f t="shared" si="1"/>
        <v>1032800000</v>
      </c>
      <c r="H14" s="717">
        <f t="shared" si="1"/>
        <v>1009400000</v>
      </c>
      <c r="I14" s="717">
        <f t="shared" si="1"/>
        <v>1009400000</v>
      </c>
      <c r="J14" s="717">
        <f t="shared" si="1"/>
        <v>1009400000</v>
      </c>
      <c r="K14" s="717">
        <f t="shared" si="1"/>
        <v>1009400000</v>
      </c>
      <c r="L14" s="717">
        <f t="shared" si="1"/>
        <v>1009400000</v>
      </c>
      <c r="M14" s="717">
        <f t="shared" si="1"/>
        <v>1119400000</v>
      </c>
      <c r="N14" s="717">
        <f t="shared" si="1"/>
        <v>1119400000</v>
      </c>
      <c r="O14" s="717">
        <f t="shared" si="1"/>
        <v>1119400000</v>
      </c>
      <c r="P14" s="717">
        <f t="shared" si="1"/>
        <v>1119400000</v>
      </c>
      <c r="Q14" s="725">
        <f>SUM(Q10:Q13)</f>
        <v>1041984615.3846154</v>
      </c>
    </row>
    <row r="15" spans="1:17" ht="16.2" thickBot="1">
      <c r="A15" s="714">
        <f t="shared" si="0"/>
        <v>250</v>
      </c>
      <c r="D15" s="717"/>
      <c r="E15" s="717"/>
      <c r="F15" s="717"/>
      <c r="G15" s="717"/>
      <c r="H15" s="717"/>
      <c r="I15" s="717"/>
      <c r="J15" s="717"/>
      <c r="K15" s="717"/>
      <c r="L15" s="717"/>
      <c r="M15" s="717"/>
      <c r="N15" s="717"/>
      <c r="O15" s="717"/>
      <c r="P15" s="717"/>
      <c r="Q15" s="718"/>
    </row>
    <row r="16" spans="1:17" ht="16.2" thickBot="1">
      <c r="A16" s="714">
        <f t="shared" si="0"/>
        <v>251</v>
      </c>
      <c r="B16" s="721" t="s">
        <v>869</v>
      </c>
      <c r="C16" s="711" t="s">
        <v>610</v>
      </c>
      <c r="D16" s="722">
        <v>100</v>
      </c>
      <c r="E16" s="722">
        <v>100</v>
      </c>
      <c r="F16" s="722">
        <v>100</v>
      </c>
      <c r="G16" s="722">
        <v>100</v>
      </c>
      <c r="H16" s="722">
        <v>100</v>
      </c>
      <c r="I16" s="722">
        <v>100</v>
      </c>
      <c r="J16" s="722">
        <v>100</v>
      </c>
      <c r="K16" s="722">
        <v>100</v>
      </c>
      <c r="L16" s="722">
        <v>100</v>
      </c>
      <c r="M16" s="722">
        <v>100</v>
      </c>
      <c r="N16" s="722">
        <v>100</v>
      </c>
      <c r="O16" s="722">
        <v>100</v>
      </c>
      <c r="P16" s="722">
        <v>100</v>
      </c>
      <c r="Q16" s="725">
        <f>AVERAGE(D16:P16)</f>
        <v>100</v>
      </c>
    </row>
    <row r="17" spans="1:17">
      <c r="A17" s="714">
        <f t="shared" si="0"/>
        <v>252</v>
      </c>
      <c r="D17" s="717"/>
      <c r="E17" s="717"/>
      <c r="F17" s="717"/>
      <c r="G17" s="717"/>
      <c r="H17" s="717"/>
      <c r="I17" s="717"/>
      <c r="J17" s="717"/>
      <c r="K17" s="717"/>
      <c r="L17" s="717"/>
      <c r="M17" s="717"/>
      <c r="N17" s="717"/>
      <c r="O17" s="717"/>
      <c r="P17" s="717"/>
      <c r="Q17" s="718"/>
    </row>
    <row r="18" spans="1:17">
      <c r="A18" s="1146">
        <f t="shared" si="0"/>
        <v>253</v>
      </c>
      <c r="B18" s="225" t="s">
        <v>611</v>
      </c>
      <c r="C18" s="711" t="s">
        <v>612</v>
      </c>
      <c r="D18" s="722">
        <v>932185805</v>
      </c>
      <c r="E18" s="722">
        <v>964231732</v>
      </c>
      <c r="F18" s="722">
        <v>977261695</v>
      </c>
      <c r="G18" s="722">
        <v>978463345</v>
      </c>
      <c r="H18" s="722">
        <v>1009503585</v>
      </c>
      <c r="I18" s="722">
        <v>1011108686</v>
      </c>
      <c r="J18" s="722">
        <v>1011093644</v>
      </c>
      <c r="K18" s="722">
        <v>1010708450</v>
      </c>
      <c r="L18" s="722">
        <v>1024215906</v>
      </c>
      <c r="M18" s="722">
        <v>1028961976</v>
      </c>
      <c r="N18" s="722">
        <v>1032208790</v>
      </c>
      <c r="O18" s="722">
        <v>1038506355</v>
      </c>
      <c r="P18" s="722">
        <v>1056409602</v>
      </c>
      <c r="Q18" s="747">
        <f>AVERAGE(D18:P18)</f>
        <v>1005758428.5384616</v>
      </c>
    </row>
    <row r="19" spans="1:17">
      <c r="A19" s="714">
        <f t="shared" si="0"/>
        <v>254</v>
      </c>
      <c r="B19" s="719" t="s">
        <v>613</v>
      </c>
      <c r="C19" s="711" t="s">
        <v>610</v>
      </c>
      <c r="D19" s="722">
        <f t="shared" ref="D19:I19" si="2">D16</f>
        <v>100</v>
      </c>
      <c r="E19" s="722">
        <f t="shared" si="2"/>
        <v>100</v>
      </c>
      <c r="F19" s="722">
        <f t="shared" si="2"/>
        <v>100</v>
      </c>
      <c r="G19" s="722">
        <f t="shared" si="2"/>
        <v>100</v>
      </c>
      <c r="H19" s="722">
        <f t="shared" si="2"/>
        <v>100</v>
      </c>
      <c r="I19" s="722">
        <f t="shared" si="2"/>
        <v>100</v>
      </c>
      <c r="J19" s="722">
        <f>J16</f>
        <v>100</v>
      </c>
      <c r="K19" s="722">
        <f t="shared" ref="K19:P19" si="3">K16</f>
        <v>100</v>
      </c>
      <c r="L19" s="722">
        <f t="shared" si="3"/>
        <v>100</v>
      </c>
      <c r="M19" s="722">
        <f t="shared" si="3"/>
        <v>100</v>
      </c>
      <c r="N19" s="722">
        <f t="shared" si="3"/>
        <v>100</v>
      </c>
      <c r="O19" s="722">
        <f t="shared" si="3"/>
        <v>100</v>
      </c>
      <c r="P19" s="722">
        <f t="shared" si="3"/>
        <v>100</v>
      </c>
      <c r="Q19" s="747">
        <f>AVERAGE(D19:P19)</f>
        <v>100</v>
      </c>
    </row>
    <row r="20" spans="1:17">
      <c r="A20" s="714">
        <f t="shared" si="0"/>
        <v>255</v>
      </c>
      <c r="B20" s="726" t="s">
        <v>614</v>
      </c>
      <c r="C20" s="711" t="s">
        <v>615</v>
      </c>
      <c r="D20" s="722">
        <v>18651</v>
      </c>
      <c r="E20" s="722">
        <f>18651+1312</f>
        <v>19963</v>
      </c>
      <c r="F20" s="722">
        <f t="shared" ref="F20:O20" si="4">+E20+1312</f>
        <v>21275</v>
      </c>
      <c r="G20" s="722">
        <f t="shared" si="4"/>
        <v>22587</v>
      </c>
      <c r="H20" s="722">
        <f t="shared" si="4"/>
        <v>23899</v>
      </c>
      <c r="I20" s="722">
        <f t="shared" si="4"/>
        <v>25211</v>
      </c>
      <c r="J20" s="722">
        <f t="shared" si="4"/>
        <v>26523</v>
      </c>
      <c r="K20" s="722">
        <f t="shared" si="4"/>
        <v>27835</v>
      </c>
      <c r="L20" s="722">
        <f t="shared" si="4"/>
        <v>29147</v>
      </c>
      <c r="M20" s="722">
        <f t="shared" si="4"/>
        <v>30459</v>
      </c>
      <c r="N20" s="722">
        <f t="shared" si="4"/>
        <v>31771</v>
      </c>
      <c r="O20" s="722">
        <f t="shared" si="4"/>
        <v>33083</v>
      </c>
      <c r="P20" s="722">
        <v>166405</v>
      </c>
      <c r="Q20" s="747">
        <f>AVERAGE(D20:P20)</f>
        <v>36677.615384615383</v>
      </c>
    </row>
    <row r="21" spans="1:17" ht="31.8" thickBot="1">
      <c r="A21" s="714">
        <f t="shared" si="0"/>
        <v>256</v>
      </c>
      <c r="B21" s="726" t="s">
        <v>616</v>
      </c>
      <c r="C21" s="711" t="s">
        <v>617</v>
      </c>
      <c r="D21" s="724">
        <v>0</v>
      </c>
      <c r="E21" s="724">
        <v>0</v>
      </c>
      <c r="F21" s="724">
        <v>0</v>
      </c>
      <c r="G21" s="724">
        <v>0</v>
      </c>
      <c r="H21" s="724">
        <v>0</v>
      </c>
      <c r="I21" s="724">
        <v>0</v>
      </c>
      <c r="J21" s="724">
        <v>0</v>
      </c>
      <c r="K21" s="724">
        <v>0</v>
      </c>
      <c r="L21" s="724">
        <v>0</v>
      </c>
      <c r="M21" s="724">
        <v>0</v>
      </c>
      <c r="N21" s="724">
        <v>0</v>
      </c>
      <c r="O21" s="724">
        <v>0</v>
      </c>
      <c r="P21" s="724">
        <v>0</v>
      </c>
      <c r="Q21" s="748">
        <f>AVERAGE(D21:P21)</f>
        <v>0</v>
      </c>
    </row>
    <row r="22" spans="1:17" ht="16.2" thickBot="1">
      <c r="A22" s="714">
        <f t="shared" si="0"/>
        <v>257</v>
      </c>
      <c r="B22" s="225" t="str">
        <f>"Adjusted Common Equity"</f>
        <v>Adjusted Common Equity</v>
      </c>
      <c r="C22" s="711" t="str">
        <f>"Ln "&amp; A18&amp;" - "&amp;A19&amp;" - "&amp;A20&amp;" - "&amp;A21</f>
        <v>Ln 253 - 254 - 255 - 256</v>
      </c>
      <c r="D22" s="717">
        <f>D18-D19-D20-D21</f>
        <v>932167054</v>
      </c>
      <c r="E22" s="717">
        <f t="shared" ref="E22:Q22" si="5">E18-E19-E20-E21</f>
        <v>964211669</v>
      </c>
      <c r="F22" s="717">
        <f t="shared" si="5"/>
        <v>977240320</v>
      </c>
      <c r="G22" s="717">
        <f t="shared" si="5"/>
        <v>978440658</v>
      </c>
      <c r="H22" s="717">
        <f t="shared" si="5"/>
        <v>1009479586</v>
      </c>
      <c r="I22" s="717">
        <f t="shared" si="5"/>
        <v>1011083375</v>
      </c>
      <c r="J22" s="717">
        <f t="shared" si="5"/>
        <v>1011067021</v>
      </c>
      <c r="K22" s="717">
        <f t="shared" si="5"/>
        <v>1010680515</v>
      </c>
      <c r="L22" s="717">
        <f t="shared" si="5"/>
        <v>1024186659</v>
      </c>
      <c r="M22" s="717">
        <f t="shared" si="5"/>
        <v>1028931417</v>
      </c>
      <c r="N22" s="717">
        <f t="shared" si="5"/>
        <v>1032176919</v>
      </c>
      <c r="O22" s="717">
        <f t="shared" si="5"/>
        <v>1038473172</v>
      </c>
      <c r="P22" s="717">
        <f t="shared" si="5"/>
        <v>1056243097</v>
      </c>
      <c r="Q22" s="725">
        <f t="shared" si="5"/>
        <v>1005721650.923077</v>
      </c>
    </row>
    <row r="23" spans="1:17">
      <c r="A23" s="714">
        <f t="shared" si="0"/>
        <v>258</v>
      </c>
      <c r="D23" s="717"/>
      <c r="E23" s="717"/>
      <c r="F23" s="717"/>
      <c r="G23" s="717"/>
      <c r="H23" s="717"/>
      <c r="I23" s="717"/>
      <c r="J23" s="717"/>
      <c r="K23" s="717"/>
      <c r="L23" s="717"/>
      <c r="M23" s="717"/>
      <c r="N23" s="717"/>
      <c r="O23" s="717"/>
      <c r="P23" s="717"/>
      <c r="Q23" s="718"/>
    </row>
    <row r="24" spans="1:17">
      <c r="A24" s="714">
        <f t="shared" si="0"/>
        <v>259</v>
      </c>
      <c r="B24" s="225" t="str">
        <f>"Total (Line "&amp;A14&amp;" plus Line "&amp;A16&amp;" plus Line "&amp;A22&amp;")"</f>
        <v>Total (Line 249 plus Line 251 plus Line 257)</v>
      </c>
      <c r="D24" s="717">
        <f>D14+D16+D22</f>
        <v>1854967154</v>
      </c>
      <c r="E24" s="717">
        <f t="shared" ref="E24:Q24" si="6">E14+E16+E22</f>
        <v>1997011769</v>
      </c>
      <c r="F24" s="717">
        <f t="shared" si="6"/>
        <v>2010040420</v>
      </c>
      <c r="G24" s="717">
        <f t="shared" si="6"/>
        <v>2011240758</v>
      </c>
      <c r="H24" s="717">
        <f t="shared" si="6"/>
        <v>2018879686</v>
      </c>
      <c r="I24" s="717">
        <f t="shared" si="6"/>
        <v>2020483475</v>
      </c>
      <c r="J24" s="717">
        <f t="shared" si="6"/>
        <v>2020467121</v>
      </c>
      <c r="K24" s="717">
        <f t="shared" si="6"/>
        <v>2020080615</v>
      </c>
      <c r="L24" s="717">
        <f t="shared" si="6"/>
        <v>2033586759</v>
      </c>
      <c r="M24" s="717">
        <f t="shared" si="6"/>
        <v>2148331517</v>
      </c>
      <c r="N24" s="717">
        <f t="shared" si="6"/>
        <v>2151577019</v>
      </c>
      <c r="O24" s="717">
        <f t="shared" si="6"/>
        <v>2157873272</v>
      </c>
      <c r="P24" s="717">
        <f t="shared" si="6"/>
        <v>2175643197</v>
      </c>
      <c r="Q24" s="718">
        <f t="shared" si="6"/>
        <v>2047706366.3076925</v>
      </c>
    </row>
    <row r="25" spans="1:17">
      <c r="A25" s="714">
        <f t="shared" si="0"/>
        <v>260</v>
      </c>
      <c r="D25" s="717"/>
      <c r="E25" s="717"/>
      <c r="F25" s="717"/>
      <c r="G25" s="717"/>
      <c r="H25" s="717"/>
      <c r="I25" s="717"/>
      <c r="J25" s="717"/>
      <c r="K25" s="717"/>
      <c r="L25" s="717"/>
      <c r="M25" s="717"/>
      <c r="N25" s="717"/>
      <c r="O25" s="717"/>
      <c r="P25" s="717"/>
      <c r="Q25" s="718"/>
    </row>
    <row r="26" spans="1:17">
      <c r="A26" s="714">
        <f t="shared" si="0"/>
        <v>261</v>
      </c>
      <c r="B26" s="225" t="s">
        <v>618</v>
      </c>
      <c r="D26" s="717"/>
      <c r="E26" s="749"/>
      <c r="F26" s="749"/>
      <c r="G26" s="749"/>
      <c r="H26" s="749"/>
      <c r="I26" s="749"/>
      <c r="J26" s="966"/>
      <c r="K26" s="749"/>
      <c r="L26" s="749"/>
      <c r="M26" s="749"/>
      <c r="N26" s="749"/>
      <c r="O26" s="749"/>
      <c r="P26" s="749"/>
      <c r="Q26" s="750"/>
    </row>
    <row r="27" spans="1:17">
      <c r="A27" s="714">
        <f t="shared" si="0"/>
        <v>262</v>
      </c>
      <c r="B27" s="726" t="s">
        <v>619</v>
      </c>
      <c r="C27" s="711" t="s">
        <v>620</v>
      </c>
      <c r="D27" s="723">
        <v>2291332</v>
      </c>
      <c r="E27" s="723">
        <v>2962732</v>
      </c>
      <c r="F27" s="723">
        <v>3149829</v>
      </c>
      <c r="G27" s="723">
        <v>3158183</v>
      </c>
      <c r="H27" s="723">
        <v>3116921</v>
      </c>
      <c r="I27" s="723">
        <v>3132544</v>
      </c>
      <c r="J27" s="723">
        <v>3146405</v>
      </c>
      <c r="K27" s="723">
        <v>3197965</v>
      </c>
      <c r="L27" s="723">
        <v>3167323</v>
      </c>
      <c r="M27" s="723">
        <v>3214231</v>
      </c>
      <c r="N27" s="723">
        <v>3749393</v>
      </c>
      <c r="O27" s="723">
        <v>3773379</v>
      </c>
      <c r="P27" s="723">
        <v>3814287</v>
      </c>
      <c r="Q27" s="718">
        <f>SUM(D27:P27)</f>
        <v>41874524</v>
      </c>
    </row>
    <row r="28" spans="1:17">
      <c r="A28" s="714">
        <f t="shared" si="0"/>
        <v>263</v>
      </c>
      <c r="B28" s="726" t="s">
        <v>621</v>
      </c>
      <c r="C28" s="711" t="s">
        <v>622</v>
      </c>
      <c r="D28" s="723">
        <v>30783</v>
      </c>
      <c r="E28" s="723">
        <v>30788</v>
      </c>
      <c r="F28" s="723">
        <v>39027</v>
      </c>
      <c r="G28" s="723">
        <v>39394</v>
      </c>
      <c r="H28" s="723">
        <v>37057</v>
      </c>
      <c r="I28" s="723">
        <v>37054</v>
      </c>
      <c r="J28" s="723">
        <v>37057</v>
      </c>
      <c r="K28" s="723">
        <v>37054</v>
      </c>
      <c r="L28" s="723">
        <v>37058</v>
      </c>
      <c r="M28" s="723">
        <v>37057</v>
      </c>
      <c r="N28" s="723">
        <v>41593</v>
      </c>
      <c r="O28" s="723">
        <v>41614</v>
      </c>
      <c r="P28" s="723">
        <v>41622</v>
      </c>
      <c r="Q28" s="718">
        <f>SUM(D28:P28)</f>
        <v>487158</v>
      </c>
    </row>
    <row r="29" spans="1:17">
      <c r="A29" s="714">
        <f t="shared" si="0"/>
        <v>264</v>
      </c>
      <c r="B29" s="726" t="s">
        <v>623</v>
      </c>
      <c r="C29" s="711" t="s">
        <v>624</v>
      </c>
      <c r="D29" s="723">
        <v>23549</v>
      </c>
      <c r="E29" s="723">
        <v>23545</v>
      </c>
      <c r="F29" s="723">
        <v>23549</v>
      </c>
      <c r="G29" s="723">
        <v>23800</v>
      </c>
      <c r="H29" s="723">
        <v>23802</v>
      </c>
      <c r="I29" s="723">
        <v>23800</v>
      </c>
      <c r="J29" s="723">
        <v>23802</v>
      </c>
      <c r="K29" s="723">
        <v>23800</v>
      </c>
      <c r="L29" s="723">
        <v>19174</v>
      </c>
      <c r="M29" s="723">
        <v>19174</v>
      </c>
      <c r="N29" s="723">
        <v>19174</v>
      </c>
      <c r="O29" s="723">
        <v>19174</v>
      </c>
      <c r="P29" s="723">
        <v>19174</v>
      </c>
      <c r="Q29" s="718">
        <f>SUM(D29:P29)</f>
        <v>285517</v>
      </c>
    </row>
    <row r="30" spans="1:17" ht="31.2">
      <c r="A30" s="714">
        <f t="shared" si="0"/>
        <v>265</v>
      </c>
      <c r="B30" s="726" t="s">
        <v>625</v>
      </c>
      <c r="C30" s="711" t="s">
        <v>626</v>
      </c>
      <c r="D30" s="723">
        <v>0</v>
      </c>
      <c r="E30" s="723">
        <v>0</v>
      </c>
      <c r="F30" s="723">
        <v>0</v>
      </c>
      <c r="G30" s="723">
        <v>0</v>
      </c>
      <c r="H30" s="723">
        <v>0</v>
      </c>
      <c r="I30" s="723">
        <v>0</v>
      </c>
      <c r="J30" s="723">
        <v>0</v>
      </c>
      <c r="K30" s="723">
        <v>0</v>
      </c>
      <c r="L30" s="723">
        <v>0</v>
      </c>
      <c r="M30" s="723">
        <v>0</v>
      </c>
      <c r="N30" s="723">
        <v>0</v>
      </c>
      <c r="O30" s="723">
        <v>0</v>
      </c>
      <c r="P30" s="723">
        <v>0</v>
      </c>
      <c r="Q30" s="718">
        <f>AVERAGE(D30:P30)</f>
        <v>0</v>
      </c>
    </row>
    <row r="31" spans="1:17">
      <c r="A31" s="714">
        <f t="shared" si="0"/>
        <v>266</v>
      </c>
      <c r="B31" s="751" t="s">
        <v>627</v>
      </c>
      <c r="C31" s="721" t="s">
        <v>628</v>
      </c>
      <c r="D31" s="723">
        <v>0</v>
      </c>
      <c r="E31" s="723">
        <v>0</v>
      </c>
      <c r="F31" s="723">
        <v>0</v>
      </c>
      <c r="G31" s="723">
        <v>0</v>
      </c>
      <c r="H31" s="723">
        <v>0</v>
      </c>
      <c r="I31" s="723">
        <v>0</v>
      </c>
      <c r="J31" s="723">
        <v>0</v>
      </c>
      <c r="K31" s="723">
        <v>0</v>
      </c>
      <c r="L31" s="723">
        <v>0</v>
      </c>
      <c r="M31" s="723">
        <v>0</v>
      </c>
      <c r="N31" s="723">
        <v>0</v>
      </c>
      <c r="O31" s="723">
        <v>0</v>
      </c>
      <c r="P31" s="723">
        <v>0</v>
      </c>
      <c r="Q31" s="718">
        <f>AVERAGE(D31:P31)</f>
        <v>0</v>
      </c>
    </row>
    <row r="32" spans="1:17" ht="16.2" thickBot="1">
      <c r="A32" s="714">
        <f t="shared" si="0"/>
        <v>267</v>
      </c>
      <c r="B32" s="751" t="s">
        <v>629</v>
      </c>
      <c r="C32" s="721" t="s">
        <v>630</v>
      </c>
      <c r="D32" s="752">
        <v>0</v>
      </c>
      <c r="E32" s="752">
        <v>0</v>
      </c>
      <c r="F32" s="752">
        <v>0</v>
      </c>
      <c r="G32" s="752">
        <v>0</v>
      </c>
      <c r="H32" s="752">
        <v>0</v>
      </c>
      <c r="I32" s="752">
        <v>0</v>
      </c>
      <c r="J32" s="752">
        <v>0</v>
      </c>
      <c r="K32" s="752">
        <v>0</v>
      </c>
      <c r="L32" s="752">
        <v>0</v>
      </c>
      <c r="M32" s="752">
        <v>0</v>
      </c>
      <c r="N32" s="752">
        <v>0</v>
      </c>
      <c r="O32" s="752">
        <v>0</v>
      </c>
      <c r="P32" s="752">
        <v>0</v>
      </c>
      <c r="Q32" s="718">
        <f>AVERAGE(D32:P32)</f>
        <v>0</v>
      </c>
    </row>
    <row r="33" spans="1:17" ht="16.2" thickBot="1">
      <c r="A33" s="714">
        <f>A32+1</f>
        <v>268</v>
      </c>
      <c r="B33" s="726" t="s">
        <v>631</v>
      </c>
      <c r="C33" s="711" t="str">
        <f>"Sum Lines "&amp;A27&amp;" - "&amp;A32</f>
        <v>Sum Lines 262 - 267</v>
      </c>
      <c r="D33" s="717">
        <f t="shared" ref="D33:I33" si="7">SUM(D27:D32)</f>
        <v>2345664</v>
      </c>
      <c r="E33" s="717">
        <f t="shared" si="7"/>
        <v>3017065</v>
      </c>
      <c r="F33" s="717">
        <f t="shared" si="7"/>
        <v>3212405</v>
      </c>
      <c r="G33" s="717">
        <f t="shared" si="7"/>
        <v>3221377</v>
      </c>
      <c r="H33" s="717">
        <f t="shared" si="7"/>
        <v>3177780</v>
      </c>
      <c r="I33" s="717">
        <f t="shared" si="7"/>
        <v>3193398</v>
      </c>
      <c r="J33" s="717">
        <f t="shared" ref="J33:Q33" si="8">SUM(J27:J32)</f>
        <v>3207264</v>
      </c>
      <c r="K33" s="717">
        <f t="shared" si="8"/>
        <v>3258819</v>
      </c>
      <c r="L33" s="717">
        <f t="shared" si="8"/>
        <v>3223555</v>
      </c>
      <c r="M33" s="717">
        <f t="shared" si="8"/>
        <v>3270462</v>
      </c>
      <c r="N33" s="717">
        <f t="shared" si="8"/>
        <v>3810160</v>
      </c>
      <c r="O33" s="717">
        <f t="shared" si="8"/>
        <v>3834167</v>
      </c>
      <c r="P33" s="717">
        <f t="shared" si="8"/>
        <v>3875083</v>
      </c>
      <c r="Q33" s="725">
        <f t="shared" si="8"/>
        <v>42647199</v>
      </c>
    </row>
    <row r="34" spans="1:17" ht="16.2" thickBot="1">
      <c r="A34" s="714">
        <f t="shared" si="0"/>
        <v>269</v>
      </c>
      <c r="B34" s="719"/>
      <c r="D34" s="717"/>
      <c r="E34" s="717"/>
      <c r="F34" s="717"/>
      <c r="G34" s="717"/>
      <c r="H34" s="717"/>
      <c r="I34" s="717"/>
      <c r="J34" s="717"/>
      <c r="K34" s="717"/>
      <c r="L34" s="717"/>
      <c r="M34" s="717"/>
      <c r="N34" s="717"/>
      <c r="O34" s="717"/>
      <c r="P34" s="717"/>
      <c r="Q34" s="718"/>
    </row>
    <row r="35" spans="1:17" ht="16.2" thickBot="1">
      <c r="A35" s="714">
        <f t="shared" si="0"/>
        <v>270</v>
      </c>
      <c r="B35" s="948" t="str">
        <f>"Average Cost of Debt (Line "&amp;A33&amp;" / Line "&amp;A14&amp;")"</f>
        <v>Average Cost of Debt (Line 268 / Line 249)</v>
      </c>
      <c r="D35" s="969"/>
      <c r="E35" s="969"/>
      <c r="F35" s="969"/>
      <c r="G35" s="969"/>
      <c r="H35" s="969"/>
      <c r="I35" s="969"/>
      <c r="J35" s="969"/>
      <c r="K35" s="969"/>
      <c r="L35" s="969"/>
      <c r="M35" s="969"/>
      <c r="N35" s="969"/>
      <c r="O35" s="969"/>
      <c r="P35" s="969"/>
      <c r="Q35" s="1122">
        <f>Q33/Q14</f>
        <v>4.0928818305304961E-2</v>
      </c>
    </row>
    <row r="36" spans="1:17">
      <c r="A36" s="714">
        <f t="shared" si="0"/>
        <v>271</v>
      </c>
      <c r="B36" s="719"/>
      <c r="D36" s="717"/>
      <c r="E36" s="717"/>
      <c r="F36" s="717"/>
      <c r="G36" s="717"/>
      <c r="H36" s="717"/>
      <c r="I36" s="717"/>
      <c r="J36" s="717"/>
      <c r="K36" s="717"/>
      <c r="L36" s="717"/>
      <c r="M36" s="717"/>
      <c r="N36" s="717"/>
      <c r="O36" s="717"/>
      <c r="P36" s="717"/>
      <c r="Q36" s="718"/>
    </row>
    <row r="37" spans="1:17">
      <c r="A37" s="714">
        <f t="shared" si="0"/>
        <v>272</v>
      </c>
      <c r="B37" s="225" t="s">
        <v>318</v>
      </c>
      <c r="D37" s="717"/>
      <c r="E37" s="717"/>
      <c r="F37" s="717"/>
      <c r="G37" s="717"/>
      <c r="H37" s="717"/>
      <c r="I37" s="717"/>
      <c r="J37" s="717"/>
      <c r="K37" s="717"/>
      <c r="L37" s="717"/>
      <c r="M37" s="717"/>
      <c r="N37" s="717"/>
      <c r="O37" s="717"/>
      <c r="P37" s="717"/>
      <c r="Q37" s="718"/>
    </row>
    <row r="38" spans="1:17">
      <c r="A38" s="714">
        <f t="shared" si="0"/>
        <v>273</v>
      </c>
      <c r="B38" s="719" t="s">
        <v>632</v>
      </c>
      <c r="C38" s="711" t="s">
        <v>633</v>
      </c>
      <c r="D38" s="722">
        <v>0</v>
      </c>
      <c r="E38" s="722">
        <v>0</v>
      </c>
      <c r="F38" s="722">
        <v>0</v>
      </c>
      <c r="G38" s="722">
        <v>0</v>
      </c>
      <c r="H38" s="722">
        <v>0</v>
      </c>
      <c r="I38" s="722">
        <v>0</v>
      </c>
      <c r="J38" s="722">
        <v>0</v>
      </c>
      <c r="K38" s="722">
        <v>0</v>
      </c>
      <c r="L38" s="722">
        <v>0</v>
      </c>
      <c r="M38" s="722">
        <v>0</v>
      </c>
      <c r="N38" s="722">
        <v>0</v>
      </c>
      <c r="O38" s="722">
        <v>0</v>
      </c>
      <c r="P38" s="722">
        <v>0</v>
      </c>
      <c r="Q38" s="718">
        <f>AVERAGE(D38:P38)</f>
        <v>0</v>
      </c>
    </row>
    <row r="39" spans="1:17">
      <c r="A39" s="714">
        <f t="shared" si="0"/>
        <v>274</v>
      </c>
      <c r="B39" s="719"/>
      <c r="D39" s="717"/>
      <c r="E39" s="717"/>
      <c r="F39" s="717"/>
      <c r="G39" s="717"/>
      <c r="H39" s="717"/>
      <c r="I39" s="717"/>
      <c r="J39" s="717"/>
      <c r="K39" s="717"/>
      <c r="L39" s="717"/>
      <c r="M39" s="717"/>
      <c r="N39" s="717"/>
      <c r="O39" s="717"/>
      <c r="P39" s="717"/>
      <c r="Q39" s="718"/>
    </row>
    <row r="40" spans="1:17">
      <c r="A40" s="714">
        <f t="shared" si="0"/>
        <v>275</v>
      </c>
      <c r="B40" s="719" t="str">
        <f>"Average Cost of Preferred Stock (Line "&amp;A38&amp;" / Line "&amp;A16&amp;")"</f>
        <v>Average Cost of Preferred Stock (Line 273 / Line 251)</v>
      </c>
      <c r="D40" s="717">
        <f t="shared" ref="D40:O40" si="9">D38/D16</f>
        <v>0</v>
      </c>
      <c r="E40" s="717">
        <f t="shared" si="9"/>
        <v>0</v>
      </c>
      <c r="F40" s="717">
        <f t="shared" si="9"/>
        <v>0</v>
      </c>
      <c r="G40" s="717">
        <f t="shared" si="9"/>
        <v>0</v>
      </c>
      <c r="H40" s="717">
        <f t="shared" si="9"/>
        <v>0</v>
      </c>
      <c r="I40" s="717">
        <f t="shared" si="9"/>
        <v>0</v>
      </c>
      <c r="J40" s="717">
        <f t="shared" si="9"/>
        <v>0</v>
      </c>
      <c r="K40" s="717">
        <f t="shared" si="9"/>
        <v>0</v>
      </c>
      <c r="L40" s="717">
        <f t="shared" si="9"/>
        <v>0</v>
      </c>
      <c r="M40" s="717">
        <f t="shared" si="9"/>
        <v>0</v>
      </c>
      <c r="N40" s="717">
        <f t="shared" si="9"/>
        <v>0</v>
      </c>
      <c r="O40" s="717">
        <f t="shared" si="9"/>
        <v>0</v>
      </c>
      <c r="P40" s="717">
        <f>P38/P16</f>
        <v>0</v>
      </c>
      <c r="Q40" s="718">
        <f>AVERAGE(D40:P40)</f>
        <v>0</v>
      </c>
    </row>
    <row r="41" spans="1:17">
      <c r="A41" s="714"/>
      <c r="B41" s="719"/>
      <c r="D41" s="717"/>
      <c r="E41" s="717"/>
      <c r="F41" s="717"/>
      <c r="G41" s="717"/>
      <c r="H41" s="717"/>
      <c r="I41" s="717"/>
      <c r="J41" s="717"/>
      <c r="K41" s="717"/>
      <c r="L41" s="717"/>
      <c r="M41" s="717"/>
      <c r="N41" s="717"/>
      <c r="O41" s="717"/>
      <c r="P41" s="717"/>
      <c r="Q41" s="718"/>
    </row>
    <row r="42" spans="1:17">
      <c r="A42" s="714"/>
      <c r="B42" s="1157"/>
      <c r="C42" s="1157"/>
      <c r="D42" s="1157"/>
      <c r="E42" s="1157"/>
      <c r="F42" s="1157"/>
      <c r="G42" s="1157"/>
      <c r="H42" s="717"/>
      <c r="I42" s="717"/>
      <c r="J42" s="717"/>
      <c r="K42" s="717"/>
      <c r="L42" s="717"/>
      <c r="M42" s="717"/>
      <c r="N42" s="717"/>
      <c r="O42" s="717"/>
      <c r="P42" s="717"/>
      <c r="Q42" s="718"/>
    </row>
    <row r="43" spans="1:17">
      <c r="A43" s="714"/>
      <c r="B43" s="225" t="s">
        <v>634</v>
      </c>
      <c r="D43" s="717"/>
      <c r="E43" s="717"/>
      <c r="F43" s="717"/>
      <c r="G43" s="717"/>
      <c r="H43" s="717"/>
      <c r="I43" s="717"/>
      <c r="J43" s="717"/>
      <c r="K43" s="717"/>
      <c r="L43" s="717"/>
      <c r="M43" s="717"/>
      <c r="N43" s="717"/>
      <c r="O43" s="717"/>
      <c r="P43" s="717"/>
      <c r="Q43" s="718"/>
    </row>
    <row r="44" spans="1:17" ht="16.2" thickBot="1">
      <c r="A44" s="727"/>
      <c r="B44" s="728"/>
      <c r="C44" s="728"/>
      <c r="D44" s="729"/>
      <c r="E44" s="729"/>
      <c r="F44" s="729"/>
      <c r="G44" s="729"/>
      <c r="H44" s="729"/>
      <c r="I44" s="729"/>
      <c r="J44" s="729"/>
      <c r="K44" s="729"/>
      <c r="L44" s="729"/>
      <c r="M44" s="729"/>
      <c r="N44" s="729"/>
      <c r="O44" s="729"/>
      <c r="P44" s="729"/>
      <c r="Q44" s="730"/>
    </row>
  </sheetData>
  <mergeCells count="5">
    <mergeCell ref="A3:F3"/>
    <mergeCell ref="H3:M3"/>
    <mergeCell ref="B42:G42"/>
    <mergeCell ref="E1:J1"/>
    <mergeCell ref="E2:J2"/>
  </mergeCells>
  <pageMargins left="0.7" right="0.7" top="0.75" bottom="0.75" header="0.3" footer="0.3"/>
  <pageSetup scale="3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Q136"/>
  <sheetViews>
    <sheetView zoomScaleNormal="100" zoomScaleSheetLayoutView="73" zoomScalePageLayoutView="70" workbookViewId="0">
      <selection activeCell="C4" sqref="C4"/>
    </sheetView>
  </sheetViews>
  <sheetFormatPr defaultRowHeight="15"/>
  <cols>
    <col min="1" max="1" width="8.81640625" style="846" customWidth="1"/>
    <col min="2" max="2" width="23.54296875" customWidth="1"/>
    <col min="3" max="3" width="43.81640625" customWidth="1"/>
    <col min="4" max="4" width="14.453125" bestFit="1" customWidth="1"/>
    <col min="5" max="5" width="10.81640625" customWidth="1"/>
    <col min="6" max="6" width="11.08984375" customWidth="1"/>
    <col min="7" max="7" width="10.7265625" customWidth="1"/>
    <col min="8" max="8" width="11.81640625" customWidth="1"/>
    <col min="9" max="9" width="13.453125" bestFit="1" customWidth="1"/>
    <col min="10" max="10" width="17.08984375" customWidth="1"/>
    <col min="11" max="11" width="17" customWidth="1"/>
    <col min="12" max="12" width="23.453125" customWidth="1"/>
    <col min="13" max="13" width="13.08984375" customWidth="1"/>
    <col min="14" max="14" width="12.453125" customWidth="1"/>
    <col min="15" max="15" width="16.08984375" customWidth="1"/>
    <col min="16" max="17" width="14.7265625" customWidth="1"/>
  </cols>
  <sheetData>
    <row r="1" spans="1:11" ht="15.6">
      <c r="A1" s="840"/>
      <c r="B1" s="485" t="s">
        <v>396</v>
      </c>
      <c r="C1" s="486"/>
      <c r="D1" s="486"/>
      <c r="E1" s="486"/>
      <c r="F1" s="487" t="s">
        <v>355</v>
      </c>
      <c r="G1" s="486"/>
      <c r="H1" s="486"/>
      <c r="I1" s="1085" t="s">
        <v>984</v>
      </c>
      <c r="J1" s="1086"/>
      <c r="K1" s="584"/>
    </row>
    <row r="2" spans="1:11">
      <c r="A2" s="840"/>
      <c r="B2" s="486" t="s">
        <v>430</v>
      </c>
      <c r="C2" s="486"/>
      <c r="D2" s="488" t="s">
        <v>28</v>
      </c>
      <c r="E2" s="488"/>
      <c r="F2" s="489" t="s">
        <v>856</v>
      </c>
      <c r="G2" s="488"/>
      <c r="H2" s="488"/>
      <c r="I2" s="488"/>
      <c r="J2" s="486"/>
    </row>
    <row r="3" spans="1:11">
      <c r="A3" s="840"/>
      <c r="B3" s="490"/>
      <c r="C3" s="490"/>
      <c r="D3" s="490"/>
      <c r="E3" s="490"/>
      <c r="F3" s="490"/>
      <c r="G3" s="490"/>
      <c r="H3" s="490"/>
      <c r="I3" s="490"/>
      <c r="J3" s="490"/>
    </row>
    <row r="4" spans="1:11">
      <c r="A4" s="840"/>
      <c r="B4" s="490" t="s">
        <v>897</v>
      </c>
      <c r="C4" s="490"/>
      <c r="D4" s="490"/>
      <c r="E4" s="490"/>
      <c r="F4" s="490"/>
      <c r="G4" s="490"/>
      <c r="H4" s="490"/>
      <c r="I4" s="490"/>
      <c r="J4" s="490"/>
    </row>
    <row r="5" spans="1:11">
      <c r="A5" s="840"/>
      <c r="B5" s="490" t="s">
        <v>848</v>
      </c>
      <c r="C5" s="490"/>
      <c r="D5" s="490"/>
      <c r="E5" s="490"/>
      <c r="F5" s="490"/>
      <c r="G5" s="490"/>
      <c r="H5" s="490"/>
      <c r="I5" s="490"/>
      <c r="J5" s="490"/>
    </row>
    <row r="6" spans="1:11">
      <c r="A6" s="840"/>
      <c r="B6" s="490" t="s">
        <v>898</v>
      </c>
      <c r="C6" s="490"/>
      <c r="D6" s="490"/>
      <c r="E6" s="490"/>
      <c r="F6" s="490"/>
      <c r="G6" s="490"/>
      <c r="H6" s="490"/>
      <c r="I6" s="490"/>
      <c r="J6" s="490"/>
    </row>
    <row r="7" spans="1:11">
      <c r="A7" s="840"/>
      <c r="B7" s="490"/>
      <c r="C7" s="490"/>
      <c r="D7" s="490"/>
      <c r="E7" s="490"/>
      <c r="F7" s="490"/>
      <c r="G7" s="490"/>
      <c r="H7" s="490"/>
      <c r="I7" s="490"/>
      <c r="J7" s="490"/>
    </row>
    <row r="8" spans="1:11" ht="15.6">
      <c r="A8" s="1149" t="s">
        <v>988</v>
      </c>
      <c r="B8" s="490"/>
      <c r="C8" s="490"/>
      <c r="D8" s="490"/>
      <c r="E8" s="490"/>
      <c r="F8" s="491" t="str">
        <f>+'1 - Revenue Credits'!A2</f>
        <v>HURLEY AVENUE PROJECT - SYSTEM DELIVERABILITY UPGRADE</v>
      </c>
      <c r="G8" s="490"/>
      <c r="H8" s="490"/>
      <c r="I8" s="490"/>
      <c r="J8" s="490"/>
    </row>
    <row r="9" spans="1:11" ht="15.6">
      <c r="A9" s="851" t="s">
        <v>419</v>
      </c>
      <c r="B9" s="490"/>
      <c r="C9" s="490"/>
      <c r="D9" s="490"/>
      <c r="E9" s="490"/>
      <c r="F9" s="491"/>
      <c r="G9" s="490"/>
      <c r="H9" s="490"/>
      <c r="I9" s="490"/>
      <c r="J9" s="490"/>
    </row>
    <row r="10" spans="1:11" ht="15.6">
      <c r="A10" s="840"/>
      <c r="B10" s="484"/>
      <c r="C10" s="484"/>
      <c r="D10" s="484"/>
      <c r="E10" s="484"/>
      <c r="F10" s="837" t="s">
        <v>42</v>
      </c>
      <c r="G10" s="484"/>
      <c r="H10" s="484"/>
      <c r="I10" s="484"/>
      <c r="J10" s="836" t="s">
        <v>675</v>
      </c>
    </row>
    <row r="11" spans="1:11" ht="15.6">
      <c r="A11" s="840">
        <v>1</v>
      </c>
      <c r="B11" s="484" t="s">
        <v>356</v>
      </c>
      <c r="C11" s="484"/>
      <c r="D11" s="484"/>
      <c r="E11" s="484"/>
      <c r="F11" s="484"/>
      <c r="G11" s="484"/>
      <c r="H11" s="484"/>
      <c r="I11" s="484"/>
      <c r="J11" s="512">
        <f>+'Appendix A'!J116</f>
        <v>8476994.8913737684</v>
      </c>
    </row>
    <row r="12" spans="1:11" ht="15.6">
      <c r="A12" s="840"/>
      <c r="B12" s="484"/>
      <c r="C12" s="484"/>
      <c r="D12" s="484"/>
      <c r="E12" s="484"/>
      <c r="F12" s="484"/>
      <c r="G12" s="484"/>
      <c r="H12" s="484"/>
      <c r="I12" s="484"/>
      <c r="J12" s="512"/>
    </row>
    <row r="13" spans="1:11" ht="15.6">
      <c r="A13" s="841">
        <f>+A11+1</f>
        <v>2</v>
      </c>
      <c r="B13" s="494" t="s">
        <v>676</v>
      </c>
      <c r="C13" s="495"/>
      <c r="D13" s="495"/>
      <c r="E13" s="495"/>
      <c r="F13" s="495"/>
      <c r="G13" s="495"/>
      <c r="H13" s="495"/>
      <c r="I13" s="497"/>
      <c r="J13" s="512"/>
    </row>
    <row r="14" spans="1:11" ht="15.6">
      <c r="A14" s="841"/>
      <c r="B14" s="496"/>
      <c r="C14" s="495"/>
      <c r="D14" s="495"/>
      <c r="E14" s="495"/>
      <c r="F14" s="495"/>
      <c r="G14" s="497"/>
      <c r="H14" s="495"/>
      <c r="I14" s="495"/>
      <c r="J14" s="512"/>
    </row>
    <row r="15" spans="1:11" ht="16.2" thickBot="1">
      <c r="A15" s="841"/>
      <c r="B15" s="496"/>
      <c r="C15" s="495"/>
      <c r="D15" s="498" t="s">
        <v>82</v>
      </c>
      <c r="E15" s="498" t="s">
        <v>91</v>
      </c>
      <c r="F15" s="495"/>
      <c r="G15" s="498" t="s">
        <v>90</v>
      </c>
      <c r="H15" s="495"/>
      <c r="I15" s="498" t="s">
        <v>92</v>
      </c>
      <c r="J15" s="512"/>
    </row>
    <row r="16" spans="1:11" ht="15.6">
      <c r="A16" s="841">
        <f>+A13+1</f>
        <v>3</v>
      </c>
      <c r="B16" s="494" t="s">
        <v>368</v>
      </c>
      <c r="C16" s="499" t="s">
        <v>785</v>
      </c>
      <c r="D16" s="967">
        <f>'Appendix A'!F250</f>
        <v>1041984615.3846154</v>
      </c>
      <c r="E16" s="812">
        <f>+'Appendix A'!G250</f>
        <v>0.50885450791631948</v>
      </c>
      <c r="F16" s="1083"/>
      <c r="G16" s="811">
        <f>+'Appendix A'!H250</f>
        <v>4.0928818305304961E-2</v>
      </c>
      <c r="H16" s="1083"/>
      <c r="I16" s="812">
        <f>E16*G16</f>
        <v>2.0826813698342404E-2</v>
      </c>
      <c r="J16" s="512"/>
    </row>
    <row r="17" spans="1:10" ht="15.6">
      <c r="A17" s="841">
        <f>+A16+1</f>
        <v>4</v>
      </c>
      <c r="B17" s="494" t="s">
        <v>369</v>
      </c>
      <c r="C17" s="499" t="s">
        <v>786</v>
      </c>
      <c r="D17" s="967">
        <f>'Appendix A'!F251</f>
        <v>100</v>
      </c>
      <c r="E17" s="812">
        <f>+'Appendix A'!G251</f>
        <v>4.8835126776655144E-8</v>
      </c>
      <c r="F17" s="1083"/>
      <c r="G17" s="811">
        <f>+'Appendix A'!H251</f>
        <v>0</v>
      </c>
      <c r="H17" s="1083"/>
      <c r="I17" s="812">
        <f>E17*G17</f>
        <v>0</v>
      </c>
      <c r="J17" s="512"/>
    </row>
    <row r="18" spans="1:10" ht="16.2" thickBot="1">
      <c r="A18" s="841">
        <f>+A17+1</f>
        <v>5</v>
      </c>
      <c r="B18" s="494" t="s">
        <v>429</v>
      </c>
      <c r="C18" s="499" t="s">
        <v>784</v>
      </c>
      <c r="D18" s="968">
        <f>'Appendix A'!F252</f>
        <v>1005721650.923077</v>
      </c>
      <c r="E18" s="812">
        <f>+'Appendix A'!G252</f>
        <v>0.49114544324855375</v>
      </c>
      <c r="F18" s="1083"/>
      <c r="G18" s="811">
        <f>+'Appendix A'!H252</f>
        <v>9.9000000000000005E-2</v>
      </c>
      <c r="H18" s="1083"/>
      <c r="I18" s="813">
        <f>E18*G18</f>
        <v>4.862339888160682E-2</v>
      </c>
      <c r="J18" s="512"/>
    </row>
    <row r="19" spans="1:10" ht="15.6">
      <c r="A19" s="841">
        <f>+A18+1</f>
        <v>6</v>
      </c>
      <c r="B19" s="496" t="s">
        <v>393</v>
      </c>
      <c r="C19" s="499"/>
      <c r="D19" s="502">
        <f>SUM(D16:D18)</f>
        <v>2047706366.3076925</v>
      </c>
      <c r="E19" s="1083" t="s">
        <v>28</v>
      </c>
      <c r="F19" s="1083"/>
      <c r="G19" s="1083"/>
      <c r="H19" s="1083"/>
      <c r="I19" s="812">
        <f>SUM(I16:I18)</f>
        <v>6.9450212579949225E-2</v>
      </c>
      <c r="J19" s="512"/>
    </row>
    <row r="20" spans="1:10" ht="15.6">
      <c r="A20" s="841">
        <f t="shared" ref="A20:A32" si="0">+A19+1</f>
        <v>7</v>
      </c>
      <c r="B20" s="496" t="s">
        <v>420</v>
      </c>
      <c r="C20" s="499"/>
      <c r="D20" s="502"/>
      <c r="E20" s="495"/>
      <c r="F20" s="495"/>
      <c r="G20" s="495"/>
      <c r="H20" s="495"/>
      <c r="I20" s="500"/>
      <c r="J20" s="512">
        <f>+I19*J11</f>
        <v>588729.09724505176</v>
      </c>
    </row>
    <row r="21" spans="1:10" ht="15.6">
      <c r="A21" s="841"/>
      <c r="B21" s="484"/>
      <c r="C21" s="484"/>
      <c r="D21" s="484"/>
      <c r="E21" s="484"/>
      <c r="F21" s="484"/>
      <c r="G21" s="484"/>
      <c r="H21" s="484"/>
      <c r="I21" s="484"/>
      <c r="J21" s="512"/>
    </row>
    <row r="22" spans="1:10" ht="15.6">
      <c r="A22" s="841">
        <f>+A20+1</f>
        <v>8</v>
      </c>
      <c r="B22" s="496" t="s">
        <v>74</v>
      </c>
      <c r="C22" s="495"/>
      <c r="D22" s="495"/>
      <c r="E22" s="495"/>
      <c r="F22" s="499"/>
      <c r="G22" s="503"/>
      <c r="H22" s="495"/>
      <c r="I22" s="499"/>
      <c r="J22" s="512"/>
    </row>
    <row r="23" spans="1:10" ht="15.6">
      <c r="A23" s="841">
        <f t="shared" si="0"/>
        <v>9</v>
      </c>
      <c r="B23" s="44" t="s">
        <v>806</v>
      </c>
      <c r="C23" s="8"/>
      <c r="D23" s="1078">
        <f>+'Appendix A'!E$171</f>
        <v>0.26134999999999997</v>
      </c>
      <c r="E23" s="495"/>
      <c r="F23" s="499"/>
      <c r="G23" s="503"/>
      <c r="H23" s="495"/>
      <c r="I23" s="499"/>
      <c r="J23" s="512"/>
    </row>
    <row r="24" spans="1:10" ht="15.6">
      <c r="A24" s="841">
        <f t="shared" si="0"/>
        <v>10</v>
      </c>
      <c r="B24" s="1" t="s">
        <v>75</v>
      </c>
      <c r="C24" s="8"/>
      <c r="D24" s="1078">
        <f>IF('4 - Incentives'!D23&gt;0,('4 - Incentives'!D23/(1-'4 - Incentives'!D23))*(1-'4 - Incentives'!I16/'4 - Incentives'!I19),0)</f>
        <v>0.24771684300541777</v>
      </c>
      <c r="E24" s="495"/>
      <c r="F24" s="499"/>
      <c r="G24" s="503"/>
      <c r="H24" s="495"/>
      <c r="I24" s="499"/>
      <c r="J24" s="512"/>
    </row>
    <row r="25" spans="1:10" ht="15.6">
      <c r="A25" s="841">
        <f t="shared" si="0"/>
        <v>11</v>
      </c>
      <c r="B25" s="7" t="str">
        <f>"       where WCLTD=(line "&amp;A16&amp;") and R= (line "&amp;A19&amp;")"</f>
        <v xml:space="preserve">       where WCLTD=(line 3) and R= (line 6)</v>
      </c>
      <c r="C25" s="8"/>
      <c r="D25" s="1079"/>
      <c r="E25" s="495"/>
      <c r="F25" s="499"/>
      <c r="G25" s="503"/>
      <c r="H25" s="495"/>
      <c r="I25" s="499"/>
      <c r="J25" s="512"/>
    </row>
    <row r="26" spans="1:10" ht="15.6">
      <c r="A26" s="841">
        <f t="shared" si="0"/>
        <v>12</v>
      </c>
      <c r="B26" s="7" t="str">
        <f>"       and FIT, SIT &amp; p are as given in footnote "&amp;'Appendix A'!$A$303&amp;" on Appendix A."</f>
        <v xml:space="preserve">       and FIT, SIT &amp; p are as given in footnote F on Appendix A.</v>
      </c>
      <c r="C26" s="8"/>
      <c r="D26" s="1079"/>
      <c r="E26" s="495"/>
      <c r="F26" s="499"/>
      <c r="G26" s="503"/>
      <c r="H26" s="495"/>
      <c r="I26" s="499"/>
      <c r="J26" s="512"/>
    </row>
    <row r="27" spans="1:10" ht="15.6">
      <c r="A27" s="841">
        <f t="shared" si="0"/>
        <v>13</v>
      </c>
      <c r="B27" s="44" t="str">
        <f>"      1 / (1 - T)  = (T from line "&amp;A23&amp;")"</f>
        <v xml:space="preserve">      1 / (1 - T)  = (T from line 9)</v>
      </c>
      <c r="C27" s="8"/>
      <c r="D27" s="1080">
        <f>IF(D23&gt;0,1/(1-D23),0)</f>
        <v>1.3538211602247343</v>
      </c>
      <c r="E27" s="495"/>
      <c r="F27" s="499"/>
      <c r="G27" s="503"/>
      <c r="H27" s="495"/>
      <c r="I27" s="499"/>
      <c r="J27" s="512"/>
    </row>
    <row r="28" spans="1:10" ht="15.6">
      <c r="A28" s="841">
        <f t="shared" si="0"/>
        <v>14</v>
      </c>
      <c r="B28" s="7" t="s">
        <v>76</v>
      </c>
      <c r="C28" s="8"/>
      <c r="D28" s="1084">
        <v>0</v>
      </c>
      <c r="E28" s="495"/>
      <c r="F28" s="499"/>
      <c r="G28" s="503"/>
      <c r="H28" s="495"/>
      <c r="I28" s="499"/>
      <c r="J28" s="512"/>
    </row>
    <row r="29" spans="1:10" ht="15.6">
      <c r="A29" s="841"/>
      <c r="B29" s="7"/>
      <c r="C29" s="8"/>
      <c r="D29" s="512"/>
      <c r="E29" s="495"/>
      <c r="F29" s="499"/>
      <c r="G29" s="504"/>
      <c r="H29" s="495"/>
      <c r="I29" s="499"/>
      <c r="J29" s="512"/>
    </row>
    <row r="30" spans="1:10" ht="15.6">
      <c r="A30" s="841">
        <f>+A28+1</f>
        <v>15</v>
      </c>
      <c r="B30" s="44" t="str">
        <f>"Income Tax Calculation = line "&amp;A24&amp;" * line "&amp;A20&amp; " * (1-n)"</f>
        <v>Income Tax Calculation = line 10 * line 7 * (1-n)</v>
      </c>
      <c r="C30" s="45"/>
      <c r="D30" s="512">
        <f>+D24*J20*(1-'Appendix A'!$E$309)</f>
        <v>145838.11335497382</v>
      </c>
      <c r="E30" s="495"/>
      <c r="F30" s="506"/>
      <c r="G30" s="507"/>
      <c r="H30" s="506"/>
      <c r="I30" s="484"/>
      <c r="J30" s="512">
        <f>+D30</f>
        <v>145838.11335497382</v>
      </c>
    </row>
    <row r="31" spans="1:10" ht="15.6">
      <c r="A31" s="841">
        <f t="shared" si="0"/>
        <v>16</v>
      </c>
      <c r="B31" s="317" t="str">
        <f>"ITC adjustment (line "&amp;A27&amp;" * line "&amp;A28&amp;")  * (1-n)"</f>
        <v>ITC adjustment (line 13 * line 14)  * (1-n)</v>
      </c>
      <c r="C31" s="318"/>
      <c r="D31" s="838">
        <f>+D27*D28*(1-'Appendix A'!E309)</f>
        <v>0</v>
      </c>
      <c r="E31" s="506"/>
      <c r="F31" s="509" t="s">
        <v>59</v>
      </c>
      <c r="G31" s="493">
        <f>+'Appendix A'!H96</f>
        <v>6.4444218972739926E-3</v>
      </c>
      <c r="H31" s="506"/>
      <c r="I31" s="484"/>
      <c r="J31" s="838">
        <f>G31*D31</f>
        <v>0</v>
      </c>
    </row>
    <row r="32" spans="1:10" ht="15.6">
      <c r="A32" s="841">
        <f t="shared" si="0"/>
        <v>17</v>
      </c>
      <c r="B32" s="46" t="s">
        <v>77</v>
      </c>
      <c r="C32" s="1" t="str">
        <f>"(line "&amp;A30&amp;" plus line "&amp;A31&amp;")"</f>
        <v>(line 15 plus line 16)</v>
      </c>
      <c r="D32" s="1082">
        <f>+D31+D30</f>
        <v>145838.11335497382</v>
      </c>
      <c r="E32" s="506"/>
      <c r="F32" s="484"/>
      <c r="G32" s="484"/>
      <c r="H32" s="484"/>
      <c r="I32" s="484"/>
      <c r="J32" s="512">
        <f>+J30+J31</f>
        <v>145838.11335497382</v>
      </c>
    </row>
    <row r="33" spans="1:14" ht="15.6">
      <c r="A33" s="841"/>
      <c r="B33" s="499"/>
      <c r="C33" s="505"/>
      <c r="D33" s="508"/>
      <c r="E33" s="506"/>
      <c r="F33" s="509"/>
      <c r="G33" s="493"/>
      <c r="H33" s="506"/>
      <c r="I33" s="508"/>
      <c r="J33" s="512"/>
    </row>
    <row r="34" spans="1:14" ht="15.6">
      <c r="A34" s="841"/>
      <c r="B34" s="484"/>
      <c r="C34" s="484"/>
      <c r="D34" s="484"/>
      <c r="E34" s="484"/>
      <c r="F34" s="484"/>
      <c r="G34" s="484"/>
      <c r="H34" s="484"/>
      <c r="I34" s="484"/>
      <c r="J34" s="512"/>
      <c r="K34" s="484"/>
      <c r="L34" s="484"/>
      <c r="M34" s="484"/>
      <c r="N34" s="484"/>
    </row>
    <row r="35" spans="1:14" ht="15.6">
      <c r="A35" s="841">
        <f>+A32+1</f>
        <v>18</v>
      </c>
      <c r="B35" s="499" t="s">
        <v>421</v>
      </c>
      <c r="C35" s="484"/>
      <c r="D35" s="484"/>
      <c r="E35" s="484" t="s">
        <v>677</v>
      </c>
      <c r="F35" s="484"/>
      <c r="G35" s="484"/>
      <c r="H35" s="484"/>
      <c r="I35" s="484"/>
      <c r="J35" s="512">
        <f>+J32+J20</f>
        <v>734567.2106000256</v>
      </c>
      <c r="K35" s="484"/>
      <c r="L35" s="484"/>
      <c r="M35" s="484"/>
      <c r="N35" s="484"/>
    </row>
    <row r="36" spans="1:14" ht="15.6">
      <c r="A36" s="842">
        <f>+A35+1</f>
        <v>19</v>
      </c>
      <c r="B36" s="484" t="s">
        <v>356</v>
      </c>
      <c r="C36" s="484"/>
      <c r="D36" s="484"/>
      <c r="E36" s="484" t="s">
        <v>417</v>
      </c>
      <c r="F36" s="484"/>
      <c r="G36" s="484"/>
      <c r="H36" s="484"/>
      <c r="I36" s="484"/>
      <c r="J36" s="504">
        <f>+J11</f>
        <v>8476994.8913737684</v>
      </c>
      <c r="K36" s="484"/>
      <c r="L36" s="484"/>
      <c r="M36" s="484"/>
      <c r="N36" s="484"/>
    </row>
    <row r="37" spans="1:14" ht="15.6">
      <c r="A37" s="842">
        <f>+A36+1</f>
        <v>20</v>
      </c>
      <c r="B37" s="484" t="s">
        <v>418</v>
      </c>
      <c r="C37" s="484"/>
      <c r="D37" s="484"/>
      <c r="E37" s="484" t="s">
        <v>678</v>
      </c>
      <c r="F37" s="484"/>
      <c r="G37" s="484"/>
      <c r="H37" s="484"/>
      <c r="I37" s="484"/>
      <c r="J37" s="812">
        <f>IF(J36=0,0,J35/J36)</f>
        <v>8.6654199986309396E-2</v>
      </c>
      <c r="K37" s="484"/>
      <c r="L37" s="484"/>
      <c r="M37" s="484"/>
      <c r="N37" s="484"/>
    </row>
    <row r="38" spans="1:14" ht="15.6">
      <c r="A38" s="842"/>
      <c r="B38" s="499"/>
      <c r="C38" s="484"/>
      <c r="D38" s="484"/>
      <c r="E38" s="484"/>
      <c r="F38" s="484"/>
      <c r="G38" s="484"/>
      <c r="H38" s="484"/>
      <c r="I38" s="484"/>
      <c r="J38" s="512"/>
      <c r="K38" s="484"/>
      <c r="L38" s="484"/>
      <c r="M38" s="484"/>
      <c r="N38" s="484"/>
    </row>
    <row r="39" spans="1:14" ht="15.6">
      <c r="A39" s="843"/>
      <c r="B39" s="484"/>
      <c r="C39" s="484"/>
      <c r="D39" s="484"/>
      <c r="E39" s="484"/>
      <c r="F39" s="484"/>
      <c r="G39" s="484"/>
      <c r="H39" s="484"/>
      <c r="I39" s="484"/>
      <c r="J39" s="484"/>
      <c r="K39" s="484"/>
      <c r="L39" s="484"/>
      <c r="M39" s="484"/>
      <c r="N39" s="484"/>
    </row>
    <row r="40" spans="1:14" ht="15.6">
      <c r="A40" s="850" t="s">
        <v>771</v>
      </c>
      <c r="C40" s="484"/>
      <c r="D40" s="484"/>
      <c r="E40" s="484"/>
      <c r="F40" s="484"/>
      <c r="G40" s="484"/>
      <c r="H40" s="484"/>
      <c r="I40" s="484"/>
      <c r="J40" s="486" t="str">
        <f>+B2</f>
        <v>Attachment 4</v>
      </c>
      <c r="K40" s="484"/>
      <c r="L40" s="484"/>
      <c r="M40" s="484"/>
      <c r="N40" s="484"/>
    </row>
    <row r="41" spans="1:14" ht="15.6">
      <c r="A41" s="844"/>
      <c r="C41" s="484"/>
      <c r="D41" s="484"/>
      <c r="E41" s="484"/>
      <c r="F41" s="484"/>
      <c r="G41" s="484"/>
      <c r="H41" s="484"/>
      <c r="I41" s="484"/>
      <c r="J41" s="486"/>
      <c r="K41" s="484"/>
      <c r="L41" s="484"/>
      <c r="M41" s="484"/>
      <c r="N41" s="484"/>
    </row>
    <row r="42" spans="1:14" ht="15.6">
      <c r="A42" s="842"/>
      <c r="B42" s="499"/>
      <c r="C42" s="484"/>
      <c r="D42" s="484"/>
      <c r="E42" s="484"/>
      <c r="F42" s="484"/>
      <c r="G42" s="484"/>
      <c r="H42" s="484"/>
      <c r="I42" s="484"/>
      <c r="J42" s="836" t="s">
        <v>675</v>
      </c>
      <c r="K42" s="484"/>
      <c r="L42" s="484"/>
      <c r="M42" s="484"/>
      <c r="N42" s="484"/>
    </row>
    <row r="43" spans="1:14" ht="15.6">
      <c r="A43" s="845">
        <f>+A37+1</f>
        <v>21</v>
      </c>
      <c r="B43" s="484" t="s">
        <v>356</v>
      </c>
      <c r="C43" s="484"/>
      <c r="D43" s="484"/>
      <c r="E43" s="484"/>
      <c r="F43" s="484"/>
      <c r="G43" s="484"/>
      <c r="H43" s="484"/>
      <c r="I43" s="484"/>
      <c r="J43" s="493">
        <f>+J11</f>
        <v>8476994.8913737684</v>
      </c>
      <c r="K43" s="484"/>
      <c r="L43" s="484"/>
      <c r="M43" s="484"/>
      <c r="N43" s="484"/>
    </row>
    <row r="44" spans="1:14" ht="15.6">
      <c r="A44" s="845"/>
      <c r="B44" s="484"/>
      <c r="C44" s="484"/>
      <c r="D44" s="484"/>
      <c r="E44" s="484"/>
      <c r="F44" s="484"/>
      <c r="G44" s="484"/>
      <c r="H44" s="484"/>
      <c r="I44" s="484"/>
      <c r="J44" s="492"/>
      <c r="K44" s="484"/>
      <c r="L44" s="484"/>
      <c r="M44" s="484"/>
      <c r="N44" s="484"/>
    </row>
    <row r="45" spans="1:14" ht="15.6">
      <c r="A45" s="842">
        <f>+A43+1</f>
        <v>22</v>
      </c>
      <c r="B45" s="494" t="s">
        <v>899</v>
      </c>
      <c r="C45" s="495"/>
      <c r="D45" s="495"/>
      <c r="E45" s="495"/>
      <c r="F45" s="495"/>
      <c r="G45" s="495"/>
      <c r="H45" s="495"/>
      <c r="I45" s="497"/>
      <c r="J45" s="492"/>
      <c r="K45" s="484"/>
      <c r="L45" s="484"/>
      <c r="M45" s="484"/>
      <c r="N45" s="484"/>
    </row>
    <row r="46" spans="1:14" ht="15.6">
      <c r="A46" s="842"/>
      <c r="B46" s="496"/>
      <c r="C46" s="495"/>
      <c r="D46" s="495"/>
      <c r="E46" s="495"/>
      <c r="F46" s="495"/>
      <c r="G46" s="497"/>
      <c r="H46" s="495"/>
      <c r="I46" s="495"/>
      <c r="J46" s="492"/>
      <c r="K46" s="484"/>
      <c r="L46" s="484"/>
      <c r="M46" s="484"/>
      <c r="N46" s="484"/>
    </row>
    <row r="47" spans="1:14" ht="16.2" thickBot="1">
      <c r="A47" s="842"/>
      <c r="B47" s="496"/>
      <c r="C47" s="495"/>
      <c r="D47" s="498" t="s">
        <v>82</v>
      </c>
      <c r="E47" s="498" t="s">
        <v>91</v>
      </c>
      <c r="F47" s="495"/>
      <c r="G47" s="498" t="s">
        <v>90</v>
      </c>
      <c r="H47" s="495"/>
      <c r="I47" s="498" t="s">
        <v>92</v>
      </c>
      <c r="J47" s="492"/>
      <c r="K47" s="484"/>
      <c r="L47" s="484"/>
      <c r="M47" s="484"/>
      <c r="N47" s="484"/>
    </row>
    <row r="48" spans="1:14" ht="15.6">
      <c r="A48" s="842">
        <f>+A45+1</f>
        <v>23</v>
      </c>
      <c r="B48" s="494" t="s">
        <v>368</v>
      </c>
      <c r="C48" s="499" t="s">
        <v>787</v>
      </c>
      <c r="D48" s="967">
        <f>D16</f>
        <v>1041984615.3846154</v>
      </c>
      <c r="E48" s="812">
        <f>+E16</f>
        <v>0.50885450791631948</v>
      </c>
      <c r="F48" s="493"/>
      <c r="G48" s="811">
        <f>G16</f>
        <v>4.0928818305304961E-2</v>
      </c>
      <c r="H48" s="493"/>
      <c r="I48" s="812">
        <f>E48*G48</f>
        <v>2.0826813698342404E-2</v>
      </c>
      <c r="J48" s="492"/>
      <c r="K48" s="484"/>
      <c r="L48" s="484"/>
      <c r="M48" s="484"/>
      <c r="N48" s="484"/>
    </row>
    <row r="49" spans="1:14" ht="15.6">
      <c r="A49" s="842">
        <f>+A48+1</f>
        <v>24</v>
      </c>
      <c r="B49" s="494" t="s">
        <v>369</v>
      </c>
      <c r="C49" s="499" t="s">
        <v>788</v>
      </c>
      <c r="D49" s="967">
        <f>D17</f>
        <v>100</v>
      </c>
      <c r="E49" s="812">
        <f>+E17</f>
        <v>4.8835126776655144E-8</v>
      </c>
      <c r="F49" s="493"/>
      <c r="G49" s="812">
        <f>+G17</f>
        <v>0</v>
      </c>
      <c r="H49" s="493"/>
      <c r="I49" s="812">
        <f>E49*G49</f>
        <v>0</v>
      </c>
      <c r="J49" s="492"/>
      <c r="K49" s="484"/>
      <c r="L49" s="484"/>
      <c r="M49" s="484"/>
      <c r="N49" s="484"/>
    </row>
    <row r="50" spans="1:14" ht="16.2" thickBot="1">
      <c r="A50" s="842">
        <f>+A49+1</f>
        <v>25</v>
      </c>
      <c r="B50" s="494" t="s">
        <v>789</v>
      </c>
      <c r="C50" s="499" t="s">
        <v>900</v>
      </c>
      <c r="D50" s="967">
        <f>D18</f>
        <v>1005721650.923077</v>
      </c>
      <c r="E50" s="812">
        <f>+E18</f>
        <v>0.49114544324855375</v>
      </c>
      <c r="F50" s="493"/>
      <c r="G50" s="811">
        <f>G18+0.005</f>
        <v>0.10400000000000001</v>
      </c>
      <c r="H50" s="493"/>
      <c r="I50" s="813">
        <f>E50*G50</f>
        <v>5.1079126097849592E-2</v>
      </c>
      <c r="J50" s="492"/>
      <c r="K50" s="617"/>
      <c r="L50" s="484"/>
      <c r="M50" s="484"/>
      <c r="N50" s="484"/>
    </row>
    <row r="51" spans="1:14" ht="15.6">
      <c r="A51" s="842">
        <f>+A50+1</f>
        <v>26</v>
      </c>
      <c r="B51" s="496" t="s">
        <v>642</v>
      </c>
      <c r="C51" s="499"/>
      <c r="D51" s="967">
        <f>SUM(D48:D50)</f>
        <v>2047706366.3076925</v>
      </c>
      <c r="E51" s="812" t="s">
        <v>28</v>
      </c>
      <c r="F51" s="493"/>
      <c r="G51" s="493"/>
      <c r="H51" s="493"/>
      <c r="I51" s="812">
        <f>SUM(I48:I50)</f>
        <v>7.1905939796192003E-2</v>
      </c>
      <c r="J51" s="492"/>
      <c r="K51" s="484"/>
      <c r="L51" s="484"/>
      <c r="M51" s="484"/>
      <c r="N51" s="484"/>
    </row>
    <row r="52" spans="1:14" ht="15.6">
      <c r="A52" s="842">
        <f t="shared" ref="A52:A64" si="1">+A51+1</f>
        <v>27</v>
      </c>
      <c r="B52" s="496" t="s">
        <v>901</v>
      </c>
      <c r="C52" s="499"/>
      <c r="D52" s="502"/>
      <c r="E52" s="495"/>
      <c r="F52" s="495"/>
      <c r="G52" s="495"/>
      <c r="H52" s="495"/>
      <c r="I52" s="500"/>
      <c r="J52" s="493">
        <f>+I51*J43</f>
        <v>609546.28431174939</v>
      </c>
      <c r="K52" s="484"/>
      <c r="L52" s="484"/>
      <c r="M52" s="484"/>
      <c r="N52" s="484"/>
    </row>
    <row r="53" spans="1:14" ht="15.6">
      <c r="A53" s="842"/>
      <c r="B53" s="484"/>
      <c r="C53" s="484"/>
      <c r="D53" s="484"/>
      <c r="E53" s="484"/>
      <c r="F53" s="484"/>
      <c r="G53" s="484"/>
      <c r="H53" s="484"/>
      <c r="I53" s="484"/>
      <c r="J53" s="492"/>
      <c r="K53" s="484"/>
      <c r="L53" s="484"/>
      <c r="M53" s="484"/>
      <c r="N53" s="484"/>
    </row>
    <row r="54" spans="1:14" ht="15.6">
      <c r="A54" s="842">
        <f>+A52+1</f>
        <v>28</v>
      </c>
      <c r="B54" s="496" t="s">
        <v>74</v>
      </c>
      <c r="C54" s="495"/>
      <c r="D54" s="495"/>
      <c r="E54" s="495"/>
      <c r="F54" s="499"/>
      <c r="G54" s="503"/>
      <c r="H54" s="495"/>
      <c r="I54" s="499"/>
      <c r="J54" s="492"/>
      <c r="K54" s="484"/>
      <c r="L54" s="484"/>
      <c r="M54" s="484"/>
      <c r="N54" s="484"/>
    </row>
    <row r="55" spans="1:14" ht="15.6">
      <c r="A55" s="842">
        <f t="shared" si="1"/>
        <v>29</v>
      </c>
      <c r="B55" s="44" t="s">
        <v>806</v>
      </c>
      <c r="C55" s="8"/>
      <c r="D55" s="1078">
        <f>+'Appendix A'!E$171</f>
        <v>0.26134999999999997</v>
      </c>
      <c r="E55" s="495"/>
      <c r="F55" s="499"/>
      <c r="G55" s="503"/>
      <c r="H55" s="495"/>
      <c r="I55" s="499"/>
      <c r="J55" s="492"/>
    </row>
    <row r="56" spans="1:14" ht="15.6">
      <c r="A56" s="842">
        <f t="shared" si="1"/>
        <v>30</v>
      </c>
      <c r="B56" s="1" t="s">
        <v>75</v>
      </c>
      <c r="C56" s="8"/>
      <c r="D56" s="1078">
        <f>IF('4 - Incentives'!D55&gt;0,('4 - Incentives'!D55/(1-'4 - Incentives'!D55))*(1-'4 - Incentives'!I48/'4 - Incentives'!I51),0)</f>
        <v>0.25134051109591021</v>
      </c>
      <c r="E56" s="495"/>
      <c r="F56" s="499"/>
      <c r="G56" s="503"/>
      <c r="H56" s="495"/>
      <c r="I56" s="499"/>
      <c r="J56" s="492"/>
    </row>
    <row r="57" spans="1:14" ht="15.6">
      <c r="A57" s="842">
        <f t="shared" si="1"/>
        <v>31</v>
      </c>
      <c r="B57" s="7" t="str">
        <f>"       where WCLTD=(line "&amp;A48&amp;") and R= (line "&amp;A51&amp;")"</f>
        <v xml:space="preserve">       where WCLTD=(line 23) and R= (line 26)</v>
      </c>
      <c r="C57" s="8"/>
      <c r="D57" s="484"/>
      <c r="E57" s="495"/>
      <c r="F57" s="499"/>
      <c r="G57" s="503"/>
      <c r="H57" s="495"/>
      <c r="I57" s="499"/>
      <c r="J57" s="492"/>
    </row>
    <row r="58" spans="1:14" ht="15.6">
      <c r="A58" s="842">
        <f t="shared" si="1"/>
        <v>32</v>
      </c>
      <c r="B58" s="7" t="str">
        <f>"       and FIT, SIT &amp; p are as given in footnote "&amp;'Appendix A'!$A$303&amp;" on Appendix A."</f>
        <v xml:space="preserve">       and FIT, SIT &amp; p are as given in footnote F on Appendix A.</v>
      </c>
      <c r="C58" s="8"/>
      <c r="D58" s="1079"/>
      <c r="E58" s="495"/>
      <c r="F58" s="499"/>
      <c r="G58" s="503"/>
      <c r="H58" s="495"/>
      <c r="I58" s="499"/>
      <c r="J58" s="492"/>
    </row>
    <row r="59" spans="1:14" ht="15.6">
      <c r="A59" s="842">
        <f t="shared" si="1"/>
        <v>33</v>
      </c>
      <c r="B59" s="44" t="str">
        <f>"      1 / (1 - T)  = (T from line "&amp;A55&amp;")"</f>
        <v xml:space="preserve">      1 / (1 - T)  = (T from line 29)</v>
      </c>
      <c r="C59" s="8"/>
      <c r="D59" s="1080">
        <f>IF(D55&gt;0,1/(1-D55),0)</f>
        <v>1.3538211602247343</v>
      </c>
      <c r="E59" s="495"/>
      <c r="F59" s="499"/>
      <c r="G59" s="503"/>
      <c r="H59" s="495"/>
      <c r="I59" s="499"/>
      <c r="J59" s="492"/>
    </row>
    <row r="60" spans="1:14" ht="15.6">
      <c r="A60" s="842">
        <f t="shared" si="1"/>
        <v>34</v>
      </c>
      <c r="B60" s="7" t="s">
        <v>807</v>
      </c>
      <c r="C60" s="8"/>
      <c r="D60" s="1081">
        <f>D28</f>
        <v>0</v>
      </c>
      <c r="E60" s="495"/>
      <c r="F60" s="499"/>
      <c r="G60" s="503"/>
      <c r="H60" s="495"/>
      <c r="I60" s="499"/>
      <c r="J60" s="492"/>
    </row>
    <row r="61" spans="1:14" ht="15.6">
      <c r="A61" s="842"/>
      <c r="B61" s="7"/>
      <c r="C61" s="8"/>
      <c r="D61" s="512"/>
      <c r="E61" s="495"/>
      <c r="F61" s="499"/>
      <c r="G61" s="504"/>
      <c r="H61" s="495"/>
      <c r="I61" s="499"/>
      <c r="J61" s="492"/>
    </row>
    <row r="62" spans="1:14" ht="15.6">
      <c r="A62" s="842">
        <f>+A60+1</f>
        <v>35</v>
      </c>
      <c r="B62" s="44" t="str">
        <f>"Income Tax Calculation = line "&amp;A56&amp;" * line "&amp;A52&amp; " * (1-n)"</f>
        <v>Income Tax Calculation = line 30 * line 27 * (1-n)</v>
      </c>
      <c r="C62" s="45"/>
      <c r="D62" s="512">
        <f>+D56*J52*(1-'Appendix A'!$E$309)</f>
        <v>153203.67463552809</v>
      </c>
      <c r="E62" s="495"/>
      <c r="F62" s="506"/>
      <c r="G62" s="507"/>
      <c r="H62" s="506"/>
      <c r="I62" s="484"/>
      <c r="J62" s="512">
        <f>+D62</f>
        <v>153203.67463552809</v>
      </c>
    </row>
    <row r="63" spans="1:14" ht="15.6">
      <c r="A63" s="842">
        <f t="shared" si="1"/>
        <v>36</v>
      </c>
      <c r="B63" s="317" t="str">
        <f>"ITC adjustment (line "&amp;A59&amp;" * line "&amp;A60&amp;")  * (1-n)"</f>
        <v>ITC adjustment (line 33 * line 34)  * (1-n)</v>
      </c>
      <c r="C63" s="318"/>
      <c r="D63" s="838">
        <f>+D59*D60*(1-'Appendix A'!E309)</f>
        <v>0</v>
      </c>
      <c r="E63" s="506"/>
      <c r="F63" s="509" t="s">
        <v>59</v>
      </c>
      <c r="G63" s="493">
        <f>+'Appendix A'!H96</f>
        <v>6.4444218972739926E-3</v>
      </c>
      <c r="H63" s="506"/>
      <c r="I63" s="484"/>
      <c r="J63" s="838">
        <f>G63*D63</f>
        <v>0</v>
      </c>
    </row>
    <row r="64" spans="1:14" ht="15.6">
      <c r="A64" s="842">
        <f t="shared" si="1"/>
        <v>37</v>
      </c>
      <c r="B64" s="46" t="s">
        <v>77</v>
      </c>
      <c r="C64" s="1" t="str">
        <f>"(line "&amp;A62&amp;" plus line "&amp;A63&amp;")"</f>
        <v>(line 35 plus line 36)</v>
      </c>
      <c r="D64" s="1082">
        <f>+D63+D62</f>
        <v>153203.67463552809</v>
      </c>
      <c r="E64" s="506"/>
      <c r="F64" s="484"/>
      <c r="G64" s="484"/>
      <c r="H64" s="484"/>
      <c r="I64" s="484"/>
      <c r="J64" s="512">
        <f>+J62+J63</f>
        <v>153203.67463552809</v>
      </c>
    </row>
    <row r="65" spans="1:10" ht="15.6">
      <c r="B65" s="510"/>
      <c r="C65" s="499"/>
      <c r="D65" s="511"/>
      <c r="E65" s="506"/>
      <c r="F65" s="506"/>
      <c r="G65" s="507"/>
      <c r="H65" s="506"/>
      <c r="I65" s="511"/>
      <c r="J65" s="508"/>
    </row>
    <row r="66" spans="1:10" ht="15.6">
      <c r="A66" s="842"/>
      <c r="B66" s="484"/>
      <c r="C66" s="484"/>
      <c r="D66" s="484"/>
      <c r="E66" s="484"/>
      <c r="F66" s="484"/>
      <c r="G66" s="484"/>
      <c r="H66" s="484"/>
      <c r="I66" s="484"/>
      <c r="J66" s="492"/>
    </row>
    <row r="67" spans="1:10" ht="15.6">
      <c r="A67" s="842">
        <f>+A64+1</f>
        <v>38</v>
      </c>
      <c r="B67" s="499" t="s">
        <v>643</v>
      </c>
      <c r="C67" s="484"/>
      <c r="D67" s="484"/>
      <c r="E67" s="484" t="s">
        <v>680</v>
      </c>
      <c r="F67" s="484"/>
      <c r="G67" s="484"/>
      <c r="H67" s="484"/>
      <c r="I67" s="484"/>
      <c r="J67" s="512">
        <f>+J64+J52</f>
        <v>762749.95894727751</v>
      </c>
    </row>
    <row r="68" spans="1:10" ht="15.6">
      <c r="A68" s="842">
        <f>+A67+1</f>
        <v>39</v>
      </c>
      <c r="B68" s="484" t="s">
        <v>356</v>
      </c>
      <c r="C68" s="484"/>
      <c r="D68" s="484"/>
      <c r="E68" s="484" t="s">
        <v>679</v>
      </c>
      <c r="F68" s="484"/>
      <c r="G68" s="484"/>
      <c r="H68" s="484"/>
      <c r="I68" s="484"/>
      <c r="J68" s="504">
        <f>+J43</f>
        <v>8476994.8913737684</v>
      </c>
    </row>
    <row r="69" spans="1:10" ht="15.6">
      <c r="A69" s="842">
        <f>+A68+1</f>
        <v>40</v>
      </c>
      <c r="B69" s="484" t="s">
        <v>644</v>
      </c>
      <c r="C69" s="484"/>
      <c r="D69" s="484"/>
      <c r="E69" s="484" t="s">
        <v>681</v>
      </c>
      <c r="F69" s="484"/>
      <c r="G69" s="484"/>
      <c r="H69" s="484"/>
      <c r="I69" s="484"/>
      <c r="J69" s="812">
        <f>IF(J68=0,0,J67/J68)</f>
        <v>8.9978815455398653E-2</v>
      </c>
    </row>
    <row r="70" spans="1:10" ht="15.6">
      <c r="A70" s="842">
        <f>+A69+1</f>
        <v>41</v>
      </c>
      <c r="B70" s="484" t="s">
        <v>902</v>
      </c>
      <c r="C70" s="484"/>
      <c r="D70" s="484"/>
      <c r="E70" s="484" t="s">
        <v>797</v>
      </c>
      <c r="F70" s="484"/>
      <c r="G70" s="484"/>
      <c r="H70" s="484"/>
      <c r="I70" s="484"/>
      <c r="J70" s="812">
        <f>+J69-J37</f>
        <v>3.3246154690892565E-3</v>
      </c>
    </row>
    <row r="71" spans="1:10">
      <c r="A71" s="847"/>
      <c r="B71" s="806"/>
      <c r="C71" s="806"/>
      <c r="D71" s="806"/>
    </row>
    <row r="72" spans="1:10">
      <c r="A72" s="847"/>
      <c r="B72" s="806"/>
      <c r="C72" s="806"/>
      <c r="D72" s="806"/>
    </row>
    <row r="73" spans="1:10" ht="15.6">
      <c r="A73" s="850" t="s">
        <v>653</v>
      </c>
      <c r="C73" s="484"/>
      <c r="D73" s="484"/>
      <c r="E73" s="484"/>
      <c r="F73" s="484"/>
      <c r="G73" s="484"/>
      <c r="H73" s="484"/>
      <c r="I73" s="484"/>
      <c r="J73" s="810"/>
    </row>
    <row r="74" spans="1:10" ht="15.6">
      <c r="A74" s="844"/>
      <c r="C74" s="484"/>
      <c r="D74" s="484"/>
      <c r="E74" s="484"/>
      <c r="F74" s="484"/>
      <c r="G74" s="484"/>
      <c r="H74" s="484"/>
      <c r="I74" s="484"/>
      <c r="J74" s="839" t="s">
        <v>682</v>
      </c>
    </row>
    <row r="75" spans="1:10" ht="15.6">
      <c r="A75" s="842"/>
      <c r="B75" s="499"/>
      <c r="C75" s="484"/>
      <c r="D75" s="484"/>
      <c r="E75" s="484"/>
      <c r="F75" s="484"/>
      <c r="G75" s="484"/>
      <c r="H75" s="484"/>
      <c r="I75" s="484"/>
      <c r="J75" s="484"/>
    </row>
    <row r="76" spans="1:10" ht="15.6">
      <c r="A76" s="845">
        <f>+A70+1</f>
        <v>42</v>
      </c>
      <c r="B76" s="484" t="s">
        <v>356</v>
      </c>
      <c r="C76" s="484"/>
      <c r="D76" s="484"/>
      <c r="E76" s="484"/>
      <c r="F76" s="484"/>
      <c r="G76" s="484"/>
      <c r="H76" s="484"/>
      <c r="I76" s="484"/>
      <c r="J76" s="512">
        <f>+J43</f>
        <v>8476994.8913737684</v>
      </c>
    </row>
    <row r="77" spans="1:10" ht="15.6">
      <c r="A77" s="845"/>
      <c r="B77" s="484"/>
      <c r="C77" s="484"/>
      <c r="D77" s="484"/>
      <c r="E77" s="484"/>
      <c r="F77" s="484"/>
      <c r="G77" s="484"/>
      <c r="H77" s="484"/>
      <c r="I77" s="484"/>
      <c r="J77" s="492"/>
    </row>
    <row r="78" spans="1:10" ht="15.6">
      <c r="A78" s="842">
        <f>+A76+1</f>
        <v>43</v>
      </c>
      <c r="B78" s="494" t="s">
        <v>903</v>
      </c>
      <c r="C78" s="495"/>
      <c r="D78" s="495"/>
      <c r="E78" s="495"/>
      <c r="F78" s="495"/>
      <c r="G78" s="495"/>
      <c r="H78" s="495"/>
      <c r="I78" s="497"/>
      <c r="J78" s="492"/>
    </row>
    <row r="79" spans="1:10" ht="15.6">
      <c r="A79" s="842"/>
      <c r="B79" s="496"/>
      <c r="C79" s="495"/>
      <c r="D79" s="495"/>
      <c r="E79" s="495"/>
      <c r="F79" s="495"/>
      <c r="G79" s="497"/>
      <c r="H79" s="495"/>
      <c r="I79" s="495"/>
      <c r="J79" s="492"/>
    </row>
    <row r="80" spans="1:10" ht="16.2" thickBot="1">
      <c r="A80" s="842"/>
      <c r="B80" s="496"/>
      <c r="C80" s="495"/>
      <c r="D80" s="498" t="s">
        <v>82</v>
      </c>
      <c r="E80" s="498" t="s">
        <v>91</v>
      </c>
      <c r="F80" s="495"/>
      <c r="G80" s="498" t="s">
        <v>90</v>
      </c>
      <c r="H80" s="495"/>
      <c r="I80" s="498" t="s">
        <v>92</v>
      </c>
      <c r="J80" s="492"/>
    </row>
    <row r="81" spans="1:10" ht="15.6">
      <c r="A81" s="842">
        <f>+A78+1</f>
        <v>44</v>
      </c>
      <c r="B81" s="494" t="s">
        <v>368</v>
      </c>
      <c r="C81" s="499" t="s">
        <v>791</v>
      </c>
      <c r="D81" s="502">
        <v>0</v>
      </c>
      <c r="E81" s="812">
        <f>+E48-0.01</f>
        <v>0.49885450791631947</v>
      </c>
      <c r="F81" s="812"/>
      <c r="G81" s="811">
        <f>+G16</f>
        <v>4.0928818305304961E-2</v>
      </c>
      <c r="H81" s="812"/>
      <c r="I81" s="812">
        <f>E81*G81</f>
        <v>2.0417525515289355E-2</v>
      </c>
      <c r="J81" s="492"/>
    </row>
    <row r="82" spans="1:10" ht="15.6">
      <c r="A82" s="842">
        <f>+A81+1</f>
        <v>45</v>
      </c>
      <c r="B82" s="494" t="s">
        <v>369</v>
      </c>
      <c r="C82" s="499" t="s">
        <v>788</v>
      </c>
      <c r="D82" s="502">
        <v>0</v>
      </c>
      <c r="E82" s="812">
        <f>E17</f>
        <v>4.8835126776655144E-8</v>
      </c>
      <c r="F82" s="812"/>
      <c r="G82" s="811">
        <f>+G17</f>
        <v>0</v>
      </c>
      <c r="H82" s="812"/>
      <c r="I82" s="812">
        <f>E82*G82</f>
        <v>0</v>
      </c>
      <c r="J82" s="492"/>
    </row>
    <row r="83" spans="1:10" ht="16.2" thickBot="1">
      <c r="A83" s="842">
        <f>+A82+1</f>
        <v>46</v>
      </c>
      <c r="B83" s="494" t="s">
        <v>652</v>
      </c>
      <c r="C83" s="499" t="s">
        <v>790</v>
      </c>
      <c r="D83" s="501">
        <v>0</v>
      </c>
      <c r="E83" s="812">
        <f>+E50+0.01</f>
        <v>0.5011454432485537</v>
      </c>
      <c r="F83" s="812"/>
      <c r="G83" s="811">
        <f>+G18</f>
        <v>9.9000000000000005E-2</v>
      </c>
      <c r="H83" s="812"/>
      <c r="I83" s="813">
        <f>E83*G83</f>
        <v>4.9613398881606818E-2</v>
      </c>
      <c r="J83" s="492"/>
    </row>
    <row r="84" spans="1:10" ht="15.6">
      <c r="A84" s="842">
        <f>+A83+1</f>
        <v>47</v>
      </c>
      <c r="B84" s="496" t="s">
        <v>683</v>
      </c>
      <c r="C84" s="499"/>
      <c r="D84" s="502">
        <f>SUM(D81:D83)</f>
        <v>0</v>
      </c>
      <c r="E84" s="812" t="s">
        <v>28</v>
      </c>
      <c r="F84" s="812"/>
      <c r="G84" s="812"/>
      <c r="H84" s="812"/>
      <c r="I84" s="812">
        <f>SUM(I81:I83)</f>
        <v>7.0030924396896177E-2</v>
      </c>
      <c r="J84" s="492"/>
    </row>
    <row r="85" spans="1:10" ht="15.6">
      <c r="A85" s="842">
        <f t="shared" ref="A85:A97" si="2">+A84+1</f>
        <v>48</v>
      </c>
      <c r="B85" s="496" t="s">
        <v>799</v>
      </c>
      <c r="C85" s="499"/>
      <c r="D85" s="502"/>
      <c r="E85" s="495"/>
      <c r="F85" s="495"/>
      <c r="G85" s="812"/>
      <c r="H85" s="812"/>
      <c r="I85" s="812"/>
      <c r="J85" s="493">
        <f>+I84*J76</f>
        <v>593651.78835067153</v>
      </c>
    </row>
    <row r="86" spans="1:10" ht="15.6">
      <c r="A86" s="842"/>
      <c r="B86" s="484"/>
      <c r="C86" s="484"/>
      <c r="D86" s="484"/>
      <c r="E86" s="484"/>
      <c r="F86" s="484"/>
      <c r="G86" s="484"/>
      <c r="H86" s="484"/>
      <c r="I86" s="484"/>
      <c r="J86" s="492"/>
    </row>
    <row r="87" spans="1:10" ht="15.6">
      <c r="A87" s="842">
        <f>+A85+1</f>
        <v>49</v>
      </c>
      <c r="B87" s="496" t="s">
        <v>74</v>
      </c>
      <c r="C87" s="495"/>
      <c r="D87" s="495"/>
      <c r="E87" s="495"/>
      <c r="F87" s="499"/>
      <c r="G87" s="503"/>
      <c r="H87" s="495"/>
      <c r="I87" s="499"/>
      <c r="J87" s="492"/>
    </row>
    <row r="88" spans="1:10" ht="15.6">
      <c r="A88" s="842">
        <f t="shared" si="2"/>
        <v>50</v>
      </c>
      <c r="B88" s="1087" t="s">
        <v>806</v>
      </c>
      <c r="C88" s="1079"/>
      <c r="D88" s="1078">
        <f>+'Appendix A'!E$171</f>
        <v>0.26134999999999997</v>
      </c>
      <c r="E88" s="495"/>
      <c r="F88" s="499"/>
      <c r="G88" s="503"/>
      <c r="H88" s="495"/>
      <c r="I88" s="499"/>
      <c r="J88" s="492"/>
    </row>
    <row r="89" spans="1:10" ht="15.6">
      <c r="A89" s="842">
        <f t="shared" si="2"/>
        <v>51</v>
      </c>
      <c r="B89" s="1088" t="s">
        <v>75</v>
      </c>
      <c r="C89" s="1079"/>
      <c r="D89" s="1078">
        <f>IF('4 - Incentives'!D88&gt;0,('4 - Incentives'!D88/(1-'4 - Incentives'!D88))*(1-'4 - Incentives'!I81/'4 - Incentives'!I84),0)</f>
        <v>0.25066455292657364</v>
      </c>
      <c r="E89" s="495"/>
      <c r="F89" s="499"/>
      <c r="G89" s="503"/>
      <c r="H89" s="495"/>
      <c r="I89" s="499"/>
      <c r="J89" s="492"/>
    </row>
    <row r="90" spans="1:10" ht="15.6">
      <c r="A90" s="842">
        <f t="shared" si="2"/>
        <v>52</v>
      </c>
      <c r="B90" s="1088" t="str">
        <f>"       where WCLTD=(line "&amp;A81&amp;") and R= (line "&amp;A84&amp;")"</f>
        <v xml:space="preserve">       where WCLTD=(line 44) and R= (line 47)</v>
      </c>
      <c r="C90" s="1079"/>
      <c r="D90" s="484"/>
      <c r="E90" s="495"/>
      <c r="F90" s="499"/>
      <c r="G90" s="503"/>
      <c r="H90" s="495"/>
      <c r="I90" s="499"/>
      <c r="J90" s="492"/>
    </row>
    <row r="91" spans="1:10" ht="15.6">
      <c r="A91" s="842">
        <f t="shared" si="2"/>
        <v>53</v>
      </c>
      <c r="B91" s="1088" t="str">
        <f>"       and FIT, SIT &amp; p are as given in footnote "&amp;'Appendix A'!$A$303&amp;" on Appendix A."</f>
        <v xml:space="preserve">       and FIT, SIT &amp; p are as given in footnote F on Appendix A.</v>
      </c>
      <c r="C91" s="1079"/>
      <c r="D91" s="1079"/>
      <c r="E91" s="495"/>
      <c r="F91" s="499"/>
      <c r="G91" s="503"/>
      <c r="H91" s="495"/>
      <c r="I91" s="499"/>
      <c r="J91" s="492"/>
    </row>
    <row r="92" spans="1:10" ht="15.6">
      <c r="A92" s="842">
        <f t="shared" si="2"/>
        <v>54</v>
      </c>
      <c r="B92" s="1087" t="str">
        <f>"      1 / (1 - T)  = (T from line "&amp;A88&amp;")"</f>
        <v xml:space="preserve">      1 / (1 - T)  = (T from line 50)</v>
      </c>
      <c r="C92" s="1079"/>
      <c r="D92" s="1080">
        <f>IF(D88&gt;0,1/(1-D88),0)</f>
        <v>1.3538211602247343</v>
      </c>
      <c r="E92" s="495"/>
      <c r="F92" s="499"/>
      <c r="G92" s="503"/>
      <c r="H92" s="495"/>
      <c r="I92" s="499"/>
      <c r="J92" s="492"/>
    </row>
    <row r="93" spans="1:10" ht="15.6">
      <c r="A93" s="842">
        <f t="shared" si="2"/>
        <v>55</v>
      </c>
      <c r="B93" s="1088" t="s">
        <v>807</v>
      </c>
      <c r="C93" s="1079"/>
      <c r="D93" s="1081">
        <f>D28</f>
        <v>0</v>
      </c>
      <c r="E93" s="495"/>
      <c r="F93" s="499"/>
      <c r="G93" s="503"/>
      <c r="H93" s="495"/>
      <c r="I93" s="499"/>
      <c r="J93" s="492"/>
    </row>
    <row r="94" spans="1:10" ht="15.6">
      <c r="A94" s="842"/>
      <c r="B94" s="1088"/>
      <c r="C94" s="1079"/>
      <c r="D94" s="512"/>
      <c r="E94" s="495"/>
      <c r="F94" s="499"/>
      <c r="G94" s="504"/>
      <c r="H94" s="495"/>
      <c r="I94" s="499"/>
      <c r="J94" s="492"/>
    </row>
    <row r="95" spans="1:10" ht="15.6">
      <c r="A95" s="842">
        <f>+A93+1</f>
        <v>56</v>
      </c>
      <c r="B95" s="1087" t="str">
        <f>"Income Tax Calculation = line "&amp;A89&amp;" * line "&amp;A85&amp; " * (1-n)"</f>
        <v>Income Tax Calculation = line 51 * line 48 * (1-n)</v>
      </c>
      <c r="C95" s="1089"/>
      <c r="D95" s="512">
        <f>+D89*J85*(1-'Appendix A'!$E$309)</f>
        <v>148807.460120982</v>
      </c>
      <c r="E95" s="495"/>
      <c r="F95" s="506"/>
      <c r="G95" s="507"/>
      <c r="H95" s="506"/>
      <c r="I95" s="484"/>
      <c r="J95" s="512">
        <f>+D95</f>
        <v>148807.460120982</v>
      </c>
    </row>
    <row r="96" spans="1:10" ht="15.6">
      <c r="A96" s="842">
        <f t="shared" si="2"/>
        <v>57</v>
      </c>
      <c r="B96" s="1090" t="str">
        <f>"ITC adjustment (line "&amp;A92&amp;" * line "&amp;A93&amp;")  * (1-n)"</f>
        <v>ITC adjustment (line 54 * line 55)  * (1-n)</v>
      </c>
      <c r="C96" s="1091"/>
      <c r="D96" s="838">
        <f>+D92*D93*(1-'Appendix A'!E309)</f>
        <v>0</v>
      </c>
      <c r="E96" s="506"/>
      <c r="F96" s="509" t="s">
        <v>59</v>
      </c>
      <c r="G96" s="493">
        <f>+'Appendix A'!H96</f>
        <v>6.4444218972739926E-3</v>
      </c>
      <c r="H96" s="506"/>
      <c r="I96" s="484"/>
      <c r="J96" s="838">
        <f>G96*D96</f>
        <v>0</v>
      </c>
    </row>
    <row r="97" spans="1:10" ht="15.6">
      <c r="A97" s="842">
        <f t="shared" si="2"/>
        <v>58</v>
      </c>
      <c r="B97" s="1092" t="s">
        <v>77</v>
      </c>
      <c r="C97" s="1088" t="str">
        <f>"(line "&amp;A95&amp;" plus line "&amp;A96&amp;")"</f>
        <v>(line 56 plus line 57)</v>
      </c>
      <c r="D97" s="1082">
        <f>+D96+D95</f>
        <v>148807.460120982</v>
      </c>
      <c r="E97" s="506"/>
      <c r="F97" s="484"/>
      <c r="G97" s="484"/>
      <c r="H97" s="484"/>
      <c r="I97" s="484"/>
      <c r="J97" s="512">
        <f>+J95+J96</f>
        <v>148807.460120982</v>
      </c>
    </row>
    <row r="98" spans="1:10" ht="15.6">
      <c r="B98" s="510"/>
      <c r="C98" s="499"/>
      <c r="D98" s="511"/>
      <c r="E98" s="506"/>
      <c r="F98" s="506"/>
      <c r="G98" s="507"/>
      <c r="H98" s="506"/>
      <c r="I98" s="511"/>
      <c r="J98" s="508"/>
    </row>
    <row r="99" spans="1:10" ht="15.6">
      <c r="A99" s="842"/>
      <c r="B99" s="484"/>
      <c r="C99" s="484"/>
      <c r="D99" s="484"/>
      <c r="E99" s="484"/>
      <c r="F99" s="484"/>
      <c r="G99" s="484"/>
      <c r="H99" s="484"/>
      <c r="I99" s="484"/>
      <c r="J99" s="492"/>
    </row>
    <row r="100" spans="1:10" ht="15.6">
      <c r="A100" s="842">
        <f>+A97+1</f>
        <v>59</v>
      </c>
      <c r="B100" s="499" t="s">
        <v>654</v>
      </c>
      <c r="C100" s="484"/>
      <c r="D100" s="484"/>
      <c r="E100" s="484" t="s">
        <v>684</v>
      </c>
      <c r="F100" s="484"/>
      <c r="G100" s="484"/>
      <c r="H100" s="484"/>
      <c r="I100" s="484"/>
      <c r="J100" s="512">
        <f>+J97+J85</f>
        <v>742459.24847165355</v>
      </c>
    </row>
    <row r="101" spans="1:10" ht="15.6">
      <c r="A101" s="842">
        <f>+A100+1</f>
        <v>60</v>
      </c>
      <c r="B101" s="484" t="s">
        <v>356</v>
      </c>
      <c r="C101" s="484"/>
      <c r="D101" s="484"/>
      <c r="E101" s="484" t="s">
        <v>423</v>
      </c>
      <c r="F101" s="484"/>
      <c r="G101" s="484"/>
      <c r="H101" s="484"/>
      <c r="I101" s="484"/>
      <c r="J101" s="504">
        <f>+J76</f>
        <v>8476994.8913737684</v>
      </c>
    </row>
    <row r="102" spans="1:10" ht="15.6">
      <c r="A102" s="842">
        <f>+A101+1</f>
        <v>61</v>
      </c>
      <c r="B102" s="484" t="s">
        <v>654</v>
      </c>
      <c r="C102" s="484"/>
      <c r="D102" s="484"/>
      <c r="E102" s="484" t="s">
        <v>685</v>
      </c>
      <c r="F102" s="484"/>
      <c r="G102" s="484"/>
      <c r="H102" s="484"/>
      <c r="I102" s="484"/>
      <c r="J102" s="812">
        <f>IF(J101=0,0,J100/J101)</f>
        <v>8.7585194751878842E-2</v>
      </c>
    </row>
    <row r="103" spans="1:10" ht="15.6">
      <c r="A103" s="842">
        <f>+A102+1</f>
        <v>62</v>
      </c>
      <c r="B103" s="484" t="s">
        <v>655</v>
      </c>
      <c r="C103" s="484"/>
      <c r="D103" s="484"/>
      <c r="E103" s="484" t="s">
        <v>686</v>
      </c>
      <c r="F103" s="484"/>
      <c r="G103" s="484"/>
      <c r="H103" s="484"/>
      <c r="I103" s="484"/>
      <c r="J103" s="812">
        <f>+J102-J37</f>
        <v>9.309947655694456E-4</v>
      </c>
    </row>
    <row r="104" spans="1:10" ht="15.6">
      <c r="A104" s="848"/>
      <c r="B104" s="484"/>
      <c r="J104" s="486" t="str">
        <f>+J40</f>
        <v>Attachment 4</v>
      </c>
    </row>
    <row r="106" spans="1:10" ht="15.6">
      <c r="A106" s="842">
        <v>63</v>
      </c>
      <c r="B106" s="582" t="s">
        <v>445</v>
      </c>
      <c r="E106" s="495"/>
      <c r="F106" s="495"/>
      <c r="G106" s="495"/>
      <c r="H106" s="495"/>
      <c r="J106" s="581"/>
    </row>
    <row r="107" spans="1:10" ht="15.6">
      <c r="B107" s="582"/>
      <c r="E107" s="495"/>
      <c r="F107" s="495"/>
      <c r="G107" s="495"/>
      <c r="H107" s="495"/>
      <c r="J107" s="581"/>
    </row>
    <row r="108" spans="1:10" ht="15.6">
      <c r="A108" s="842">
        <v>64</v>
      </c>
      <c r="B108" s="582" t="s">
        <v>595</v>
      </c>
      <c r="C108" t="s">
        <v>839</v>
      </c>
      <c r="E108" s="495"/>
      <c r="F108" s="495"/>
      <c r="G108" s="495"/>
      <c r="H108" s="495"/>
      <c r="J108" s="939">
        <f>IF(M134=0,0,('Appendix A'!J152+'Appendix A'!J168-'Appendix A'!J150)/M134)</f>
        <v>0</v>
      </c>
    </row>
    <row r="109" spans="1:10" ht="15.6">
      <c r="A109" s="842">
        <v>65</v>
      </c>
      <c r="B109" s="582" t="str">
        <f>+'Appendix A'!C265</f>
        <v>Base Carrying Charge (used in Attach 4, Line 65)</v>
      </c>
      <c r="C109" t="s">
        <v>447</v>
      </c>
      <c r="E109" s="495"/>
      <c r="F109" s="495"/>
      <c r="G109" s="495"/>
      <c r="H109" s="495"/>
      <c r="J109" s="939">
        <f>+'Appendix A'!M258</f>
        <v>0</v>
      </c>
    </row>
    <row r="110" spans="1:10" ht="15.6">
      <c r="A110" s="849"/>
      <c r="D110" s="495"/>
      <c r="E110" s="495"/>
      <c r="F110" s="495"/>
      <c r="G110" s="495"/>
      <c r="H110" s="495"/>
      <c r="J110" s="581"/>
    </row>
    <row r="111" spans="1:10" ht="15.6">
      <c r="A111" s="582" t="s">
        <v>987</v>
      </c>
      <c r="D111" s="495"/>
      <c r="E111" s="495"/>
      <c r="F111" s="495"/>
      <c r="G111" s="495"/>
      <c r="H111" s="495"/>
      <c r="J111" s="581"/>
    </row>
    <row r="112" spans="1:10" ht="15.6">
      <c r="A112" s="1096" t="s">
        <v>810</v>
      </c>
      <c r="B112" s="484"/>
      <c r="C112" s="484"/>
      <c r="D112" s="484"/>
      <c r="E112" s="484"/>
      <c r="F112" s="484"/>
      <c r="G112" s="484"/>
      <c r="H112" s="484"/>
      <c r="I112" s="484"/>
    </row>
    <row r="113" spans="1:17" ht="15.6">
      <c r="A113" s="849"/>
      <c r="B113" s="484"/>
      <c r="C113" s="484"/>
      <c r="D113" s="495"/>
      <c r="E113" s="495"/>
      <c r="F113" s="495"/>
      <c r="G113" s="495"/>
      <c r="H113" s="495"/>
      <c r="I113" s="484"/>
      <c r="J113" s="581"/>
    </row>
    <row r="114" spans="1:17" ht="16.2" thickBot="1">
      <c r="A114" s="849"/>
      <c r="B114" t="s">
        <v>394</v>
      </c>
      <c r="C114" t="s">
        <v>395</v>
      </c>
      <c r="D114" s="710" t="s">
        <v>416</v>
      </c>
      <c r="E114" s="710" t="s">
        <v>424</v>
      </c>
      <c r="F114" s="710" t="s">
        <v>425</v>
      </c>
      <c r="G114" s="710" t="s">
        <v>426</v>
      </c>
      <c r="H114" s="710" t="s">
        <v>427</v>
      </c>
      <c r="I114" s="710" t="s">
        <v>428</v>
      </c>
      <c r="J114" s="710" t="s">
        <v>443</v>
      </c>
      <c r="K114" s="710" t="s">
        <v>444</v>
      </c>
      <c r="L114" s="710" t="s">
        <v>492</v>
      </c>
      <c r="M114" s="710" t="s">
        <v>493</v>
      </c>
      <c r="N114" s="710" t="s">
        <v>494</v>
      </c>
      <c r="O114" s="710" t="s">
        <v>495</v>
      </c>
      <c r="P114" s="710" t="s">
        <v>496</v>
      </c>
      <c r="Q114" s="710" t="s">
        <v>497</v>
      </c>
    </row>
    <row r="115" spans="1:17" ht="92.25" customHeight="1" thickBot="1">
      <c r="A115" s="910" t="s">
        <v>35</v>
      </c>
      <c r="B115" s="911" t="s">
        <v>422</v>
      </c>
      <c r="C115" s="912" t="s">
        <v>687</v>
      </c>
      <c r="D115" s="912" t="s">
        <v>811</v>
      </c>
      <c r="E115" s="912" t="s">
        <v>783</v>
      </c>
      <c r="F115" s="912" t="s">
        <v>450</v>
      </c>
      <c r="G115" s="1095" t="s">
        <v>985</v>
      </c>
      <c r="H115" s="1095" t="s">
        <v>449</v>
      </c>
      <c r="I115" s="912" t="s">
        <v>448</v>
      </c>
      <c r="J115" s="912" t="s">
        <v>792</v>
      </c>
      <c r="K115" s="912" t="s">
        <v>656</v>
      </c>
      <c r="L115" s="914" t="s">
        <v>813</v>
      </c>
      <c r="M115" s="913" t="s">
        <v>596</v>
      </c>
      <c r="N115" s="913" t="s">
        <v>812</v>
      </c>
      <c r="O115" s="913" t="s">
        <v>814</v>
      </c>
      <c r="P115" s="913" t="s">
        <v>986</v>
      </c>
      <c r="Q115" s="915" t="s">
        <v>815</v>
      </c>
    </row>
    <row r="116" spans="1:17" ht="15.6">
      <c r="A116" s="891">
        <v>66</v>
      </c>
      <c r="B116" s="892"/>
      <c r="C116" s="892"/>
      <c r="D116" s="935"/>
      <c r="E116" s="893">
        <f>+G18</f>
        <v>9.9000000000000005E-2</v>
      </c>
      <c r="F116" s="936"/>
      <c r="G116" s="1093"/>
      <c r="H116" s="937">
        <f>+F116/0.01*G116</f>
        <v>0</v>
      </c>
      <c r="I116" s="931">
        <f>+C116*H116</f>
        <v>0</v>
      </c>
      <c r="J116" s="892">
        <v>0</v>
      </c>
      <c r="K116" s="894">
        <f>+J116*$J$103*C116</f>
        <v>0</v>
      </c>
      <c r="L116" s="895">
        <f>+C116*J$109</f>
        <v>0</v>
      </c>
      <c r="M116" s="892"/>
      <c r="N116" s="940">
        <f>+J108</f>
        <v>0</v>
      </c>
      <c r="O116" s="894">
        <f>+M116*N116</f>
        <v>0</v>
      </c>
      <c r="P116" s="892"/>
      <c r="Q116" s="896">
        <f>+I116+L116+O116+P116+K116</f>
        <v>0</v>
      </c>
    </row>
    <row r="117" spans="1:17" ht="15.6">
      <c r="A117" s="897" t="s">
        <v>800</v>
      </c>
      <c r="B117" s="890"/>
      <c r="C117" s="583">
        <v>0</v>
      </c>
      <c r="D117" s="938"/>
      <c r="E117" s="608">
        <f>+E116</f>
        <v>9.9000000000000005E-2</v>
      </c>
      <c r="F117" s="888">
        <v>0</v>
      </c>
      <c r="G117" s="1094"/>
      <c r="H117" s="943">
        <f>+F117/0.01*G117</f>
        <v>0</v>
      </c>
      <c r="I117" s="944">
        <f>+C117*H117</f>
        <v>0</v>
      </c>
      <c r="J117" s="583">
        <v>0</v>
      </c>
      <c r="K117" s="898">
        <f>+J117*$J$103*C117</f>
        <v>0</v>
      </c>
      <c r="L117" s="580">
        <f>+C117*J$109</f>
        <v>0</v>
      </c>
      <c r="M117" s="583"/>
      <c r="N117" s="941">
        <f>+N116</f>
        <v>0</v>
      </c>
      <c r="O117" s="898">
        <f>+M117*N117</f>
        <v>0</v>
      </c>
      <c r="P117" s="583"/>
      <c r="Q117" s="899">
        <f>+I117+L117+O117+P117+K117</f>
        <v>0</v>
      </c>
    </row>
    <row r="118" spans="1:17" ht="15.6">
      <c r="A118" s="897" t="s">
        <v>801</v>
      </c>
      <c r="B118" s="890"/>
      <c r="C118" s="583">
        <f>+'9 - Workpaper'!Z9</f>
        <v>0</v>
      </c>
      <c r="D118" s="938"/>
      <c r="E118" s="608">
        <f t="shared" ref="E118:E132" si="3">+E117</f>
        <v>9.9000000000000005E-2</v>
      </c>
      <c r="F118" s="590">
        <v>0</v>
      </c>
      <c r="G118" s="1094"/>
      <c r="H118" s="943">
        <f>+F118/0.01*G118</f>
        <v>0</v>
      </c>
      <c r="I118" s="944">
        <f>+C118*H118</f>
        <v>0</v>
      </c>
      <c r="J118" s="583">
        <v>0</v>
      </c>
      <c r="K118" s="898">
        <f>+J118*$J$103*C118</f>
        <v>0</v>
      </c>
      <c r="L118" s="580">
        <f>+C118*J$109</f>
        <v>0</v>
      </c>
      <c r="M118" s="583"/>
      <c r="N118" s="941">
        <f>+N117</f>
        <v>0</v>
      </c>
      <c r="O118" s="898">
        <f>+M118*N118</f>
        <v>0</v>
      </c>
      <c r="P118" s="583"/>
      <c r="Q118" s="899">
        <f>+I118+L118+O118+P118+K118</f>
        <v>0</v>
      </c>
    </row>
    <row r="119" spans="1:17" ht="15.6">
      <c r="A119" s="897" t="s">
        <v>802</v>
      </c>
      <c r="B119" s="890">
        <v>0</v>
      </c>
      <c r="C119" s="583">
        <v>0</v>
      </c>
      <c r="D119" s="938"/>
      <c r="E119" s="608">
        <f t="shared" si="3"/>
        <v>9.9000000000000005E-2</v>
      </c>
      <c r="F119" s="590">
        <v>0</v>
      </c>
      <c r="G119" s="580"/>
      <c r="H119" s="580"/>
      <c r="I119" s="580"/>
      <c r="J119" s="583">
        <v>0</v>
      </c>
      <c r="K119" s="898"/>
      <c r="L119" s="580"/>
      <c r="M119" s="583"/>
      <c r="N119" s="898">
        <f t="shared" ref="N119:N133" si="4">+N118</f>
        <v>0</v>
      </c>
      <c r="O119" s="898">
        <f t="shared" ref="O119:O133" si="5">+M119*N119</f>
        <v>0</v>
      </c>
      <c r="P119" s="583"/>
      <c r="Q119" s="899"/>
    </row>
    <row r="120" spans="1:17" ht="15.6">
      <c r="A120" s="897" t="s">
        <v>358</v>
      </c>
      <c r="B120" s="890"/>
      <c r="C120" s="583"/>
      <c r="D120" s="585"/>
      <c r="E120" s="608">
        <f t="shared" si="3"/>
        <v>9.9000000000000005E-2</v>
      </c>
      <c r="F120" s="590"/>
      <c r="G120" s="580"/>
      <c r="H120" s="580"/>
      <c r="I120" s="580"/>
      <c r="J120" s="583"/>
      <c r="K120" s="898"/>
      <c r="L120" s="580"/>
      <c r="M120" s="583"/>
      <c r="N120" s="898">
        <f t="shared" si="4"/>
        <v>0</v>
      </c>
      <c r="O120" s="898">
        <f t="shared" si="5"/>
        <v>0</v>
      </c>
      <c r="P120" s="583"/>
      <c r="Q120" s="899"/>
    </row>
    <row r="121" spans="1:17" ht="15.6">
      <c r="A121" s="897" t="s">
        <v>358</v>
      </c>
      <c r="B121" s="890"/>
      <c r="C121" s="583"/>
      <c r="D121" s="585"/>
      <c r="E121" s="608">
        <f t="shared" si="3"/>
        <v>9.9000000000000005E-2</v>
      </c>
      <c r="F121" s="590"/>
      <c r="G121" s="580"/>
      <c r="H121" s="580"/>
      <c r="I121" s="580"/>
      <c r="J121" s="583"/>
      <c r="K121" s="898"/>
      <c r="L121" s="580"/>
      <c r="M121" s="583"/>
      <c r="N121" s="898">
        <f t="shared" si="4"/>
        <v>0</v>
      </c>
      <c r="O121" s="898">
        <f t="shared" si="5"/>
        <v>0</v>
      </c>
      <c r="P121" s="583"/>
      <c r="Q121" s="899"/>
    </row>
    <row r="122" spans="1:17" ht="15.6">
      <c r="A122" s="897" t="s">
        <v>358</v>
      </c>
      <c r="B122" s="890"/>
      <c r="C122" s="583"/>
      <c r="D122" s="584"/>
      <c r="E122" s="608">
        <f t="shared" si="3"/>
        <v>9.9000000000000005E-2</v>
      </c>
      <c r="F122" s="583"/>
      <c r="G122" s="889"/>
      <c r="H122" s="889"/>
      <c r="I122" s="889"/>
      <c r="J122" s="583"/>
      <c r="K122" s="898"/>
      <c r="L122" s="889"/>
      <c r="M122" s="583"/>
      <c r="N122" s="898">
        <f t="shared" si="4"/>
        <v>0</v>
      </c>
      <c r="O122" s="898">
        <f t="shared" si="5"/>
        <v>0</v>
      </c>
      <c r="P122" s="583"/>
      <c r="Q122" s="899"/>
    </row>
    <row r="123" spans="1:17" ht="15.6">
      <c r="A123" s="897" t="s">
        <v>358</v>
      </c>
      <c r="B123" s="890"/>
      <c r="C123" s="583"/>
      <c r="D123" s="586"/>
      <c r="E123" s="608">
        <f t="shared" si="3"/>
        <v>9.9000000000000005E-2</v>
      </c>
      <c r="F123" s="590"/>
      <c r="G123" s="932"/>
      <c r="H123" s="580"/>
      <c r="I123" s="580"/>
      <c r="J123" s="583"/>
      <c r="K123" s="898"/>
      <c r="L123" s="580"/>
      <c r="M123" s="583"/>
      <c r="N123" s="898">
        <f t="shared" si="4"/>
        <v>0</v>
      </c>
      <c r="O123" s="898">
        <f t="shared" si="5"/>
        <v>0</v>
      </c>
      <c r="P123" s="583"/>
      <c r="Q123" s="899"/>
    </row>
    <row r="124" spans="1:17" ht="15.6">
      <c r="A124" s="897" t="s">
        <v>358</v>
      </c>
      <c r="B124" s="890"/>
      <c r="C124" s="583"/>
      <c r="D124" s="588"/>
      <c r="E124" s="608">
        <f t="shared" si="3"/>
        <v>9.9000000000000005E-2</v>
      </c>
      <c r="F124" s="590"/>
      <c r="G124" s="932"/>
      <c r="H124" s="580"/>
      <c r="I124" s="580"/>
      <c r="J124" s="583"/>
      <c r="K124" s="898"/>
      <c r="L124" s="580"/>
      <c r="M124" s="583"/>
      <c r="N124" s="898">
        <f t="shared" si="4"/>
        <v>0</v>
      </c>
      <c r="O124" s="898">
        <f t="shared" si="5"/>
        <v>0</v>
      </c>
      <c r="P124" s="583"/>
      <c r="Q124" s="899"/>
    </row>
    <row r="125" spans="1:17" ht="15.6">
      <c r="A125" s="897" t="s">
        <v>358</v>
      </c>
      <c r="B125" s="890"/>
      <c r="C125" s="583"/>
      <c r="D125" s="588"/>
      <c r="E125" s="608">
        <f t="shared" si="3"/>
        <v>9.9000000000000005E-2</v>
      </c>
      <c r="F125" s="590"/>
      <c r="G125" s="932"/>
      <c r="H125" s="580"/>
      <c r="I125" s="580"/>
      <c r="J125" s="583"/>
      <c r="K125" s="898"/>
      <c r="L125" s="580"/>
      <c r="M125" s="583"/>
      <c r="N125" s="898">
        <f t="shared" si="4"/>
        <v>0</v>
      </c>
      <c r="O125" s="898">
        <f t="shared" si="5"/>
        <v>0</v>
      </c>
      <c r="P125" s="583"/>
      <c r="Q125" s="899"/>
    </row>
    <row r="126" spans="1:17" ht="15.6">
      <c r="A126" s="897" t="s">
        <v>358</v>
      </c>
      <c r="B126" s="890"/>
      <c r="C126" s="583"/>
      <c r="D126" s="584"/>
      <c r="E126" s="608">
        <f t="shared" si="3"/>
        <v>9.9000000000000005E-2</v>
      </c>
      <c r="F126" s="590"/>
      <c r="G126" s="932"/>
      <c r="H126" s="580"/>
      <c r="I126" s="580"/>
      <c r="J126" s="583"/>
      <c r="K126" s="898"/>
      <c r="L126" s="580"/>
      <c r="M126" s="583"/>
      <c r="N126" s="898">
        <f t="shared" si="4"/>
        <v>0</v>
      </c>
      <c r="O126" s="898">
        <f t="shared" si="5"/>
        <v>0</v>
      </c>
      <c r="P126" s="583"/>
      <c r="Q126" s="899"/>
    </row>
    <row r="127" spans="1:17" ht="15.6">
      <c r="A127" s="897" t="s">
        <v>358</v>
      </c>
      <c r="B127" s="890"/>
      <c r="C127" s="583"/>
      <c r="D127" s="587"/>
      <c r="E127" s="608">
        <f t="shared" si="3"/>
        <v>9.9000000000000005E-2</v>
      </c>
      <c r="F127" s="590"/>
      <c r="G127" s="932"/>
      <c r="H127" s="580"/>
      <c r="I127" s="580"/>
      <c r="J127" s="583"/>
      <c r="K127" s="898"/>
      <c r="L127" s="580"/>
      <c r="M127" s="583"/>
      <c r="N127" s="898">
        <f t="shared" si="4"/>
        <v>0</v>
      </c>
      <c r="O127" s="898">
        <f t="shared" si="5"/>
        <v>0</v>
      </c>
      <c r="P127" s="583"/>
      <c r="Q127" s="899"/>
    </row>
    <row r="128" spans="1:17" ht="15.6">
      <c r="A128" s="897" t="s">
        <v>358</v>
      </c>
      <c r="B128" s="890"/>
      <c r="C128" s="583"/>
      <c r="D128" s="588"/>
      <c r="E128" s="608">
        <f t="shared" si="3"/>
        <v>9.9000000000000005E-2</v>
      </c>
      <c r="F128" s="590"/>
      <c r="G128" s="932"/>
      <c r="H128" s="580"/>
      <c r="I128" s="580"/>
      <c r="J128" s="583"/>
      <c r="K128" s="898"/>
      <c r="L128" s="580"/>
      <c r="M128" s="583"/>
      <c r="N128" s="898">
        <f t="shared" si="4"/>
        <v>0</v>
      </c>
      <c r="O128" s="898">
        <f t="shared" si="5"/>
        <v>0</v>
      </c>
      <c r="P128" s="583"/>
      <c r="Q128" s="899"/>
    </row>
    <row r="129" spans="1:17" ht="15.6">
      <c r="A129" s="897" t="s">
        <v>358</v>
      </c>
      <c r="B129" s="890"/>
      <c r="C129" s="583"/>
      <c r="D129" s="589"/>
      <c r="E129" s="608">
        <f t="shared" si="3"/>
        <v>9.9000000000000005E-2</v>
      </c>
      <c r="F129" s="590"/>
      <c r="G129" s="932"/>
      <c r="H129" s="580"/>
      <c r="I129" s="580"/>
      <c r="J129" s="583"/>
      <c r="K129" s="898"/>
      <c r="L129" s="580"/>
      <c r="M129" s="583"/>
      <c r="N129" s="898">
        <f t="shared" si="4"/>
        <v>0</v>
      </c>
      <c r="O129" s="898">
        <f t="shared" si="5"/>
        <v>0</v>
      </c>
      <c r="P129" s="583"/>
      <c r="Q129" s="899"/>
    </row>
    <row r="130" spans="1:17" ht="15.6">
      <c r="A130" s="897" t="s">
        <v>358</v>
      </c>
      <c r="B130" s="890"/>
      <c r="C130" s="583"/>
      <c r="D130" s="589"/>
      <c r="E130" s="608">
        <f t="shared" si="3"/>
        <v>9.9000000000000005E-2</v>
      </c>
      <c r="F130" s="590"/>
      <c r="G130" s="580"/>
      <c r="H130" s="580"/>
      <c r="I130" s="580"/>
      <c r="J130" s="583"/>
      <c r="K130" s="898"/>
      <c r="L130" s="580"/>
      <c r="M130" s="583"/>
      <c r="N130" s="898">
        <f t="shared" si="4"/>
        <v>0</v>
      </c>
      <c r="O130" s="898">
        <f t="shared" si="5"/>
        <v>0</v>
      </c>
      <c r="P130" s="583"/>
      <c r="Q130" s="899"/>
    </row>
    <row r="131" spans="1:17" ht="15.6">
      <c r="A131" s="897" t="s">
        <v>358</v>
      </c>
      <c r="B131" s="890"/>
      <c r="C131" s="583"/>
      <c r="D131" s="589"/>
      <c r="E131" s="608">
        <f t="shared" si="3"/>
        <v>9.9000000000000005E-2</v>
      </c>
      <c r="F131" s="590"/>
      <c r="G131" s="580"/>
      <c r="H131" s="580"/>
      <c r="I131" s="86"/>
      <c r="J131" s="583"/>
      <c r="K131" s="898"/>
      <c r="L131" s="889"/>
      <c r="M131" s="583"/>
      <c r="N131" s="898">
        <f t="shared" si="4"/>
        <v>0</v>
      </c>
      <c r="O131" s="898">
        <f t="shared" si="5"/>
        <v>0</v>
      </c>
      <c r="P131" s="583"/>
      <c r="Q131" s="899"/>
    </row>
    <row r="132" spans="1:17" ht="15.6">
      <c r="A132" s="897" t="s">
        <v>358</v>
      </c>
      <c r="B132" s="890"/>
      <c r="C132" s="583"/>
      <c r="D132" s="589"/>
      <c r="E132" s="608">
        <f t="shared" si="3"/>
        <v>9.9000000000000005E-2</v>
      </c>
      <c r="F132" s="590"/>
      <c r="G132" s="580"/>
      <c r="H132" s="580"/>
      <c r="I132" s="580"/>
      <c r="J132" s="583"/>
      <c r="K132" s="898"/>
      <c r="L132" s="580"/>
      <c r="M132" s="583"/>
      <c r="N132" s="898">
        <f t="shared" si="4"/>
        <v>0</v>
      </c>
      <c r="O132" s="898">
        <f t="shared" si="5"/>
        <v>0</v>
      </c>
      <c r="P132" s="583"/>
      <c r="Q132" s="899"/>
    </row>
    <row r="133" spans="1:17" ht="16.2" thickBot="1">
      <c r="A133" s="902"/>
      <c r="B133" s="903"/>
      <c r="C133" s="904"/>
      <c r="D133" s="905"/>
      <c r="E133" s="906">
        <f>+E132</f>
        <v>9.9000000000000005E-2</v>
      </c>
      <c r="F133" s="907"/>
      <c r="G133" s="900"/>
      <c r="H133" s="900"/>
      <c r="I133" s="900"/>
      <c r="J133" s="907"/>
      <c r="K133" s="901"/>
      <c r="L133" s="908"/>
      <c r="M133" s="907"/>
      <c r="N133" s="901">
        <f t="shared" si="4"/>
        <v>0</v>
      </c>
      <c r="O133" s="901">
        <f t="shared" si="5"/>
        <v>0</v>
      </c>
      <c r="P133" s="907"/>
      <c r="Q133" s="909"/>
    </row>
    <row r="134" spans="1:17" ht="16.2" thickBot="1">
      <c r="A134" s="1097">
        <v>67</v>
      </c>
      <c r="B134" s="1098" t="s">
        <v>41</v>
      </c>
      <c r="C134" s="1098">
        <f>SUM(C116:C133)</f>
        <v>0</v>
      </c>
      <c r="D134" s="1098"/>
      <c r="E134" s="1098"/>
      <c r="F134" s="1098"/>
      <c r="G134" s="1098"/>
      <c r="H134" s="1098"/>
      <c r="I134" s="908">
        <f>SUM(I116:I133)</f>
        <v>0</v>
      </c>
      <c r="J134" s="1099"/>
      <c r="K134" s="908">
        <f>SUM(K116:K133)</f>
        <v>0</v>
      </c>
      <c r="L134" s="908">
        <f>SUM(L116:L133)</f>
        <v>0</v>
      </c>
      <c r="M134" s="1100">
        <f>SUM(M116:M133)</f>
        <v>0</v>
      </c>
      <c r="N134" s="1099"/>
      <c r="O134" s="908">
        <f>SUM(O116:O133)</f>
        <v>0</v>
      </c>
      <c r="P134" s="908">
        <f>SUM(P116:P133)</f>
        <v>0</v>
      </c>
      <c r="Q134" s="1101">
        <f>SUM(Q116:Q133)</f>
        <v>0</v>
      </c>
    </row>
    <row r="135" spans="1:17" ht="15.6">
      <c r="A135" s="849"/>
      <c r="B135" s="499" t="s">
        <v>637</v>
      </c>
      <c r="C135" s="484"/>
      <c r="D135" s="484"/>
      <c r="E135" s="484"/>
      <c r="F135" s="484"/>
      <c r="G135" s="484"/>
      <c r="H135" s="484"/>
      <c r="I135" s="580"/>
      <c r="J135" s="485"/>
      <c r="K135" s="485"/>
      <c r="L135" s="580"/>
      <c r="M135" s="485"/>
      <c r="N135" s="485"/>
      <c r="O135" s="485"/>
      <c r="P135" s="485"/>
      <c r="Q135" s="1102">
        <v>0</v>
      </c>
    </row>
    <row r="136" spans="1:17" ht="15.6">
      <c r="A136" s="849"/>
      <c r="B136" s="484" t="s">
        <v>451</v>
      </c>
      <c r="C136" s="484"/>
      <c r="D136" s="484"/>
      <c r="E136" s="484"/>
      <c r="F136" s="484"/>
      <c r="G136" s="484"/>
      <c r="H136" s="484"/>
      <c r="I136" s="580"/>
      <c r="J136" s="485"/>
      <c r="K136" s="485"/>
      <c r="L136" s="580"/>
      <c r="M136" s="485"/>
      <c r="N136" s="485"/>
      <c r="O136" s="485"/>
      <c r="P136" s="485"/>
      <c r="Q136" s="485">
        <f>+Q134-Q135</f>
        <v>0</v>
      </c>
    </row>
  </sheetData>
  <pageMargins left="0.7" right="0.7" top="0.75" bottom="0.75" header="0.3" footer="0.3"/>
  <pageSetup scale="37" fitToHeight="0" orientation="landscape" r:id="rId1"/>
  <rowBreaks count="1" manualBreakCount="1">
    <brk id="7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Q100"/>
  <sheetViews>
    <sheetView topLeftCell="A5" zoomScaleNormal="100" zoomScaleSheetLayoutView="75" workbookViewId="0">
      <selection activeCell="A4" sqref="A4:J4"/>
    </sheetView>
  </sheetViews>
  <sheetFormatPr defaultColWidth="8.81640625" defaultRowHeight="13.2"/>
  <cols>
    <col min="1" max="1" width="5.453125" style="124" customWidth="1"/>
    <col min="2" max="2" width="14.08984375" style="95" customWidth="1"/>
    <col min="3" max="3" width="12.08984375" style="95" bestFit="1" customWidth="1"/>
    <col min="4" max="4" width="12.08984375" style="95" customWidth="1"/>
    <col min="5" max="5" width="11" style="95" customWidth="1"/>
    <col min="6" max="6" width="13.453125" style="95" customWidth="1"/>
    <col min="7" max="7" width="15.54296875" style="95" customWidth="1"/>
    <col min="8" max="8" width="17.08984375" style="95" customWidth="1"/>
    <col min="9" max="9" width="20.7265625" style="95" customWidth="1"/>
    <col min="10" max="10" width="20.81640625" style="95" customWidth="1"/>
    <col min="11" max="11" width="7.08984375" style="95" customWidth="1"/>
    <col min="12" max="12" width="12.08984375" style="95" customWidth="1"/>
    <col min="13" max="13" width="8.08984375" style="95" customWidth="1"/>
    <col min="14" max="14" width="7.7265625" style="95" bestFit="1" customWidth="1"/>
    <col min="15" max="15" width="11.7265625" style="95" bestFit="1" customWidth="1"/>
    <col min="16" max="16" width="10.81640625" style="95" bestFit="1" customWidth="1"/>
    <col min="17" max="16384" width="8.81640625" style="95"/>
  </cols>
  <sheetData>
    <row r="1" spans="1:11" ht="15.6">
      <c r="I1" s="244"/>
    </row>
    <row r="2" spans="1:11" ht="15.6">
      <c r="A2" s="1211" t="s">
        <v>688</v>
      </c>
      <c r="B2" s="1211"/>
      <c r="C2" s="1211"/>
      <c r="D2" s="1211"/>
      <c r="E2" s="1211"/>
      <c r="F2" s="1211"/>
      <c r="G2" s="1211"/>
      <c r="H2" s="1211"/>
      <c r="I2" s="1211"/>
      <c r="J2" s="1211"/>
    </row>
    <row r="3" spans="1:11">
      <c r="A3" s="1212" t="str">
        <f>'Appendix A'!$E$9</f>
        <v>HURLEY AVENUE PROJECT - SYSTEM DELIVERABILITY UPGRADE</v>
      </c>
      <c r="B3" s="1212"/>
      <c r="C3" s="1212"/>
      <c r="D3" s="1212"/>
      <c r="E3" s="1212"/>
      <c r="F3" s="1212"/>
      <c r="G3" s="1212"/>
      <c r="H3" s="1212"/>
      <c r="I3" s="1212"/>
      <c r="J3" s="1212"/>
      <c r="K3" s="96"/>
    </row>
    <row r="4" spans="1:11">
      <c r="A4" s="1212" t="s">
        <v>25</v>
      </c>
      <c r="B4" s="1212"/>
      <c r="C4" s="1212"/>
      <c r="D4" s="1212"/>
      <c r="E4" s="1212"/>
      <c r="F4" s="1212"/>
      <c r="G4" s="1212"/>
      <c r="H4" s="1212"/>
      <c r="I4" s="1212"/>
      <c r="J4" s="1212"/>
      <c r="K4" s="96"/>
    </row>
    <row r="5" spans="1:11">
      <c r="A5" s="594"/>
      <c r="B5" s="96"/>
      <c r="C5" s="96"/>
      <c r="D5" s="96"/>
      <c r="E5" s="96"/>
      <c r="F5" s="246"/>
      <c r="G5" s="96"/>
      <c r="H5" s="96"/>
      <c r="I5" s="96"/>
      <c r="J5" s="96"/>
      <c r="K5" s="96"/>
    </row>
    <row r="6" spans="1:11">
      <c r="A6" s="594"/>
      <c r="B6" s="96"/>
      <c r="C6" s="96"/>
      <c r="D6" s="96"/>
      <c r="E6" s="1213"/>
      <c r="F6" s="1213"/>
      <c r="G6" s="1213"/>
      <c r="H6" s="96"/>
      <c r="I6" s="96"/>
      <c r="J6" s="96"/>
      <c r="K6" s="96"/>
    </row>
    <row r="7" spans="1:11">
      <c r="A7" s="594"/>
      <c r="B7" s="96"/>
      <c r="C7" s="96"/>
      <c r="D7" s="96"/>
      <c r="E7" s="96"/>
      <c r="F7" s="246"/>
      <c r="G7" s="96"/>
      <c r="H7" s="96"/>
      <c r="I7" s="96"/>
      <c r="J7" s="96"/>
      <c r="K7" s="96"/>
    </row>
    <row r="8" spans="1:11">
      <c r="A8" s="594"/>
      <c r="B8" s="96" t="s">
        <v>367</v>
      </c>
      <c r="C8" s="96"/>
      <c r="D8" s="96"/>
      <c r="E8" s="96"/>
      <c r="F8" s="246"/>
      <c r="G8" s="96"/>
      <c r="H8" s="96"/>
      <c r="I8" s="96"/>
      <c r="J8" s="96"/>
      <c r="K8" s="96"/>
    </row>
    <row r="9" spans="1:11">
      <c r="A9" s="594"/>
      <c r="B9" s="96" t="s">
        <v>275</v>
      </c>
      <c r="C9" s="96"/>
      <c r="D9" s="96"/>
      <c r="E9" s="96"/>
      <c r="F9" s="246"/>
      <c r="G9" s="96"/>
      <c r="H9" s="96"/>
      <c r="I9" s="96"/>
      <c r="J9" s="96"/>
      <c r="K9" s="96"/>
    </row>
    <row r="10" spans="1:11">
      <c r="A10" s="594"/>
      <c r="B10" s="96" t="s">
        <v>276</v>
      </c>
      <c r="C10" s="96"/>
      <c r="D10" s="96"/>
      <c r="E10" s="96"/>
      <c r="F10" s="246"/>
      <c r="G10" s="96"/>
      <c r="H10" s="96"/>
      <c r="I10" s="96"/>
      <c r="J10" s="96"/>
      <c r="K10" s="96"/>
    </row>
    <row r="11" spans="1:11">
      <c r="A11" s="594"/>
      <c r="B11" s="96"/>
      <c r="C11" s="96"/>
      <c r="D11" s="96"/>
      <c r="E11" s="96"/>
      <c r="F11" s="246"/>
      <c r="G11" s="96"/>
      <c r="H11" s="96"/>
      <c r="I11" s="96"/>
      <c r="J11" s="96"/>
      <c r="K11" s="96"/>
    </row>
    <row r="12" spans="1:11" ht="13.8" thickBot="1">
      <c r="A12" s="593"/>
      <c r="B12" s="245" t="s">
        <v>433</v>
      </c>
      <c r="C12" s="96"/>
      <c r="D12" s="96"/>
      <c r="E12" s="96"/>
      <c r="F12" s="96"/>
      <c r="G12" s="96"/>
      <c r="H12" s="96"/>
      <c r="I12" s="96"/>
      <c r="J12" s="96"/>
      <c r="K12" s="96"/>
    </row>
    <row r="13" spans="1:11" ht="13.8">
      <c r="A13" s="593"/>
      <c r="B13" s="247"/>
      <c r="C13" s="248"/>
      <c r="D13" s="248"/>
      <c r="E13" s="248"/>
      <c r="F13" s="249"/>
      <c r="G13" s="96"/>
      <c r="H13" s="96"/>
      <c r="I13" s="96"/>
      <c r="J13" s="96"/>
      <c r="K13" s="96"/>
    </row>
    <row r="14" spans="1:11" ht="14.4" thickBot="1">
      <c r="A14" s="593">
        <v>1</v>
      </c>
      <c r="B14" s="250" t="s">
        <v>198</v>
      </c>
      <c r="C14" s="251"/>
      <c r="D14" s="251"/>
      <c r="E14" s="251"/>
      <c r="F14" s="519">
        <v>0</v>
      </c>
      <c r="G14" s="96"/>
      <c r="H14" s="96"/>
      <c r="I14" s="96"/>
      <c r="J14" s="96"/>
      <c r="K14" s="96"/>
    </row>
    <row r="15" spans="1:11" ht="14.4" thickBot="1">
      <c r="A15" s="593"/>
      <c r="B15" s="245" t="s">
        <v>434</v>
      </c>
      <c r="C15" s="252"/>
      <c r="D15" s="252"/>
      <c r="E15" s="252"/>
      <c r="F15" s="253"/>
      <c r="G15" s="96"/>
      <c r="H15" s="96"/>
      <c r="I15" s="254"/>
      <c r="J15" s="96"/>
      <c r="K15" s="96"/>
    </row>
    <row r="16" spans="1:11" ht="16.8">
      <c r="A16" s="593">
        <v>2</v>
      </c>
      <c r="B16" s="247" t="s">
        <v>199</v>
      </c>
      <c r="C16" s="248"/>
      <c r="D16" s="248"/>
      <c r="E16" s="248"/>
      <c r="F16" s="447" t="e">
        <f>XIRR(J51:J70,B51:B70,0.08)</f>
        <v>#NUM!</v>
      </c>
      <c r="G16" s="255"/>
      <c r="H16" s="618"/>
      <c r="I16" s="96"/>
      <c r="J16" s="96"/>
      <c r="K16" s="96"/>
    </row>
    <row r="17" spans="1:12" ht="16.2">
      <c r="A17" s="593">
        <v>3</v>
      </c>
      <c r="B17" s="256" t="s">
        <v>200</v>
      </c>
      <c r="C17" s="252"/>
      <c r="D17" s="252"/>
      <c r="E17" s="252"/>
      <c r="F17" s="257"/>
      <c r="G17" s="96"/>
      <c r="H17"/>
      <c r="I17"/>
      <c r="J17"/>
    </row>
    <row r="18" spans="1:12" ht="15">
      <c r="A18" s="593"/>
      <c r="B18" s="258"/>
      <c r="D18" s="96"/>
      <c r="E18" s="96"/>
      <c r="F18" s="259"/>
      <c r="G18" s="96"/>
      <c r="H18"/>
      <c r="I18"/>
      <c r="J18"/>
    </row>
    <row r="19" spans="1:12">
      <c r="A19" s="593"/>
      <c r="B19" s="258"/>
      <c r="D19" s="96"/>
      <c r="E19" s="96"/>
      <c r="F19" s="259"/>
      <c r="G19" s="96"/>
      <c r="H19" s="96"/>
      <c r="I19" s="96"/>
      <c r="J19" s="96"/>
      <c r="K19" s="120"/>
    </row>
    <row r="20" spans="1:12" ht="22.8">
      <c r="A20" s="593">
        <v>4</v>
      </c>
      <c r="B20" s="260" t="s">
        <v>201</v>
      </c>
      <c r="C20" s="124"/>
      <c r="D20" s="261"/>
      <c r="E20" s="261"/>
      <c r="F20" s="259"/>
      <c r="G20" s="96"/>
      <c r="H20" s="96"/>
      <c r="J20" s="262"/>
      <c r="K20" s="96"/>
    </row>
    <row r="21" spans="1:12" ht="22.8">
      <c r="A21" s="593"/>
      <c r="B21" s="258"/>
      <c r="C21" s="263"/>
      <c r="D21" s="96"/>
      <c r="E21" s="96"/>
      <c r="F21" s="259"/>
      <c r="G21" s="96"/>
      <c r="H21" s="96"/>
      <c r="I21" s="96"/>
      <c r="J21" s="96"/>
      <c r="K21" s="96"/>
    </row>
    <row r="22" spans="1:12" ht="19.5" customHeight="1" thickBot="1">
      <c r="A22" s="593"/>
      <c r="B22" s="264"/>
      <c r="C22" s="152"/>
      <c r="D22" s="265"/>
      <c r="E22" s="265"/>
      <c r="F22" s="266"/>
      <c r="G22" s="96"/>
      <c r="H22" s="96"/>
      <c r="I22" s="96"/>
      <c r="J22" s="96"/>
      <c r="K22" s="96"/>
    </row>
    <row r="23" spans="1:12">
      <c r="A23" s="593"/>
      <c r="B23" s="245"/>
      <c r="D23" s="96"/>
      <c r="E23" s="96"/>
      <c r="F23" s="267"/>
      <c r="G23" s="96"/>
      <c r="H23" s="96"/>
      <c r="I23" s="96"/>
      <c r="J23" s="96"/>
      <c r="K23" s="96"/>
    </row>
    <row r="24" spans="1:12" ht="13.8" thickBot="1">
      <c r="A24" s="593"/>
      <c r="B24" s="157" t="s">
        <v>435</v>
      </c>
      <c r="D24" s="96"/>
      <c r="E24" s="96"/>
      <c r="F24" s="268"/>
      <c r="G24" s="96"/>
      <c r="H24" s="96"/>
      <c r="I24" s="96"/>
      <c r="J24" s="96"/>
      <c r="K24" s="96"/>
    </row>
    <row r="25" spans="1:12">
      <c r="A25" s="593"/>
      <c r="B25" s="269"/>
      <c r="C25" s="270"/>
      <c r="D25" s="271"/>
      <c r="E25" s="271"/>
      <c r="F25" s="272"/>
      <c r="G25" s="96"/>
      <c r="H25" s="96"/>
      <c r="I25" s="96"/>
      <c r="J25" s="96"/>
      <c r="K25" s="96"/>
    </row>
    <row r="26" spans="1:12">
      <c r="A26" s="593"/>
      <c r="B26" s="258" t="s">
        <v>202</v>
      </c>
      <c r="D26" s="96"/>
      <c r="E26" s="96"/>
      <c r="F26" s="273"/>
      <c r="G26" s="96"/>
      <c r="H26" s="96"/>
      <c r="I26" s="96"/>
      <c r="J26" s="96"/>
      <c r="K26" s="96"/>
    </row>
    <row r="27" spans="1:12" ht="15.6">
      <c r="A27" s="593">
        <v>5</v>
      </c>
      <c r="B27" s="274" t="s">
        <v>203</v>
      </c>
      <c r="D27" s="96"/>
      <c r="E27" s="96"/>
      <c r="F27" s="520">
        <v>0</v>
      </c>
      <c r="G27" s="96"/>
      <c r="H27" s="618"/>
      <c r="I27" s="96"/>
      <c r="J27" s="96"/>
      <c r="K27" s="96"/>
    </row>
    <row r="28" spans="1:12" ht="15.6">
      <c r="A28" s="593">
        <v>6</v>
      </c>
      <c r="B28" s="274" t="s">
        <v>237</v>
      </c>
      <c r="D28" s="96"/>
      <c r="E28" s="96"/>
      <c r="F28" s="520">
        <f>0.002*F14</f>
        <v>0</v>
      </c>
      <c r="H28" s="618"/>
      <c r="I28" s="96"/>
      <c r="J28" s="96"/>
      <c r="K28" s="96"/>
      <c r="L28" s="334"/>
    </row>
    <row r="29" spans="1:12">
      <c r="A29" s="593">
        <v>7</v>
      </c>
      <c r="B29" s="274" t="s">
        <v>236</v>
      </c>
      <c r="D29" s="96"/>
      <c r="E29" s="96"/>
      <c r="F29" s="520">
        <f>0.0035*F14</f>
        <v>0</v>
      </c>
      <c r="G29" s="332"/>
      <c r="H29" s="96"/>
      <c r="I29" s="96"/>
      <c r="J29" s="96"/>
      <c r="K29" s="96"/>
    </row>
    <row r="30" spans="1:12">
      <c r="A30" s="593">
        <v>8</v>
      </c>
      <c r="B30" s="274" t="s">
        <v>235</v>
      </c>
      <c r="D30" s="96"/>
      <c r="E30" s="96"/>
      <c r="F30" s="520">
        <v>0</v>
      </c>
      <c r="G30" s="96"/>
      <c r="H30" s="96"/>
      <c r="I30" s="96"/>
      <c r="J30" s="96"/>
      <c r="K30" s="96"/>
    </row>
    <row r="31" spans="1:12">
      <c r="A31" s="593">
        <v>9</v>
      </c>
      <c r="B31" s="274" t="s">
        <v>234</v>
      </c>
      <c r="C31" s="275"/>
      <c r="D31" s="96"/>
      <c r="E31" s="96"/>
      <c r="F31" s="520">
        <v>0</v>
      </c>
      <c r="G31" s="96"/>
      <c r="H31" s="96"/>
      <c r="I31" s="96"/>
      <c r="J31" s="96"/>
      <c r="K31" s="96"/>
    </row>
    <row r="32" spans="1:12" ht="13.8" thickBot="1">
      <c r="A32" s="593">
        <v>10</v>
      </c>
      <c r="B32" s="274" t="s">
        <v>204</v>
      </c>
      <c r="C32" s="275"/>
      <c r="D32" s="96"/>
      <c r="E32" s="96"/>
      <c r="F32" s="276">
        <f>SUM(F27:F31)</f>
        <v>0</v>
      </c>
      <c r="G32" s="96"/>
      <c r="H32" s="96"/>
      <c r="I32" s="96"/>
      <c r="J32" s="96"/>
      <c r="K32" s="96"/>
    </row>
    <row r="33" spans="1:17" ht="14.4" thickTop="1" thickBot="1">
      <c r="A33" s="593"/>
      <c r="B33" s="277"/>
      <c r="C33" s="278"/>
      <c r="D33" s="279"/>
      <c r="E33" s="279"/>
      <c r="F33" s="280"/>
      <c r="G33" s="96"/>
      <c r="H33" s="96"/>
      <c r="I33" s="96"/>
      <c r="J33" s="96"/>
      <c r="K33" s="96"/>
    </row>
    <row r="34" spans="1:17">
      <c r="A34" s="593"/>
      <c r="B34" s="269"/>
      <c r="C34" s="281"/>
      <c r="D34" s="271"/>
      <c r="E34" s="271"/>
      <c r="F34" s="282"/>
      <c r="G34" s="96"/>
      <c r="H34" s="96"/>
      <c r="I34" s="96"/>
      <c r="J34" s="283"/>
      <c r="K34" s="96"/>
    </row>
    <row r="35" spans="1:17">
      <c r="A35" s="593">
        <v>11</v>
      </c>
      <c r="B35" s="258" t="s">
        <v>243</v>
      </c>
      <c r="C35" s="275"/>
      <c r="D35" s="96"/>
      <c r="E35" s="96"/>
      <c r="F35" s="521">
        <f>+F14*0.0004*2</f>
        <v>0</v>
      </c>
      <c r="G35" s="332"/>
      <c r="H35" s="96"/>
      <c r="I35" s="96"/>
      <c r="J35" s="283"/>
      <c r="K35" s="96"/>
    </row>
    <row r="36" spans="1:17">
      <c r="A36" s="593">
        <v>12</v>
      </c>
      <c r="B36" s="258" t="s">
        <v>244</v>
      </c>
      <c r="C36" s="275"/>
      <c r="D36" s="96"/>
      <c r="E36" s="96"/>
      <c r="F36" s="521">
        <v>0</v>
      </c>
      <c r="G36" s="96"/>
      <c r="H36" s="96"/>
      <c r="I36" s="96"/>
      <c r="J36" s="283"/>
      <c r="K36" s="96"/>
    </row>
    <row r="37" spans="1:17" ht="13.8" thickBot="1">
      <c r="A37" s="593">
        <v>13</v>
      </c>
      <c r="B37" s="264" t="s">
        <v>233</v>
      </c>
      <c r="C37" s="284"/>
      <c r="D37" s="265"/>
      <c r="E37" s="265"/>
      <c r="F37" s="522">
        <v>0</v>
      </c>
      <c r="G37" s="285"/>
      <c r="H37" s="96"/>
      <c r="I37" s="96"/>
      <c r="K37" s="96"/>
    </row>
    <row r="38" spans="1:17">
      <c r="A38" s="593"/>
      <c r="B38" s="245"/>
      <c r="C38" s="246"/>
      <c r="D38" s="96"/>
      <c r="E38" s="96"/>
      <c r="F38" s="96"/>
      <c r="G38" s="96"/>
      <c r="H38" s="96"/>
      <c r="I38" s="96"/>
      <c r="J38" s="96"/>
      <c r="K38" s="96"/>
    </row>
    <row r="39" spans="1:17" ht="13.8" thickBot="1">
      <c r="A39" s="593"/>
      <c r="B39" s="157" t="s">
        <v>593</v>
      </c>
      <c r="C39" s="246"/>
      <c r="D39" s="96"/>
      <c r="E39" s="96"/>
      <c r="F39" s="96"/>
      <c r="G39" s="96"/>
      <c r="H39" s="96"/>
      <c r="I39" s="96"/>
      <c r="J39" s="96"/>
      <c r="K39" s="96"/>
    </row>
    <row r="40" spans="1:17" ht="16.2" thickBot="1">
      <c r="B40" s="286"/>
      <c r="C40" s="333">
        <v>2014</v>
      </c>
      <c r="D40" s="287">
        <f t="shared" ref="D40:I40" si="0">+C40+1</f>
        <v>2015</v>
      </c>
      <c r="E40" s="287">
        <f t="shared" si="0"/>
        <v>2016</v>
      </c>
      <c r="F40" s="287">
        <f t="shared" si="0"/>
        <v>2017</v>
      </c>
      <c r="G40" s="287">
        <f t="shared" si="0"/>
        <v>2018</v>
      </c>
      <c r="H40" s="287">
        <f t="shared" si="0"/>
        <v>2019</v>
      </c>
      <c r="I40" s="287">
        <f t="shared" si="0"/>
        <v>2020</v>
      </c>
      <c r="K40" s="618"/>
    </row>
    <row r="41" spans="1:17" ht="16.2" thickBot="1">
      <c r="A41" s="124">
        <v>14</v>
      </c>
      <c r="B41" s="143" t="s">
        <v>232</v>
      </c>
      <c r="C41" s="523">
        <v>6.3600000000000002E-3</v>
      </c>
      <c r="D41" s="523">
        <v>1.034E-2</v>
      </c>
      <c r="E41" s="523">
        <v>1.6E-2</v>
      </c>
      <c r="F41" s="523">
        <v>2.1299999999999999E-2</v>
      </c>
      <c r="G41" s="523">
        <v>2.1299999999999999E-2</v>
      </c>
      <c r="H41" s="523">
        <v>2.1299999999999999E-2</v>
      </c>
      <c r="I41" s="523">
        <v>2.1299999999999999E-2</v>
      </c>
      <c r="K41" s="618"/>
      <c r="L41" s="1209"/>
      <c r="M41" s="1209"/>
      <c r="N41" s="1209"/>
      <c r="O41" s="1209"/>
      <c r="P41" s="1209"/>
      <c r="Q41" s="1209"/>
    </row>
    <row r="42" spans="1:17" ht="13.8" thickBot="1">
      <c r="A42" s="124">
        <v>15</v>
      </c>
      <c r="B42" s="143" t="s">
        <v>231</v>
      </c>
      <c r="C42" s="523">
        <v>2.2499999999999999E-2</v>
      </c>
      <c r="D42" s="523">
        <v>2.2499999999999999E-2</v>
      </c>
      <c r="E42" s="523">
        <v>2.2499999999999999E-2</v>
      </c>
      <c r="F42" s="523">
        <v>2.2499999999999999E-2</v>
      </c>
      <c r="G42" s="523">
        <v>2.2499999999999999E-2</v>
      </c>
      <c r="H42" s="523">
        <v>2.2499999999999999E-2</v>
      </c>
      <c r="I42" s="523">
        <v>2.2499999999999999E-2</v>
      </c>
    </row>
    <row r="43" spans="1:17" ht="13.8" thickBot="1">
      <c r="A43" s="124">
        <v>16</v>
      </c>
      <c r="B43" s="288" t="s">
        <v>205</v>
      </c>
      <c r="C43" s="289">
        <f t="shared" ref="C43:I43" si="1">SUM(C41:C42)</f>
        <v>2.886E-2</v>
      </c>
      <c r="D43" s="289">
        <f t="shared" si="1"/>
        <v>3.2840000000000001E-2</v>
      </c>
      <c r="E43" s="289">
        <f t="shared" si="1"/>
        <v>3.85E-2</v>
      </c>
      <c r="F43" s="289">
        <f t="shared" si="1"/>
        <v>4.3799999999999999E-2</v>
      </c>
      <c r="G43" s="289">
        <f t="shared" si="1"/>
        <v>4.3799999999999999E-2</v>
      </c>
      <c r="H43" s="289">
        <f t="shared" si="1"/>
        <v>4.3799999999999999E-2</v>
      </c>
      <c r="I43" s="289">
        <f t="shared" si="1"/>
        <v>4.3799999999999999E-2</v>
      </c>
    </row>
    <row r="45" spans="1:17" ht="13.8" thickBot="1">
      <c r="B45" s="157" t="s">
        <v>594</v>
      </c>
    </row>
    <row r="46" spans="1:17">
      <c r="B46" s="290" t="s">
        <v>140</v>
      </c>
      <c r="C46" s="196" t="s">
        <v>139</v>
      </c>
      <c r="D46" s="196" t="s">
        <v>206</v>
      </c>
      <c r="E46" s="196" t="s">
        <v>207</v>
      </c>
      <c r="F46" s="196" t="s">
        <v>208</v>
      </c>
      <c r="G46" s="196" t="s">
        <v>209</v>
      </c>
      <c r="H46" s="196" t="s">
        <v>210</v>
      </c>
      <c r="I46" s="196" t="s">
        <v>211</v>
      </c>
      <c r="J46" s="291" t="s">
        <v>212</v>
      </c>
    </row>
    <row r="47" spans="1:17" ht="52.8">
      <c r="A47" s="124">
        <v>17</v>
      </c>
      <c r="B47" s="118" t="s">
        <v>142</v>
      </c>
      <c r="C47" s="124"/>
      <c r="D47" s="227" t="s">
        <v>528</v>
      </c>
      <c r="E47" s="227" t="s">
        <v>308</v>
      </c>
      <c r="F47" s="227" t="s">
        <v>309</v>
      </c>
      <c r="G47" s="227" t="s">
        <v>310</v>
      </c>
      <c r="H47" s="227" t="s">
        <v>213</v>
      </c>
      <c r="I47" s="227" t="s">
        <v>230</v>
      </c>
      <c r="J47" s="292" t="s">
        <v>214</v>
      </c>
    </row>
    <row r="48" spans="1:17" ht="58.5" customHeight="1" thickBot="1">
      <c r="B48" s="293"/>
      <c r="C48" s="152"/>
      <c r="D48" s="595"/>
      <c r="E48" s="595"/>
      <c r="F48" s="595" t="s">
        <v>461</v>
      </c>
      <c r="G48" s="595" t="s">
        <v>689</v>
      </c>
      <c r="H48" s="595" t="s">
        <v>462</v>
      </c>
      <c r="I48" s="595" t="s">
        <v>690</v>
      </c>
      <c r="J48" s="596" t="s">
        <v>215</v>
      </c>
    </row>
    <row r="49" spans="1:12">
      <c r="B49" s="290"/>
      <c r="C49" s="196"/>
      <c r="D49" s="270"/>
      <c r="E49" s="270"/>
      <c r="F49" s="270"/>
      <c r="G49" s="270"/>
      <c r="H49" s="270"/>
      <c r="I49" s="270"/>
      <c r="J49" s="294"/>
    </row>
    <row r="50" spans="1:12" ht="15">
      <c r="A50" s="124">
        <v>18</v>
      </c>
      <c r="B50" s="524"/>
      <c r="C50" s="323"/>
      <c r="D50" s="518"/>
      <c r="E50" s="525"/>
      <c r="F50" s="525"/>
      <c r="H50" s="525"/>
      <c r="J50" s="297"/>
    </row>
    <row r="51" spans="1:12" ht="15.6">
      <c r="A51" s="124">
        <f>+A50+1</f>
        <v>19</v>
      </c>
      <c r="B51" s="524">
        <v>41729</v>
      </c>
      <c r="C51" s="323" t="s">
        <v>218</v>
      </c>
      <c r="D51" s="518">
        <v>0</v>
      </c>
      <c r="E51" s="518">
        <v>0</v>
      </c>
      <c r="F51" s="518">
        <f>SUM($E$50:E51)</f>
        <v>0</v>
      </c>
      <c r="H51" s="518"/>
      <c r="J51" s="297">
        <f t="shared" ref="J51:J67" si="2">E51-G51-H51-I51</f>
        <v>0</v>
      </c>
      <c r="L51" s="619"/>
    </row>
    <row r="52" spans="1:12" ht="15.6">
      <c r="A52" s="124">
        <f t="shared" ref="A52:A74" si="3">+A51+1</f>
        <v>20</v>
      </c>
      <c r="B52" s="524">
        <v>41820</v>
      </c>
      <c r="C52" s="323" t="s">
        <v>219</v>
      </c>
      <c r="D52" s="518">
        <v>0</v>
      </c>
      <c r="E52" s="518">
        <v>0</v>
      </c>
      <c r="F52" s="518">
        <f>SUM($E$50:E52)</f>
        <v>0</v>
      </c>
      <c r="G52" s="598">
        <f>F51*SUMIF($C$40:$I$40,YEAR(B51),$C$43:$I$43)*((B52-B51)/365)</f>
        <v>0</v>
      </c>
      <c r="H52" s="518"/>
      <c r="I52" s="296">
        <f>($F$14/1000-F51)*$F$37/4+($F$36/1000)/4+($F$35/1000)/4</f>
        <v>0</v>
      </c>
      <c r="J52" s="297">
        <f t="shared" si="2"/>
        <v>0</v>
      </c>
      <c r="L52" s="618"/>
    </row>
    <row r="53" spans="1:12" ht="15.6">
      <c r="A53" s="124">
        <f t="shared" si="3"/>
        <v>21</v>
      </c>
      <c r="B53" s="524">
        <v>41912</v>
      </c>
      <c r="C53" s="323" t="s">
        <v>216</v>
      </c>
      <c r="D53" s="518">
        <v>0</v>
      </c>
      <c r="E53" s="518">
        <v>0</v>
      </c>
      <c r="F53" s="518">
        <f>SUM($E$50:E53)</f>
        <v>0</v>
      </c>
      <c r="G53" s="598">
        <f>F52*SUMIF($C$40:$I$40,YEAR(B52),$C$43:$I$43)*((B53-B52)/365)</f>
        <v>0</v>
      </c>
      <c r="H53" s="518"/>
      <c r="I53" s="296">
        <f t="shared" ref="I53:I66" si="4">($F$14/1000-F52)*$F$37/4+($F$36/1000)/4+($F$35/1000)/4</f>
        <v>0</v>
      </c>
      <c r="J53" s="297">
        <f t="shared" si="2"/>
        <v>0</v>
      </c>
      <c r="K53" s="119"/>
      <c r="L53" s="618"/>
    </row>
    <row r="54" spans="1:12" ht="15">
      <c r="A54" s="124">
        <f t="shared" si="3"/>
        <v>22</v>
      </c>
      <c r="B54" s="524">
        <v>42004</v>
      </c>
      <c r="C54" s="323" t="s">
        <v>217</v>
      </c>
      <c r="D54" s="518">
        <v>0</v>
      </c>
      <c r="E54" s="518">
        <v>0</v>
      </c>
      <c r="F54" s="518">
        <f>SUM($E$50:E54)</f>
        <v>0</v>
      </c>
      <c r="G54" s="598">
        <f t="shared" ref="G54:G66" si="5">F53*SUMIF($C$40:$I$40,YEAR(B53),$C$43:$I$43)*((B54-B53)/365)</f>
        <v>0</v>
      </c>
      <c r="H54" s="518"/>
      <c r="I54" s="296">
        <f t="shared" si="4"/>
        <v>0</v>
      </c>
      <c r="J54" s="297">
        <f t="shared" si="2"/>
        <v>0</v>
      </c>
      <c r="K54" s="119"/>
      <c r="L54" s="226"/>
    </row>
    <row r="55" spans="1:12" ht="15">
      <c r="A55" s="124">
        <f t="shared" si="3"/>
        <v>23</v>
      </c>
      <c r="B55" s="524">
        <v>42094</v>
      </c>
      <c r="C55" s="323" t="s">
        <v>218</v>
      </c>
      <c r="D55" s="518">
        <v>0</v>
      </c>
      <c r="E55" s="518">
        <v>0</v>
      </c>
      <c r="F55" s="518">
        <f>SUM($E$50:E55)</f>
        <v>0</v>
      </c>
      <c r="G55" s="598">
        <f t="shared" si="5"/>
        <v>0</v>
      </c>
      <c r="H55" s="518"/>
      <c r="I55" s="296">
        <f t="shared" si="4"/>
        <v>0</v>
      </c>
      <c r="J55" s="297">
        <f t="shared" si="2"/>
        <v>0</v>
      </c>
      <c r="K55" s="119"/>
      <c r="L55" s="226"/>
    </row>
    <row r="56" spans="1:12" ht="15">
      <c r="A56" s="124">
        <f t="shared" si="3"/>
        <v>24</v>
      </c>
      <c r="B56" s="524">
        <v>42185</v>
      </c>
      <c r="C56" s="323" t="s">
        <v>219</v>
      </c>
      <c r="D56" s="518">
        <v>0</v>
      </c>
      <c r="E56" s="518">
        <v>0</v>
      </c>
      <c r="F56" s="518">
        <f>SUM($E$50:E56)</f>
        <v>0</v>
      </c>
      <c r="G56" s="598">
        <f t="shared" si="5"/>
        <v>0</v>
      </c>
      <c r="H56" s="518"/>
      <c r="I56" s="296">
        <f t="shared" si="4"/>
        <v>0</v>
      </c>
      <c r="J56" s="297">
        <f t="shared" si="2"/>
        <v>0</v>
      </c>
      <c r="K56" s="119"/>
      <c r="L56" s="226"/>
    </row>
    <row r="57" spans="1:12" ht="15">
      <c r="A57" s="124">
        <f t="shared" si="3"/>
        <v>25</v>
      </c>
      <c r="B57" s="524">
        <v>42277</v>
      </c>
      <c r="C57" s="323" t="s">
        <v>216</v>
      </c>
      <c r="D57" s="518">
        <v>0</v>
      </c>
      <c r="E57" s="518">
        <v>0</v>
      </c>
      <c r="F57" s="518">
        <f>SUM($E$50:E57)</f>
        <v>0</v>
      </c>
      <c r="G57" s="598">
        <f t="shared" si="5"/>
        <v>0</v>
      </c>
      <c r="H57" s="518"/>
      <c r="I57" s="296">
        <f t="shared" si="4"/>
        <v>0</v>
      </c>
      <c r="J57" s="297">
        <f t="shared" si="2"/>
        <v>0</v>
      </c>
      <c r="K57" s="119"/>
      <c r="L57" s="226"/>
    </row>
    <row r="58" spans="1:12" ht="15">
      <c r="A58" s="124">
        <f t="shared" si="3"/>
        <v>26</v>
      </c>
      <c r="B58" s="524">
        <v>42369</v>
      </c>
      <c r="C58" s="323" t="s">
        <v>217</v>
      </c>
      <c r="D58" s="518">
        <v>0</v>
      </c>
      <c r="E58" s="518">
        <v>0</v>
      </c>
      <c r="F58" s="518">
        <f>SUM($E$50:E58)</f>
        <v>0</v>
      </c>
      <c r="G58" s="598">
        <f t="shared" si="5"/>
        <v>0</v>
      </c>
      <c r="H58" s="518"/>
      <c r="I58" s="296">
        <f t="shared" si="4"/>
        <v>0</v>
      </c>
      <c r="J58" s="297">
        <f t="shared" si="2"/>
        <v>0</v>
      </c>
      <c r="K58" s="119"/>
      <c r="L58" s="226"/>
    </row>
    <row r="59" spans="1:12" ht="15">
      <c r="A59" s="124">
        <f t="shared" si="3"/>
        <v>27</v>
      </c>
      <c r="B59" s="524">
        <v>42460</v>
      </c>
      <c r="C59" s="323" t="s">
        <v>218</v>
      </c>
      <c r="D59" s="518">
        <v>0</v>
      </c>
      <c r="E59" s="518">
        <v>0</v>
      </c>
      <c r="F59" s="518">
        <f>SUM($E$50:E59)</f>
        <v>0</v>
      </c>
      <c r="G59" s="598">
        <f t="shared" si="5"/>
        <v>0</v>
      </c>
      <c r="H59" s="518"/>
      <c r="I59" s="296">
        <f t="shared" si="4"/>
        <v>0</v>
      </c>
      <c r="J59" s="297">
        <f t="shared" si="2"/>
        <v>0</v>
      </c>
      <c r="K59" s="119"/>
      <c r="L59" s="226"/>
    </row>
    <row r="60" spans="1:12" ht="15">
      <c r="A60" s="124">
        <f t="shared" si="3"/>
        <v>28</v>
      </c>
      <c r="B60" s="524">
        <v>42551</v>
      </c>
      <c r="C60" s="323" t="s">
        <v>219</v>
      </c>
      <c r="D60" s="518">
        <v>0</v>
      </c>
      <c r="E60" s="518">
        <v>0</v>
      </c>
      <c r="F60" s="518">
        <f>SUM($E$50:E60)</f>
        <v>0</v>
      </c>
      <c r="G60" s="598">
        <f t="shared" si="5"/>
        <v>0</v>
      </c>
      <c r="H60" s="518"/>
      <c r="I60" s="296">
        <f t="shared" si="4"/>
        <v>0</v>
      </c>
      <c r="J60" s="297">
        <f t="shared" si="2"/>
        <v>0</v>
      </c>
      <c r="K60" s="119"/>
      <c r="L60" s="226"/>
    </row>
    <row r="61" spans="1:12" ht="15">
      <c r="A61" s="124">
        <f t="shared" si="3"/>
        <v>29</v>
      </c>
      <c r="B61" s="524">
        <v>42643</v>
      </c>
      <c r="C61" s="323" t="s">
        <v>216</v>
      </c>
      <c r="D61" s="518">
        <v>0</v>
      </c>
      <c r="E61" s="518">
        <v>0</v>
      </c>
      <c r="F61" s="518">
        <f>SUM($E$50:E61)</f>
        <v>0</v>
      </c>
      <c r="G61" s="598">
        <f t="shared" si="5"/>
        <v>0</v>
      </c>
      <c r="H61" s="518"/>
      <c r="I61" s="296">
        <f t="shared" si="4"/>
        <v>0</v>
      </c>
      <c r="J61" s="297">
        <f t="shared" si="2"/>
        <v>0</v>
      </c>
      <c r="K61" s="119"/>
      <c r="L61" s="226"/>
    </row>
    <row r="62" spans="1:12" ht="15">
      <c r="A62" s="124">
        <f t="shared" si="3"/>
        <v>30</v>
      </c>
      <c r="B62" s="524">
        <v>42735</v>
      </c>
      <c r="C62" s="323" t="s">
        <v>217</v>
      </c>
      <c r="D62" s="518">
        <v>0</v>
      </c>
      <c r="E62" s="518">
        <v>0</v>
      </c>
      <c r="F62" s="518">
        <f>SUM($E$50:E62)</f>
        <v>0</v>
      </c>
      <c r="G62" s="598">
        <f t="shared" si="5"/>
        <v>0</v>
      </c>
      <c r="H62" s="518"/>
      <c r="I62" s="296">
        <f t="shared" si="4"/>
        <v>0</v>
      </c>
      <c r="J62" s="297">
        <f t="shared" si="2"/>
        <v>0</v>
      </c>
      <c r="K62" s="119"/>
      <c r="L62" s="226"/>
    </row>
    <row r="63" spans="1:12" ht="15">
      <c r="A63" s="124">
        <f t="shared" si="3"/>
        <v>31</v>
      </c>
      <c r="B63" s="524">
        <v>42825</v>
      </c>
      <c r="C63" s="323" t="s">
        <v>218</v>
      </c>
      <c r="D63" s="518">
        <v>0</v>
      </c>
      <c r="E63" s="518">
        <v>0</v>
      </c>
      <c r="F63" s="518">
        <f>SUM($E$50:E63)</f>
        <v>0</v>
      </c>
      <c r="G63" s="598">
        <f t="shared" si="5"/>
        <v>0</v>
      </c>
      <c r="H63" s="518"/>
      <c r="I63" s="296">
        <f t="shared" si="4"/>
        <v>0</v>
      </c>
      <c r="J63" s="297">
        <f t="shared" si="2"/>
        <v>0</v>
      </c>
      <c r="K63" s="119"/>
      <c r="L63" s="226"/>
    </row>
    <row r="64" spans="1:12" ht="15">
      <c r="A64" s="124">
        <f t="shared" si="3"/>
        <v>32</v>
      </c>
      <c r="B64" s="524">
        <v>42916</v>
      </c>
      <c r="C64" s="323" t="s">
        <v>219</v>
      </c>
      <c r="D64" s="518">
        <v>0</v>
      </c>
      <c r="E64" s="518">
        <v>0</v>
      </c>
      <c r="F64" s="518">
        <f>SUM($E$50:E64)</f>
        <v>0</v>
      </c>
      <c r="G64" s="598">
        <f t="shared" si="5"/>
        <v>0</v>
      </c>
      <c r="H64" s="518"/>
      <c r="I64" s="296">
        <f t="shared" si="4"/>
        <v>0</v>
      </c>
      <c r="J64" s="297">
        <f t="shared" si="2"/>
        <v>0</v>
      </c>
      <c r="K64" s="119"/>
      <c r="L64" s="226"/>
    </row>
    <row r="65" spans="1:15" ht="15">
      <c r="A65" s="124">
        <f t="shared" si="3"/>
        <v>33</v>
      </c>
      <c r="B65" s="524">
        <v>43008</v>
      </c>
      <c r="C65" s="323" t="s">
        <v>216</v>
      </c>
      <c r="D65" s="518">
        <v>0</v>
      </c>
      <c r="E65" s="518">
        <v>0</v>
      </c>
      <c r="F65" s="518">
        <f>SUM($E$50:E65)</f>
        <v>0</v>
      </c>
      <c r="G65" s="598">
        <f t="shared" si="5"/>
        <v>0</v>
      </c>
      <c r="H65" s="518"/>
      <c r="I65" s="296">
        <f t="shared" si="4"/>
        <v>0</v>
      </c>
      <c r="J65" s="297">
        <f t="shared" si="2"/>
        <v>0</v>
      </c>
      <c r="K65" s="119"/>
      <c r="L65" s="226"/>
    </row>
    <row r="66" spans="1:15" ht="15">
      <c r="A66" s="124">
        <f t="shared" si="3"/>
        <v>34</v>
      </c>
      <c r="B66" s="524">
        <v>43100</v>
      </c>
      <c r="C66" s="323" t="s">
        <v>217</v>
      </c>
      <c r="D66" s="518">
        <v>0</v>
      </c>
      <c r="E66" s="518">
        <v>0</v>
      </c>
      <c r="F66" s="518">
        <f>SUM($E$50:E66)</f>
        <v>0</v>
      </c>
      <c r="G66" s="598">
        <f t="shared" si="5"/>
        <v>0</v>
      </c>
      <c r="H66" s="518"/>
      <c r="I66" s="296">
        <f t="shared" si="4"/>
        <v>0</v>
      </c>
      <c r="J66" s="297">
        <f t="shared" si="2"/>
        <v>0</v>
      </c>
      <c r="K66" s="119"/>
      <c r="L66" s="226"/>
    </row>
    <row r="67" spans="1:15" ht="15">
      <c r="A67" s="124">
        <f t="shared" si="3"/>
        <v>35</v>
      </c>
      <c r="B67" s="524">
        <v>43190</v>
      </c>
      <c r="C67" s="323" t="s">
        <v>218</v>
      </c>
      <c r="D67" s="518">
        <v>0</v>
      </c>
      <c r="E67" s="518">
        <v>0</v>
      </c>
      <c r="F67" s="518">
        <f>SUM($E$50:E67)</f>
        <v>0</v>
      </c>
      <c r="G67" s="598">
        <f>F66*SUMIF($C$40:$I$40,YEAR(B66),$C$43:$I$43)*((B67-B66)/365)+F67</f>
        <v>0</v>
      </c>
      <c r="H67" s="518"/>
      <c r="I67" s="296"/>
      <c r="J67" s="297">
        <f t="shared" si="2"/>
        <v>0</v>
      </c>
      <c r="K67" s="119"/>
      <c r="L67" s="226"/>
    </row>
    <row r="68" spans="1:15" ht="15">
      <c r="A68" s="124">
        <f t="shared" si="3"/>
        <v>36</v>
      </c>
      <c r="B68" s="524"/>
      <c r="C68" s="323"/>
      <c r="D68" s="518"/>
      <c r="E68" s="518"/>
      <c r="F68" s="518"/>
      <c r="G68" s="598"/>
      <c r="H68" s="518"/>
      <c r="I68" s="296"/>
      <c r="J68" s="597"/>
      <c r="K68" s="119"/>
      <c r="L68" s="226"/>
    </row>
    <row r="69" spans="1:15" ht="15">
      <c r="A69" s="124">
        <f t="shared" si="3"/>
        <v>37</v>
      </c>
      <c r="B69" s="524"/>
      <c r="C69" s="323"/>
      <c r="D69" s="518"/>
      <c r="E69" s="518"/>
      <c r="F69" s="518"/>
      <c r="G69" s="599"/>
      <c r="H69" s="518"/>
      <c r="I69" s="296"/>
      <c r="J69" s="597"/>
      <c r="K69" s="119"/>
      <c r="L69" s="226"/>
    </row>
    <row r="70" spans="1:15" ht="15">
      <c r="A70" s="124">
        <f t="shared" si="3"/>
        <v>38</v>
      </c>
      <c r="B70" s="524"/>
      <c r="C70" s="527"/>
      <c r="D70" s="518"/>
      <c r="E70" s="518"/>
      <c r="F70" s="518"/>
      <c r="G70" s="598"/>
      <c r="H70" s="518"/>
      <c r="I70" s="600"/>
      <c r="J70" s="597"/>
      <c r="K70" s="119"/>
    </row>
    <row r="71" spans="1:15" ht="15">
      <c r="A71" s="124">
        <f t="shared" si="3"/>
        <v>39</v>
      </c>
      <c r="B71" s="524"/>
      <c r="C71" s="527"/>
      <c r="D71" s="518"/>
      <c r="E71" s="518"/>
      <c r="F71" s="518"/>
      <c r="G71" s="295"/>
      <c r="H71" s="518"/>
      <c r="I71" s="296"/>
      <c r="J71" s="297"/>
      <c r="K71" s="119"/>
    </row>
    <row r="72" spans="1:15" ht="15">
      <c r="A72" s="124">
        <f t="shared" si="3"/>
        <v>40</v>
      </c>
      <c r="B72" s="524"/>
      <c r="C72" s="527"/>
      <c r="D72" s="518"/>
      <c r="E72" s="518"/>
      <c r="F72" s="518"/>
      <c r="G72" s="295"/>
      <c r="H72" s="518"/>
      <c r="I72" s="296"/>
      <c r="J72" s="297"/>
      <c r="K72" s="119"/>
    </row>
    <row r="73" spans="1:15" ht="15">
      <c r="A73" s="124">
        <f t="shared" si="3"/>
        <v>41</v>
      </c>
      <c r="B73" s="524"/>
      <c r="C73" s="527"/>
      <c r="D73" s="518"/>
      <c r="E73" s="518"/>
      <c r="F73" s="518"/>
      <c r="G73" s="295"/>
      <c r="H73" s="518"/>
      <c r="I73" s="296"/>
      <c r="J73" s="297"/>
      <c r="K73" s="119"/>
    </row>
    <row r="74" spans="1:15" ht="15.6" thickBot="1">
      <c r="A74" s="124">
        <f t="shared" si="3"/>
        <v>42</v>
      </c>
      <c r="B74" s="703"/>
      <c r="C74" s="704"/>
      <c r="D74" s="705"/>
      <c r="E74" s="705"/>
      <c r="F74" s="705"/>
      <c r="G74" s="298"/>
      <c r="H74" s="705"/>
      <c r="I74" s="299"/>
      <c r="J74" s="300"/>
      <c r="K74" s="119"/>
    </row>
    <row r="77" spans="1:15">
      <c r="A77" s="124" t="s">
        <v>459</v>
      </c>
      <c r="B77" s="630" t="str">
        <f>"1  The IRR is the input to Debt Cost shown on Appendix A, Page 4, Line "&amp;'Appendix A'!A250&amp;" during the construction period, after obtaining project financing, in accordance with Note G of Appendix A."</f>
        <v>1  The IRR is the input to Debt Cost shown on Appendix A, Page 4, Line 90 during the construction period, after obtaining project financing, in accordance with Note G of Appendix A.</v>
      </c>
      <c r="C77" s="630"/>
      <c r="D77" s="630"/>
      <c r="E77" s="630"/>
      <c r="F77" s="630"/>
      <c r="G77" s="630"/>
      <c r="H77" s="630"/>
      <c r="I77" s="630"/>
      <c r="J77" s="630"/>
    </row>
    <row r="78" spans="1:15">
      <c r="B78" s="630" t="s">
        <v>691</v>
      </c>
      <c r="C78" s="630"/>
      <c r="D78" s="630"/>
      <c r="E78" s="630"/>
      <c r="F78" s="630"/>
      <c r="G78" s="630"/>
      <c r="H78" s="630"/>
      <c r="I78" s="630"/>
      <c r="J78" s="630"/>
      <c r="O78" s="601"/>
    </row>
    <row r="79" spans="1:15" ht="15">
      <c r="B79" s="630" t="s">
        <v>580</v>
      </c>
      <c r="C79" s="630"/>
      <c r="D79" s="630"/>
      <c r="E79" s="630"/>
      <c r="F79" s="630"/>
      <c r="G79" s="630"/>
      <c r="H79" s="630"/>
      <c r="I79" s="630"/>
      <c r="J79" s="630"/>
      <c r="O79" s="602"/>
    </row>
    <row r="80" spans="1:15">
      <c r="B80" s="630" t="s">
        <v>581</v>
      </c>
      <c r="C80" s="630"/>
      <c r="D80" s="630"/>
      <c r="E80" s="630"/>
      <c r="F80" s="630"/>
      <c r="G80" s="630"/>
      <c r="H80" s="630"/>
      <c r="I80" s="630"/>
      <c r="J80" s="630"/>
      <c r="O80" s="601"/>
    </row>
    <row r="81" spans="1:15" ht="15">
      <c r="B81" s="630" t="s">
        <v>582</v>
      </c>
      <c r="C81" s="630"/>
      <c r="D81" s="630"/>
      <c r="E81" s="630"/>
      <c r="F81" s="630"/>
      <c r="G81" s="630"/>
      <c r="H81" s="630"/>
      <c r="I81" s="630"/>
      <c r="J81" s="630"/>
      <c r="O81" s="602"/>
    </row>
    <row r="82" spans="1:15">
      <c r="B82" s="630" t="s">
        <v>583</v>
      </c>
      <c r="C82" s="630"/>
      <c r="D82" s="630"/>
      <c r="E82" s="630"/>
      <c r="F82" s="630"/>
      <c r="G82" s="630"/>
      <c r="H82" s="630"/>
      <c r="I82" s="630"/>
      <c r="J82" s="630"/>
      <c r="O82" s="601"/>
    </row>
    <row r="83" spans="1:15" ht="15">
      <c r="B83" s="630" t="s">
        <v>832</v>
      </c>
      <c r="C83" s="630"/>
      <c r="D83" s="630"/>
      <c r="E83" s="630"/>
      <c r="F83" s="630"/>
      <c r="G83" s="630"/>
      <c r="H83" s="630"/>
      <c r="I83" s="630"/>
      <c r="J83" s="630"/>
      <c r="O83" s="603"/>
    </row>
    <row r="84" spans="1:15">
      <c r="B84" s="630" t="s">
        <v>584</v>
      </c>
      <c r="C84" s="630"/>
      <c r="D84" s="630"/>
      <c r="E84" s="630"/>
      <c r="F84" s="630"/>
      <c r="G84" s="630"/>
      <c r="H84" s="630"/>
      <c r="I84" s="630"/>
      <c r="J84" s="630"/>
    </row>
    <row r="85" spans="1:15">
      <c r="B85" s="630" t="s">
        <v>486</v>
      </c>
      <c r="C85" s="630"/>
      <c r="D85" s="630"/>
      <c r="E85" s="630"/>
      <c r="F85" s="630"/>
      <c r="G85" s="630"/>
      <c r="H85" s="630"/>
      <c r="I85" s="630"/>
      <c r="J85" s="630"/>
    </row>
    <row r="86" spans="1:15">
      <c r="B86" s="706" t="s">
        <v>692</v>
      </c>
      <c r="C86" s="630"/>
      <c r="D86" s="630"/>
      <c r="E86" s="630"/>
      <c r="F86" s="630"/>
      <c r="G86" s="630"/>
      <c r="H86" s="630"/>
      <c r="I86" s="630"/>
      <c r="J86" s="630"/>
    </row>
    <row r="87" spans="1:15">
      <c r="B87" s="630" t="s">
        <v>460</v>
      </c>
      <c r="C87" s="630"/>
      <c r="D87" s="630"/>
      <c r="E87" s="630"/>
      <c r="F87" s="630"/>
      <c r="G87" s="630"/>
      <c r="H87" s="630"/>
      <c r="I87" s="630"/>
      <c r="J87" s="630"/>
    </row>
    <row r="88" spans="1:15">
      <c r="B88" s="630" t="s">
        <v>693</v>
      </c>
      <c r="C88" s="630"/>
      <c r="D88" s="630"/>
      <c r="E88" s="630"/>
      <c r="F88" s="630"/>
      <c r="G88" s="630"/>
      <c r="H88" s="630"/>
      <c r="I88" s="630"/>
      <c r="J88" s="630"/>
    </row>
    <row r="89" spans="1:15">
      <c r="B89" s="630" t="s">
        <v>585</v>
      </c>
      <c r="C89" s="630"/>
      <c r="D89" s="630"/>
      <c r="E89" s="622"/>
      <c r="F89" s="630"/>
      <c r="G89" s="622"/>
      <c r="H89" s="622"/>
      <c r="I89" s="630"/>
      <c r="J89" s="622"/>
    </row>
    <row r="90" spans="1:15">
      <c r="B90" s="630" t="s">
        <v>586</v>
      </c>
      <c r="C90" s="630"/>
      <c r="D90" s="630"/>
      <c r="E90" s="707"/>
      <c r="F90" s="630"/>
      <c r="G90" s="630"/>
      <c r="H90" s="630"/>
      <c r="I90" s="630"/>
      <c r="J90" s="630"/>
    </row>
    <row r="91" spans="1:15">
      <c r="B91" s="630" t="s">
        <v>587</v>
      </c>
      <c r="C91" s="630"/>
      <c r="D91" s="707"/>
      <c r="E91" s="707"/>
      <c r="F91" s="630"/>
      <c r="G91" s="630"/>
      <c r="H91" s="630"/>
      <c r="I91" s="630"/>
      <c r="J91" s="630"/>
    </row>
    <row r="92" spans="1:15">
      <c r="B92" s="630" t="s">
        <v>588</v>
      </c>
      <c r="C92" s="630"/>
      <c r="D92" s="707"/>
      <c r="E92" s="707"/>
      <c r="F92" s="630"/>
      <c r="G92" s="630"/>
      <c r="H92" s="630"/>
      <c r="I92" s="630"/>
      <c r="J92" s="630"/>
    </row>
    <row r="93" spans="1:15">
      <c r="B93" s="630" t="s">
        <v>694</v>
      </c>
      <c r="C93" s="630"/>
      <c r="D93" s="707"/>
      <c r="E93" s="707"/>
      <c r="F93" s="630"/>
      <c r="G93" s="630"/>
      <c r="H93" s="630"/>
      <c r="I93" s="630"/>
      <c r="J93" s="630"/>
    </row>
    <row r="94" spans="1:15">
      <c r="B94" s="630" t="s">
        <v>695</v>
      </c>
      <c r="C94" s="630"/>
      <c r="D94" s="707"/>
      <c r="E94" s="707"/>
      <c r="F94" s="630"/>
      <c r="G94" s="630"/>
      <c r="H94" s="630"/>
      <c r="I94" s="630"/>
      <c r="J94" s="630"/>
    </row>
    <row r="95" spans="1:15">
      <c r="B95" s="630" t="s">
        <v>589</v>
      </c>
      <c r="C95" s="630"/>
      <c r="D95" s="707"/>
      <c r="E95" s="707"/>
      <c r="F95" s="630"/>
      <c r="G95" s="630"/>
      <c r="H95" s="630"/>
      <c r="I95" s="630"/>
      <c r="J95" s="630"/>
    </row>
    <row r="96" spans="1:15" s="605" customFormat="1">
      <c r="A96" s="604"/>
      <c r="B96" s="630"/>
      <c r="C96" s="630" t="s">
        <v>690</v>
      </c>
      <c r="D96" s="630"/>
      <c r="E96" s="707"/>
      <c r="F96" s="630"/>
      <c r="G96" s="630"/>
      <c r="H96" s="630"/>
      <c r="I96" s="630"/>
      <c r="J96" s="630"/>
    </row>
    <row r="97" spans="2:10">
      <c r="B97" s="708" t="s">
        <v>590</v>
      </c>
      <c r="C97" s="630" t="s">
        <v>591</v>
      </c>
      <c r="D97" s="630"/>
      <c r="E97" s="707"/>
      <c r="F97" s="630"/>
      <c r="G97" s="630"/>
      <c r="H97" s="630"/>
      <c r="I97" s="630"/>
      <c r="J97" s="630"/>
    </row>
    <row r="98" spans="2:10">
      <c r="B98" s="630" t="s">
        <v>592</v>
      </c>
      <c r="C98" s="709"/>
      <c r="D98" s="709"/>
      <c r="E98" s="630"/>
      <c r="F98" s="630"/>
      <c r="G98" s="630"/>
      <c r="H98" s="630"/>
      <c r="I98" s="630"/>
      <c r="J98" s="630"/>
    </row>
    <row r="99" spans="2:10">
      <c r="B99" s="630" t="s">
        <v>463</v>
      </c>
      <c r="C99" s="630"/>
      <c r="D99" s="630"/>
      <c r="E99" s="630"/>
      <c r="F99" s="630"/>
      <c r="G99" s="630"/>
      <c r="H99" s="630"/>
      <c r="I99" s="630"/>
      <c r="J99" s="630"/>
    </row>
    <row r="100" spans="2:10" ht="44.25" customHeight="1">
      <c r="B100" s="1210" t="s">
        <v>795</v>
      </c>
      <c r="C100" s="1210"/>
      <c r="D100" s="1210"/>
      <c r="E100" s="1210"/>
      <c r="F100" s="1210"/>
      <c r="G100" s="1210"/>
      <c r="H100" s="1210"/>
      <c r="I100" s="1210"/>
      <c r="J100" s="1210"/>
    </row>
  </sheetData>
  <mergeCells count="6">
    <mergeCell ref="L41:Q41"/>
    <mergeCell ref="B100:J100"/>
    <mergeCell ref="A2:J2"/>
    <mergeCell ref="A3:J3"/>
    <mergeCell ref="A4:J4"/>
    <mergeCell ref="E6:G6"/>
  </mergeCells>
  <pageMargins left="0.7" right="0.7" top="0.75" bottom="0.75" header="0.3" footer="0.3"/>
  <pageSetup scale="4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U230"/>
  <sheetViews>
    <sheetView topLeftCell="A74" zoomScale="80" zoomScaleNormal="80" zoomScalePageLayoutView="40" workbookViewId="0">
      <selection activeCell="C4" sqref="C4"/>
    </sheetView>
  </sheetViews>
  <sheetFormatPr defaultColWidth="8.81640625" defaultRowHeight="15"/>
  <cols>
    <col min="1" max="1" width="6.81640625" style="852" customWidth="1"/>
    <col min="2" max="2" width="51.453125" style="344" customWidth="1"/>
    <col min="3" max="3" width="48.7265625" style="341" customWidth="1"/>
    <col min="4" max="4" width="22.08984375" style="341" customWidth="1"/>
    <col min="5" max="5" width="20.08984375" style="341" customWidth="1"/>
    <col min="6" max="6" width="16.7265625" style="341" customWidth="1"/>
    <col min="7" max="7" width="20.81640625" style="341" customWidth="1"/>
    <col min="8" max="8" width="114.7265625" style="341" bestFit="1" customWidth="1"/>
    <col min="9" max="16384" width="8.81640625" style="341"/>
  </cols>
  <sheetData>
    <row r="1" spans="1:21" ht="18">
      <c r="B1" s="1215" t="str">
        <f>+'Appendix A'!E9</f>
        <v>HURLEY AVENUE PROJECT - SYSTEM DELIVERABILITY UPGRADE</v>
      </c>
      <c r="C1" s="1216"/>
      <c r="D1" s="1216"/>
      <c r="E1" s="1216"/>
      <c r="F1" s="1216"/>
      <c r="G1" s="1216"/>
      <c r="H1" s="1216"/>
      <c r="I1" s="340"/>
      <c r="J1" s="340"/>
    </row>
    <row r="2" spans="1:21" ht="18">
      <c r="B2" s="1215" t="s">
        <v>948</v>
      </c>
      <c r="C2" s="1215"/>
      <c r="D2" s="1215"/>
      <c r="E2" s="1215"/>
      <c r="F2" s="1215"/>
      <c r="G2" s="1215"/>
      <c r="H2" s="1215"/>
      <c r="I2" s="340"/>
      <c r="J2" s="340"/>
    </row>
    <row r="3" spans="1:21" ht="18">
      <c r="B3" s="1215" t="s">
        <v>949</v>
      </c>
      <c r="C3" s="1215"/>
      <c r="D3" s="1215"/>
      <c r="E3" s="1215"/>
      <c r="F3" s="1215"/>
      <c r="G3" s="1215"/>
      <c r="H3" s="1215"/>
      <c r="I3" s="340"/>
      <c r="J3" s="340"/>
    </row>
    <row r="4" spans="1:21" ht="18">
      <c r="B4" s="372"/>
      <c r="C4" s="372"/>
      <c r="D4" s="372"/>
      <c r="E4" s="372"/>
      <c r="F4" s="372"/>
      <c r="G4" s="372"/>
      <c r="H4" s="372"/>
      <c r="I4" s="340"/>
      <c r="J4" s="340"/>
    </row>
    <row r="5" spans="1:21" ht="18">
      <c r="B5" s="387"/>
      <c r="C5" s="388"/>
      <c r="D5" s="372"/>
      <c r="E5" s="372"/>
      <c r="F5" s="388"/>
      <c r="G5" s="372"/>
      <c r="H5" s="388"/>
    </row>
    <row r="6" spans="1:21" ht="18">
      <c r="B6" s="387"/>
      <c r="C6" s="388"/>
      <c r="D6" s="367" t="s">
        <v>45</v>
      </c>
      <c r="E6" s="367" t="s">
        <v>319</v>
      </c>
      <c r="F6" s="367" t="s">
        <v>317</v>
      </c>
      <c r="G6" s="367" t="s">
        <v>41</v>
      </c>
      <c r="H6" s="388"/>
      <c r="U6" s="342"/>
    </row>
    <row r="7" spans="1:21" ht="18">
      <c r="B7" s="387" t="s">
        <v>260</v>
      </c>
      <c r="C7" s="388"/>
      <c r="D7" s="367" t="s">
        <v>320</v>
      </c>
      <c r="E7" s="367" t="s">
        <v>320</v>
      </c>
      <c r="F7" s="367" t="s">
        <v>320</v>
      </c>
      <c r="G7" s="367"/>
      <c r="H7" s="388"/>
      <c r="U7" s="342"/>
    </row>
    <row r="8" spans="1:21" ht="18">
      <c r="B8" s="427"/>
      <c r="C8" s="388"/>
      <c r="D8" s="388"/>
      <c r="E8" s="388"/>
      <c r="F8" s="388"/>
      <c r="G8" s="388"/>
      <c r="H8" s="388"/>
    </row>
    <row r="9" spans="1:21" ht="18">
      <c r="A9" s="852">
        <v>1</v>
      </c>
      <c r="B9" s="341"/>
      <c r="C9" s="388" t="s">
        <v>833</v>
      </c>
      <c r="D9" s="389">
        <f>+E67</f>
        <v>-7349</v>
      </c>
      <c r="E9" s="389">
        <f>+F67</f>
        <v>0</v>
      </c>
      <c r="F9" s="389">
        <f>+G67</f>
        <v>0</v>
      </c>
      <c r="G9" s="389"/>
      <c r="H9" s="388" t="s">
        <v>322</v>
      </c>
    </row>
    <row r="10" spans="1:21" ht="18">
      <c r="A10" s="852">
        <v>2</v>
      </c>
      <c r="B10" s="341"/>
      <c r="C10" s="388" t="s">
        <v>323</v>
      </c>
      <c r="D10" s="389">
        <f>+E96</f>
        <v>0</v>
      </c>
      <c r="E10" s="389">
        <f>+F96</f>
        <v>0</v>
      </c>
      <c r="F10" s="389">
        <f>+G96</f>
        <v>0</v>
      </c>
      <c r="G10" s="389"/>
      <c r="H10" s="388" t="s">
        <v>324</v>
      </c>
    </row>
    <row r="11" spans="1:21" ht="18">
      <c r="A11" s="852">
        <v>3</v>
      </c>
      <c r="B11" s="341"/>
      <c r="C11" s="388" t="s">
        <v>325</v>
      </c>
      <c r="D11" s="1062">
        <f>E39</f>
        <v>500</v>
      </c>
      <c r="E11" s="1062">
        <f>F39</f>
        <v>0</v>
      </c>
      <c r="F11" s="1062">
        <f>G39</f>
        <v>0</v>
      </c>
      <c r="G11" s="389"/>
      <c r="H11" s="388" t="s">
        <v>326</v>
      </c>
    </row>
    <row r="12" spans="1:21" ht="18">
      <c r="A12" s="852">
        <v>4</v>
      </c>
      <c r="B12" s="341"/>
      <c r="C12" s="388" t="s">
        <v>327</v>
      </c>
      <c r="D12" s="389">
        <f>SUM(D9:D11)</f>
        <v>-6849</v>
      </c>
      <c r="E12" s="389">
        <f>SUM(E9:E11)</f>
        <v>0</v>
      </c>
      <c r="F12" s="389">
        <f>SUM(F9:F11)</f>
        <v>0</v>
      </c>
      <c r="G12" s="389"/>
      <c r="H12" s="390"/>
    </row>
    <row r="13" spans="1:21" ht="18">
      <c r="A13" s="852">
        <v>5</v>
      </c>
      <c r="B13" s="341"/>
      <c r="C13" s="388" t="s">
        <v>328</v>
      </c>
      <c r="D13" s="388"/>
      <c r="E13" s="388"/>
      <c r="F13" s="1067">
        <f>+'Appendix A'!J246</f>
        <v>2.5849081312395196E-3</v>
      </c>
      <c r="G13" s="388"/>
      <c r="H13" s="388"/>
    </row>
    <row r="14" spans="1:21" ht="21.6">
      <c r="A14" s="852">
        <v>6</v>
      </c>
      <c r="B14" s="341"/>
      <c r="C14" s="388" t="s">
        <v>59</v>
      </c>
      <c r="D14" s="388"/>
      <c r="E14" s="1068">
        <f>+'Appendix A'!H96</f>
        <v>6.4444218972739926E-3</v>
      </c>
      <c r="F14" s="388"/>
      <c r="G14" s="388"/>
      <c r="H14" s="388"/>
    </row>
    <row r="15" spans="1:21" ht="18">
      <c r="A15" s="852">
        <v>7</v>
      </c>
      <c r="B15" s="341"/>
      <c r="C15" s="388" t="s">
        <v>196</v>
      </c>
      <c r="D15" s="389">
        <f>+D12</f>
        <v>-6849</v>
      </c>
      <c r="E15" s="389">
        <f>+E12*E14</f>
        <v>0</v>
      </c>
      <c r="F15" s="389">
        <f>+F13*F12</f>
        <v>0</v>
      </c>
      <c r="G15" s="389">
        <f>+D15+E15+F15</f>
        <v>-6849</v>
      </c>
      <c r="H15" s="391"/>
    </row>
    <row r="16" spans="1:21" ht="18">
      <c r="A16" s="852">
        <v>8</v>
      </c>
      <c r="B16" s="341"/>
      <c r="C16" s="388" t="str">
        <f>"End of year from Attachment 6b, line "&amp;'6b- ADIT'!B15&amp;""</f>
        <v>End of year from Attachment 6b, line 7</v>
      </c>
      <c r="D16" s="389">
        <f>+'6b- ADIT'!D15</f>
        <v>-116290</v>
      </c>
      <c r="E16" s="389">
        <f>+'6b- ADIT'!E15</f>
        <v>0</v>
      </c>
      <c r="F16" s="389">
        <f>+'6b- ADIT'!F15</f>
        <v>0</v>
      </c>
      <c r="G16" s="389">
        <f>+D16+E16+F16</f>
        <v>-116290</v>
      </c>
      <c r="H16" s="391"/>
    </row>
    <row r="17" spans="1:8" ht="18">
      <c r="A17" s="852">
        <v>9</v>
      </c>
      <c r="B17" s="341"/>
      <c r="C17" s="388" t="s">
        <v>348</v>
      </c>
      <c r="D17" s="389">
        <f>+D15/2+D16/2</f>
        <v>-61569.5</v>
      </c>
      <c r="E17" s="389">
        <f>+E15/2+E16/2</f>
        <v>0</v>
      </c>
      <c r="F17" s="389">
        <f>+F15/2+F16/2</f>
        <v>0</v>
      </c>
      <c r="G17" s="389">
        <f>+D17+E17+F17</f>
        <v>-61569.5</v>
      </c>
      <c r="H17" s="391" t="str">
        <f>"Enter as negative Appendix A, line "&amp;'Appendix A'!A99&amp;"."</f>
        <v>Enter as negative Appendix A, line 24.</v>
      </c>
    </row>
    <row r="18" spans="1:8" ht="18">
      <c r="B18" s="388"/>
      <c r="C18" s="388"/>
      <c r="D18" s="390"/>
      <c r="E18" s="388"/>
      <c r="F18" s="388"/>
      <c r="G18" s="388"/>
      <c r="H18" s="389"/>
    </row>
    <row r="19" spans="1:8" ht="18">
      <c r="B19" s="388"/>
      <c r="C19" s="388"/>
      <c r="D19" s="388"/>
      <c r="E19" s="388"/>
      <c r="F19" s="388"/>
      <c r="G19" s="388"/>
      <c r="H19" s="392"/>
    </row>
    <row r="20" spans="1:8" ht="18">
      <c r="B20" s="387" t="s">
        <v>330</v>
      </c>
      <c r="C20" s="388"/>
      <c r="D20" s="388"/>
      <c r="E20" s="388"/>
      <c r="F20" s="388"/>
      <c r="G20" s="388"/>
      <c r="H20" s="388"/>
    </row>
    <row r="21" spans="1:8" ht="18">
      <c r="B21" s="387" t="s">
        <v>741</v>
      </c>
      <c r="C21" s="388"/>
      <c r="D21" s="388"/>
      <c r="E21" s="388"/>
      <c r="F21" s="388"/>
      <c r="G21" s="388"/>
      <c r="H21" s="388"/>
    </row>
    <row r="22" spans="1:8" ht="18">
      <c r="B22" s="372" t="s">
        <v>99</v>
      </c>
      <c r="C22" s="372" t="s">
        <v>100</v>
      </c>
      <c r="D22" s="372" t="s">
        <v>101</v>
      </c>
      <c r="E22" s="372" t="s">
        <v>102</v>
      </c>
      <c r="F22" s="342" t="s">
        <v>103</v>
      </c>
      <c r="G22" s="372" t="s">
        <v>104</v>
      </c>
      <c r="H22" s="372" t="s">
        <v>105</v>
      </c>
    </row>
    <row r="23" spans="1:8" ht="18">
      <c r="B23" s="387"/>
      <c r="C23" s="367" t="s">
        <v>41</v>
      </c>
      <c r="D23" s="367" t="s">
        <v>331</v>
      </c>
      <c r="E23" s="372"/>
      <c r="F23" s="372"/>
      <c r="G23" s="372"/>
      <c r="H23" s="388"/>
    </row>
    <row r="24" spans="1:8" ht="18">
      <c r="A24" s="852" t="s">
        <v>722</v>
      </c>
      <c r="B24" s="387" t="s">
        <v>325</v>
      </c>
      <c r="C24" s="367"/>
      <c r="D24" s="367" t="s">
        <v>332</v>
      </c>
      <c r="E24" s="367" t="s">
        <v>45</v>
      </c>
      <c r="F24" s="367" t="s">
        <v>319</v>
      </c>
      <c r="G24" s="367" t="s">
        <v>317</v>
      </c>
      <c r="H24" s="388"/>
    </row>
    <row r="25" spans="1:8" ht="18">
      <c r="B25" s="387"/>
      <c r="C25" s="367"/>
      <c r="D25" s="367" t="s">
        <v>320</v>
      </c>
      <c r="E25" s="367" t="s">
        <v>320</v>
      </c>
      <c r="F25" s="367" t="s">
        <v>320</v>
      </c>
      <c r="G25" s="367" t="s">
        <v>320</v>
      </c>
      <c r="H25" s="372" t="s">
        <v>333</v>
      </c>
    </row>
    <row r="26" spans="1:8" ht="35.1" customHeight="1">
      <c r="A26" s="852" t="s">
        <v>576</v>
      </c>
      <c r="B26" s="1061" t="s">
        <v>867</v>
      </c>
      <c r="C26" s="351">
        <f>SUM(D26:G26)</f>
        <v>500</v>
      </c>
      <c r="D26" s="352"/>
      <c r="E26" s="352">
        <v>500</v>
      </c>
      <c r="F26" s="352"/>
      <c r="G26" s="352"/>
      <c r="H26" s="395" t="str">
        <f>H55</f>
        <v>Related to Hurley Avenue Substation Project</v>
      </c>
    </row>
    <row r="27" spans="1:8" ht="35.1" customHeight="1">
      <c r="A27" s="852" t="s">
        <v>577</v>
      </c>
      <c r="B27" s="396"/>
      <c r="C27" s="351">
        <f>SUM(D27:G27)</f>
        <v>0</v>
      </c>
      <c r="D27" s="352"/>
      <c r="E27" s="352">
        <v>0</v>
      </c>
      <c r="F27" s="352"/>
      <c r="G27" s="352"/>
      <c r="H27" s="395"/>
    </row>
    <row r="28" spans="1:8" ht="35.1" customHeight="1">
      <c r="A28" s="852" t="s">
        <v>578</v>
      </c>
      <c r="B28" s="396"/>
      <c r="C28" s="351">
        <f>SUM(D28:G28)</f>
        <v>0</v>
      </c>
      <c r="D28" s="352"/>
      <c r="E28" s="352"/>
      <c r="F28" s="352"/>
      <c r="G28" s="352"/>
      <c r="H28" s="395"/>
    </row>
    <row r="29" spans="1:8" ht="35.1" customHeight="1">
      <c r="A29" s="852" t="s">
        <v>850</v>
      </c>
      <c r="B29" s="396"/>
      <c r="C29" s="351">
        <f>SUM(D29:G29)</f>
        <v>0</v>
      </c>
      <c r="D29" s="352"/>
      <c r="E29" s="352"/>
      <c r="F29" s="352"/>
      <c r="G29" s="352"/>
      <c r="H29" s="395"/>
    </row>
    <row r="30" spans="1:8" ht="35.1" customHeight="1">
      <c r="A30" s="852" t="s">
        <v>851</v>
      </c>
      <c r="B30" s="396"/>
      <c r="C30" s="351">
        <f>SUM(D30:G30)</f>
        <v>0</v>
      </c>
      <c r="D30" s="352"/>
      <c r="E30" s="352"/>
      <c r="F30" s="352"/>
      <c r="G30" s="352"/>
      <c r="H30" s="395"/>
    </row>
    <row r="31" spans="1:8" ht="35.1" customHeight="1">
      <c r="B31" s="396"/>
      <c r="C31" s="393"/>
      <c r="D31" s="394"/>
      <c r="E31" s="394"/>
      <c r="F31" s="394"/>
      <c r="G31" s="394"/>
      <c r="H31" s="395"/>
    </row>
    <row r="32" spans="1:8" ht="35.1" customHeight="1">
      <c r="B32" s="396"/>
      <c r="C32" s="393"/>
      <c r="D32" s="394"/>
      <c r="E32" s="394"/>
      <c r="F32" s="394"/>
      <c r="G32" s="394"/>
      <c r="H32" s="395"/>
    </row>
    <row r="33" spans="1:8" ht="35.1" customHeight="1">
      <c r="B33" s="396"/>
      <c r="C33" s="393"/>
      <c r="D33" s="397"/>
      <c r="E33" s="394"/>
      <c r="F33" s="394"/>
      <c r="G33" s="394"/>
      <c r="H33" s="395"/>
    </row>
    <row r="34" spans="1:8" ht="35.1" customHeight="1">
      <c r="B34" s="396"/>
      <c r="C34" s="393"/>
      <c r="D34" s="394"/>
      <c r="E34" s="394"/>
      <c r="F34" s="394"/>
      <c r="G34" s="394"/>
      <c r="H34" s="395"/>
    </row>
    <row r="35" spans="1:8" ht="35.1" customHeight="1">
      <c r="B35" s="396"/>
      <c r="C35" s="393"/>
      <c r="D35" s="393"/>
      <c r="E35" s="393"/>
      <c r="F35" s="393"/>
      <c r="G35" s="393"/>
      <c r="H35" s="395"/>
    </row>
    <row r="36" spans="1:8" ht="35.1" customHeight="1">
      <c r="A36" s="852" t="s">
        <v>696</v>
      </c>
      <c r="B36" s="414" t="s">
        <v>334</v>
      </c>
      <c r="C36" s="415">
        <f>SUBTOTAL(9,C26:C35)</f>
        <v>500</v>
      </c>
      <c r="D36" s="408">
        <f>SUM(D26:D35)</f>
        <v>0</v>
      </c>
      <c r="E36" s="408">
        <f>SUM(E26:E35)</f>
        <v>500</v>
      </c>
      <c r="F36" s="408">
        <f>SUM(F26:F35)</f>
        <v>0</v>
      </c>
      <c r="G36" s="408">
        <f>SUM(G26:G35)</f>
        <v>0</v>
      </c>
      <c r="H36" s="398"/>
    </row>
    <row r="37" spans="1:8" ht="35.1" customHeight="1">
      <c r="A37" s="852" t="s">
        <v>697</v>
      </c>
      <c r="B37" s="416" t="s">
        <v>335</v>
      </c>
      <c r="C37" s="399">
        <f>SUM(D37:E37)</f>
        <v>0</v>
      </c>
      <c r="D37" s="399"/>
      <c r="E37" s="399"/>
      <c r="F37" s="400"/>
      <c r="G37" s="401"/>
      <c r="H37" s="395"/>
    </row>
    <row r="38" spans="1:8" ht="35.1" customHeight="1">
      <c r="A38" s="852" t="s">
        <v>698</v>
      </c>
      <c r="B38" s="417" t="s">
        <v>336</v>
      </c>
      <c r="C38" s="399">
        <f>SUM(D38:E38)</f>
        <v>0</v>
      </c>
      <c r="D38" s="402"/>
      <c r="E38" s="402">
        <v>0</v>
      </c>
      <c r="F38" s="402"/>
      <c r="G38" s="402"/>
      <c r="H38" s="403"/>
    </row>
    <row r="39" spans="1:8" ht="35.1" customHeight="1" thickBot="1">
      <c r="A39" s="852" t="s">
        <v>699</v>
      </c>
      <c r="B39" s="418" t="s">
        <v>41</v>
      </c>
      <c r="C39" s="419">
        <f>+C36-C37-C38</f>
        <v>500</v>
      </c>
      <c r="D39" s="419">
        <f>+D36-D37-D38</f>
        <v>0</v>
      </c>
      <c r="E39" s="419">
        <f>+E36-E37-E38</f>
        <v>500</v>
      </c>
      <c r="F39" s="419">
        <f>+F36-F37-F38</f>
        <v>0</v>
      </c>
      <c r="G39" s="419">
        <f>+G36-G37-G38</f>
        <v>0</v>
      </c>
      <c r="H39" s="420"/>
    </row>
    <row r="40" spans="1:8" ht="35.1" customHeight="1" thickTop="1">
      <c r="B40" s="388" t="s">
        <v>337</v>
      </c>
      <c r="C40" s="390"/>
      <c r="D40" s="409"/>
      <c r="E40" s="372"/>
      <c r="F40" s="388"/>
      <c r="G40" s="421"/>
      <c r="H40" s="388"/>
    </row>
    <row r="41" spans="1:8" ht="18">
      <c r="A41" s="852" t="s">
        <v>700</v>
      </c>
      <c r="B41" s="1214" t="s">
        <v>338</v>
      </c>
      <c r="C41" s="1214"/>
      <c r="D41" s="1214"/>
      <c r="E41" s="1214"/>
      <c r="F41" s="1214"/>
      <c r="G41" s="1214"/>
      <c r="H41" s="388"/>
    </row>
    <row r="42" spans="1:8" ht="18">
      <c r="A42" s="852" t="s">
        <v>701</v>
      </c>
      <c r="B42" s="387" t="s">
        <v>339</v>
      </c>
      <c r="C42" s="388"/>
      <c r="D42" s="388"/>
      <c r="E42" s="388"/>
      <c r="F42" s="372"/>
      <c r="G42" s="372"/>
      <c r="H42" s="388"/>
    </row>
    <row r="43" spans="1:8" ht="18">
      <c r="A43" s="852" t="s">
        <v>724</v>
      </c>
      <c r="B43" s="387" t="s">
        <v>340</v>
      </c>
      <c r="C43" s="388"/>
      <c r="D43" s="388"/>
      <c r="E43" s="388"/>
      <c r="F43" s="372"/>
      <c r="G43" s="372"/>
      <c r="H43" s="388"/>
    </row>
    <row r="44" spans="1:8" ht="18">
      <c r="A44" s="852" t="s">
        <v>702</v>
      </c>
      <c r="B44" s="387" t="s">
        <v>341</v>
      </c>
      <c r="C44" s="388"/>
      <c r="D44" s="388"/>
      <c r="E44" s="388"/>
      <c r="F44" s="372"/>
      <c r="G44" s="372"/>
      <c r="H44" s="388"/>
    </row>
    <row r="45" spans="1:8" ht="18">
      <c r="A45" s="852" t="s">
        <v>703</v>
      </c>
      <c r="B45" s="1214" t="s">
        <v>670</v>
      </c>
      <c r="C45" s="1214"/>
      <c r="D45" s="1214"/>
      <c r="E45" s="1214"/>
      <c r="F45" s="1214"/>
      <c r="G45" s="1214"/>
      <c r="H45" s="404"/>
    </row>
    <row r="46" spans="1:8" ht="35.1" customHeight="1">
      <c r="B46" s="404"/>
      <c r="C46" s="404"/>
      <c r="D46" s="404"/>
      <c r="E46" s="404"/>
      <c r="F46" s="404"/>
      <c r="G46" s="404"/>
      <c r="H46" s="404"/>
    </row>
    <row r="47" spans="1:8" s="340" customFormat="1" ht="25.05" customHeight="1">
      <c r="A47" s="853"/>
      <c r="B47" s="1215" t="str">
        <f>+B1</f>
        <v>HURLEY AVENUE PROJECT - SYSTEM DELIVERABILITY UPGRADE</v>
      </c>
      <c r="C47" s="1216"/>
      <c r="D47" s="1216"/>
      <c r="E47" s="1216"/>
      <c r="F47" s="1216"/>
      <c r="G47" s="1216"/>
      <c r="H47" s="1216"/>
    </row>
    <row r="48" spans="1:8" s="340" customFormat="1" ht="25.05" customHeight="1">
      <c r="A48" s="853"/>
      <c r="B48" s="1215" t="s">
        <v>346</v>
      </c>
      <c r="C48" s="1215"/>
      <c r="D48" s="1215"/>
      <c r="E48" s="1215"/>
      <c r="F48" s="1215"/>
      <c r="G48" s="1215"/>
      <c r="H48" s="1215"/>
    </row>
    <row r="49" spans="1:8" s="340" customFormat="1" ht="25.05" customHeight="1">
      <c r="A49" s="853"/>
      <c r="B49" s="1215" t="str">
        <f>+B3</f>
        <v>Beginning of Rate Year</v>
      </c>
      <c r="C49" s="1215"/>
      <c r="D49" s="1215"/>
      <c r="E49" s="1215"/>
      <c r="F49" s="1215"/>
      <c r="G49" s="1215"/>
      <c r="H49" s="1215"/>
    </row>
    <row r="50" spans="1:8" ht="25.05" customHeight="1">
      <c r="B50" s="388"/>
      <c r="C50" s="388"/>
      <c r="D50" s="388"/>
      <c r="E50" s="388"/>
      <c r="F50" s="388"/>
      <c r="G50" s="388"/>
      <c r="H50" s="388"/>
    </row>
    <row r="51" spans="1:8" ht="25.05" customHeight="1">
      <c r="B51" s="372" t="s">
        <v>99</v>
      </c>
      <c r="C51" s="372" t="s">
        <v>100</v>
      </c>
      <c r="D51" s="372" t="s">
        <v>101</v>
      </c>
      <c r="E51" s="372" t="s">
        <v>102</v>
      </c>
      <c r="F51" s="342" t="s">
        <v>103</v>
      </c>
      <c r="G51" s="372" t="s">
        <v>104</v>
      </c>
      <c r="H51" s="372" t="s">
        <v>105</v>
      </c>
    </row>
    <row r="52" spans="1:8" ht="25.05" customHeight="1">
      <c r="B52" s="388"/>
      <c r="C52" s="367" t="s">
        <v>41</v>
      </c>
      <c r="D52" s="367" t="s">
        <v>331</v>
      </c>
      <c r="E52" s="372"/>
      <c r="F52" s="372"/>
      <c r="G52" s="372"/>
      <c r="H52" s="388"/>
    </row>
    <row r="53" spans="1:8" ht="25.05" customHeight="1">
      <c r="A53" s="852" t="s">
        <v>704</v>
      </c>
      <c r="B53" s="388" t="s">
        <v>321</v>
      </c>
      <c r="C53" s="367"/>
      <c r="D53" s="367" t="s">
        <v>332</v>
      </c>
      <c r="E53" s="367" t="s">
        <v>45</v>
      </c>
      <c r="F53" s="367" t="s">
        <v>319</v>
      </c>
      <c r="G53" s="367" t="s">
        <v>317</v>
      </c>
      <c r="H53" s="388"/>
    </row>
    <row r="54" spans="1:8" ht="25.05" customHeight="1">
      <c r="B54" s="387"/>
      <c r="C54" s="367"/>
      <c r="D54" s="367" t="s">
        <v>320</v>
      </c>
      <c r="E54" s="367" t="s">
        <v>320</v>
      </c>
      <c r="F54" s="367" t="s">
        <v>320</v>
      </c>
      <c r="G54" s="367" t="s">
        <v>320</v>
      </c>
      <c r="H54" s="372" t="s">
        <v>333</v>
      </c>
    </row>
    <row r="55" spans="1:8" ht="35.1" customHeight="1">
      <c r="A55" s="852" t="s">
        <v>725</v>
      </c>
      <c r="B55" s="1061" t="s">
        <v>868</v>
      </c>
      <c r="C55" s="351">
        <f>SUM(D55:G55)</f>
        <v>-7349</v>
      </c>
      <c r="D55" s="352"/>
      <c r="E55" s="352">
        <v>-7349</v>
      </c>
      <c r="F55" s="352"/>
      <c r="G55" s="352"/>
      <c r="H55" s="395" t="s">
        <v>981</v>
      </c>
    </row>
    <row r="56" spans="1:8" ht="35.1" customHeight="1">
      <c r="A56" s="852" t="s">
        <v>726</v>
      </c>
      <c r="B56" s="396"/>
      <c r="C56" s="351"/>
      <c r="D56" s="352"/>
      <c r="E56" s="352"/>
      <c r="F56" s="352"/>
      <c r="G56" s="352"/>
      <c r="H56" s="395"/>
    </row>
    <row r="57" spans="1:8" ht="35.1" customHeight="1">
      <c r="A57" s="852" t="s">
        <v>727</v>
      </c>
      <c r="B57" s="396"/>
      <c r="C57" s="351"/>
      <c r="D57" s="352"/>
      <c r="E57" s="352"/>
      <c r="F57" s="352"/>
      <c r="G57" s="352"/>
      <c r="H57" s="395"/>
    </row>
    <row r="58" spans="1:8" ht="35.1" customHeight="1">
      <c r="A58" s="852" t="s">
        <v>358</v>
      </c>
      <c r="B58" s="396"/>
      <c r="C58" s="351"/>
      <c r="D58" s="352"/>
      <c r="E58" s="352"/>
      <c r="F58" s="352"/>
      <c r="G58" s="352"/>
      <c r="H58" s="395"/>
    </row>
    <row r="59" spans="1:8" ht="35.1" customHeight="1">
      <c r="A59" s="852" t="s">
        <v>358</v>
      </c>
      <c r="B59" s="396"/>
      <c r="C59" s="394"/>
      <c r="D59" s="394"/>
      <c r="E59" s="394"/>
      <c r="F59" s="394"/>
      <c r="G59" s="394"/>
      <c r="H59" s="395"/>
    </row>
    <row r="60" spans="1:8" ht="35.1" customHeight="1">
      <c r="A60" s="852" t="s">
        <v>358</v>
      </c>
      <c r="B60" s="396"/>
      <c r="C60" s="394"/>
      <c r="D60" s="394"/>
      <c r="E60" s="394"/>
      <c r="F60" s="394"/>
      <c r="G60" s="394"/>
      <c r="H60" s="395"/>
    </row>
    <row r="61" spans="1:8" ht="35.1" customHeight="1">
      <c r="A61" s="852" t="s">
        <v>358</v>
      </c>
      <c r="B61" s="405"/>
      <c r="C61" s="406"/>
      <c r="D61" s="406"/>
      <c r="E61" s="406"/>
      <c r="F61" s="406"/>
      <c r="G61" s="406"/>
      <c r="H61" s="395"/>
    </row>
    <row r="62" spans="1:8" ht="35.1" customHeight="1">
      <c r="A62" s="852" t="s">
        <v>358</v>
      </c>
      <c r="B62" s="407"/>
      <c r="C62" s="406"/>
      <c r="D62" s="406"/>
      <c r="E62" s="406"/>
      <c r="F62" s="406"/>
      <c r="G62" s="406"/>
      <c r="H62" s="395"/>
    </row>
    <row r="63" spans="1:8" ht="35.1" customHeight="1">
      <c r="A63" s="852" t="s">
        <v>358</v>
      </c>
      <c r="B63" s="407"/>
      <c r="C63" s="406"/>
      <c r="D63" s="406"/>
      <c r="E63" s="406"/>
      <c r="F63" s="406"/>
      <c r="G63" s="406"/>
      <c r="H63" s="395"/>
    </row>
    <row r="64" spans="1:8" ht="35.1" customHeight="1">
      <c r="A64" s="852" t="s">
        <v>706</v>
      </c>
      <c r="B64" s="422" t="s">
        <v>342</v>
      </c>
      <c r="C64" s="408">
        <f>SUBTOTAL(9,C55:C63)</f>
        <v>-7349</v>
      </c>
      <c r="D64" s="408">
        <f>SUM(D55:D63)</f>
        <v>0</v>
      </c>
      <c r="E64" s="408">
        <f>SUM(E55:E63)</f>
        <v>-7349</v>
      </c>
      <c r="F64" s="408">
        <f>SUM(F55:F63)</f>
        <v>0</v>
      </c>
      <c r="G64" s="408">
        <f>SUM(G55:G63)</f>
        <v>0</v>
      </c>
      <c r="H64" s="398"/>
    </row>
    <row r="65" spans="1:8" ht="35.1" customHeight="1">
      <c r="A65" s="852" t="s">
        <v>707</v>
      </c>
      <c r="B65" s="422" t="s">
        <v>335</v>
      </c>
      <c r="C65" s="399">
        <f>SUM(D65:E65)</f>
        <v>0</v>
      </c>
      <c r="D65" s="399"/>
      <c r="E65" s="399"/>
      <c r="F65" s="399"/>
      <c r="G65" s="399"/>
      <c r="H65" s="395"/>
    </row>
    <row r="66" spans="1:8" ht="35.1" customHeight="1">
      <c r="A66" s="852" t="s">
        <v>708</v>
      </c>
      <c r="B66" s="423" t="s">
        <v>336</v>
      </c>
      <c r="C66" s="402">
        <f>SUM(D66:E66)</f>
        <v>0</v>
      </c>
      <c r="D66" s="402"/>
      <c r="E66" s="402">
        <v>0</v>
      </c>
      <c r="F66" s="402"/>
      <c r="G66" s="402"/>
      <c r="H66" s="403"/>
    </row>
    <row r="67" spans="1:8" ht="35.1" customHeight="1" thickBot="1">
      <c r="A67" s="852" t="s">
        <v>709</v>
      </c>
      <c r="B67" s="418" t="s">
        <v>41</v>
      </c>
      <c r="C67" s="419">
        <f>+C64-C65-C66</f>
        <v>-7349</v>
      </c>
      <c r="D67" s="419">
        <f>+D64-D65-D66</f>
        <v>0</v>
      </c>
      <c r="E67" s="419">
        <f>+E64-E65-E66</f>
        <v>-7349</v>
      </c>
      <c r="F67" s="419">
        <f>+F64-F65-F66</f>
        <v>0</v>
      </c>
      <c r="G67" s="419">
        <f>+G64-G65-G66</f>
        <v>0</v>
      </c>
      <c r="H67" s="420"/>
    </row>
    <row r="68" spans="1:8" ht="35.1" customHeight="1" thickTop="1">
      <c r="B68" s="387"/>
      <c r="C68" s="388"/>
      <c r="D68" s="388"/>
      <c r="E68" s="390"/>
      <c r="F68" s="372"/>
      <c r="G68" s="409"/>
      <c r="H68" s="404"/>
    </row>
    <row r="69" spans="1:8" ht="35.1" customHeight="1">
      <c r="B69" s="388" t="s">
        <v>343</v>
      </c>
      <c r="C69" s="388"/>
      <c r="D69" s="372"/>
      <c r="E69" s="409"/>
      <c r="F69" s="388"/>
      <c r="G69" s="404"/>
      <c r="H69" s="388"/>
    </row>
    <row r="70" spans="1:8" ht="18">
      <c r="A70" s="852" t="s">
        <v>710</v>
      </c>
      <c r="B70" s="1214" t="s">
        <v>338</v>
      </c>
      <c r="C70" s="1214"/>
      <c r="D70" s="1214"/>
      <c r="E70" s="1214"/>
      <c r="F70" s="1214"/>
      <c r="G70" s="1214"/>
      <c r="H70" s="388"/>
    </row>
    <row r="71" spans="1:8" ht="18">
      <c r="A71" s="852" t="s">
        <v>711</v>
      </c>
      <c r="B71" s="387" t="s">
        <v>339</v>
      </c>
      <c r="C71" s="388"/>
      <c r="D71" s="388"/>
      <c r="E71" s="388"/>
      <c r="F71" s="372"/>
      <c r="G71" s="372"/>
      <c r="H71" s="388"/>
    </row>
    <row r="72" spans="1:8" ht="18">
      <c r="A72" s="852" t="s">
        <v>728</v>
      </c>
      <c r="B72" s="387" t="s">
        <v>340</v>
      </c>
      <c r="C72" s="388"/>
      <c r="D72" s="388"/>
      <c r="E72" s="388"/>
      <c r="F72" s="372"/>
      <c r="G72" s="372"/>
      <c r="H72" s="388"/>
    </row>
    <row r="73" spans="1:8" ht="18">
      <c r="A73" s="852" t="s">
        <v>712</v>
      </c>
      <c r="B73" s="387" t="s">
        <v>341</v>
      </c>
      <c r="C73" s="388"/>
      <c r="D73" s="388"/>
      <c r="E73" s="388"/>
      <c r="F73" s="372"/>
      <c r="G73" s="372"/>
      <c r="H73" s="388"/>
    </row>
    <row r="74" spans="1:8" ht="18">
      <c r="A74" s="852" t="s">
        <v>713</v>
      </c>
      <c r="B74" s="1214" t="s">
        <v>670</v>
      </c>
      <c r="C74" s="1214"/>
      <c r="D74" s="1214"/>
      <c r="E74" s="1214"/>
      <c r="F74" s="1214"/>
      <c r="G74" s="1214"/>
      <c r="H74" s="404"/>
    </row>
    <row r="75" spans="1:8" s="340" customFormat="1" ht="25.05" customHeight="1">
      <c r="A75" s="853"/>
      <c r="B75" s="1215" t="str">
        <f>+B47</f>
        <v>HURLEY AVENUE PROJECT - SYSTEM DELIVERABILITY UPGRADE</v>
      </c>
      <c r="C75" s="1216"/>
      <c r="D75" s="1216"/>
      <c r="E75" s="1216"/>
      <c r="F75" s="1216"/>
      <c r="G75" s="1216"/>
      <c r="H75" s="1216"/>
    </row>
    <row r="76" spans="1:8" s="340" customFormat="1" ht="25.05" customHeight="1">
      <c r="A76" s="853"/>
      <c r="B76" s="1215" t="s">
        <v>346</v>
      </c>
      <c r="C76" s="1215"/>
      <c r="D76" s="1215"/>
      <c r="E76" s="1215"/>
      <c r="F76" s="1215"/>
      <c r="G76" s="1215"/>
      <c r="H76" s="1215"/>
    </row>
    <row r="77" spans="1:8" s="340" customFormat="1" ht="25.05" customHeight="1">
      <c r="A77" s="853"/>
      <c r="B77" s="1215" t="str">
        <f>+B3</f>
        <v>Beginning of Rate Year</v>
      </c>
      <c r="C77" s="1215"/>
      <c r="D77" s="1215"/>
      <c r="E77" s="1215"/>
      <c r="F77" s="1215"/>
      <c r="G77" s="1215"/>
      <c r="H77" s="1215"/>
    </row>
    <row r="78" spans="1:8" ht="25.05" customHeight="1">
      <c r="B78" s="387"/>
      <c r="C78" s="388"/>
      <c r="D78" s="388"/>
      <c r="E78" s="388"/>
      <c r="F78" s="388"/>
      <c r="G78" s="388"/>
      <c r="H78" s="404"/>
    </row>
    <row r="79" spans="1:8" ht="18">
      <c r="B79" s="372" t="s">
        <v>99</v>
      </c>
      <c r="C79" s="372" t="s">
        <v>100</v>
      </c>
      <c r="D79" s="372" t="s">
        <v>101</v>
      </c>
      <c r="E79" s="372" t="s">
        <v>102</v>
      </c>
      <c r="F79" s="342" t="s">
        <v>103</v>
      </c>
      <c r="G79" s="372" t="s">
        <v>104</v>
      </c>
      <c r="H79" s="372" t="s">
        <v>105</v>
      </c>
    </row>
    <row r="80" spans="1:8" ht="18">
      <c r="B80" s="372"/>
      <c r="C80" s="367" t="s">
        <v>41</v>
      </c>
      <c r="D80" s="367" t="s">
        <v>331</v>
      </c>
      <c r="E80" s="372"/>
      <c r="F80" s="372"/>
      <c r="G80" s="372"/>
      <c r="H80" s="372"/>
    </row>
    <row r="81" spans="1:8" ht="18">
      <c r="A81" s="852" t="s">
        <v>714</v>
      </c>
      <c r="B81" s="388" t="s">
        <v>349</v>
      </c>
      <c r="C81" s="367"/>
      <c r="D81" s="367" t="s">
        <v>332</v>
      </c>
      <c r="E81" s="367" t="s">
        <v>45</v>
      </c>
      <c r="F81" s="367" t="s">
        <v>319</v>
      </c>
      <c r="G81" s="367" t="s">
        <v>317</v>
      </c>
      <c r="H81" s="372"/>
    </row>
    <row r="82" spans="1:8" ht="18">
      <c r="B82" s="388"/>
      <c r="C82" s="367"/>
      <c r="D82" s="367" t="s">
        <v>320</v>
      </c>
      <c r="E82" s="367" t="s">
        <v>320</v>
      </c>
      <c r="F82" s="367" t="s">
        <v>320</v>
      </c>
      <c r="G82" s="367" t="s">
        <v>320</v>
      </c>
      <c r="H82" s="388"/>
    </row>
    <row r="83" spans="1:8" ht="35.1" customHeight="1">
      <c r="A83" s="852" t="s">
        <v>729</v>
      </c>
      <c r="B83" s="1061"/>
      <c r="C83" s="351"/>
      <c r="D83" s="352"/>
      <c r="E83" s="352"/>
      <c r="F83" s="352"/>
      <c r="G83" s="352"/>
      <c r="H83" s="395"/>
    </row>
    <row r="84" spans="1:8" ht="35.1" customHeight="1">
      <c r="A84" s="852" t="s">
        <v>730</v>
      </c>
      <c r="B84" s="396"/>
      <c r="C84" s="351">
        <f>SUM(D84:G84)</f>
        <v>0</v>
      </c>
      <c r="D84" s="352"/>
      <c r="E84" s="352"/>
      <c r="F84" s="352"/>
      <c r="G84" s="352"/>
      <c r="H84" s="395"/>
    </row>
    <row r="85" spans="1:8" ht="35.1" customHeight="1">
      <c r="A85" s="852" t="s">
        <v>731</v>
      </c>
      <c r="B85" s="396"/>
      <c r="C85" s="351">
        <f>SUM(D85:G85)</f>
        <v>0</v>
      </c>
      <c r="D85" s="352"/>
      <c r="E85" s="352"/>
      <c r="F85" s="352"/>
      <c r="G85" s="352"/>
      <c r="H85" s="395"/>
    </row>
    <row r="86" spans="1:8" ht="35.1" customHeight="1">
      <c r="A86" s="852" t="s">
        <v>852</v>
      </c>
      <c r="B86" s="396"/>
      <c r="C86" s="351">
        <f>SUM(D86:G86)</f>
        <v>0</v>
      </c>
      <c r="D86" s="352"/>
      <c r="E86" s="352"/>
      <c r="F86" s="352"/>
      <c r="G86" s="352"/>
      <c r="H86" s="395"/>
    </row>
    <row r="87" spans="1:8" ht="35.1" customHeight="1">
      <c r="A87" s="852" t="s">
        <v>853</v>
      </c>
      <c r="B87" s="396"/>
      <c r="C87" s="394">
        <f>SUM(D87:G87)</f>
        <v>0</v>
      </c>
      <c r="D87" s="406"/>
      <c r="E87" s="394"/>
      <c r="F87" s="394"/>
      <c r="G87" s="394"/>
      <c r="H87" s="395"/>
    </row>
    <row r="88" spans="1:8" ht="35.1" customHeight="1">
      <c r="A88" s="852" t="s">
        <v>358</v>
      </c>
      <c r="B88" s="396"/>
      <c r="C88" s="394"/>
      <c r="D88" s="406"/>
      <c r="E88" s="394"/>
      <c r="F88" s="394"/>
      <c r="G88" s="394"/>
      <c r="H88" s="395"/>
    </row>
    <row r="89" spans="1:8" ht="35.1" customHeight="1">
      <c r="A89" s="852" t="s">
        <v>358</v>
      </c>
      <c r="B89" s="396"/>
      <c r="C89" s="394"/>
      <c r="D89" s="406"/>
      <c r="E89" s="394"/>
      <c r="F89" s="394"/>
      <c r="G89" s="394"/>
      <c r="H89" s="395"/>
    </row>
    <row r="90" spans="1:8" ht="35.1" customHeight="1">
      <c r="A90" s="852" t="s">
        <v>358</v>
      </c>
      <c r="B90" s="396"/>
      <c r="C90" s="394"/>
      <c r="D90" s="397"/>
      <c r="E90" s="394"/>
      <c r="F90" s="394"/>
      <c r="G90" s="394"/>
      <c r="H90" s="395"/>
    </row>
    <row r="91" spans="1:8" ht="35.1" customHeight="1">
      <c r="A91" s="852" t="s">
        <v>358</v>
      </c>
      <c r="B91" s="396"/>
      <c r="C91" s="394"/>
      <c r="D91" s="394"/>
      <c r="E91" s="394"/>
      <c r="F91" s="394"/>
      <c r="G91" s="394"/>
      <c r="H91" s="395"/>
    </row>
    <row r="92" spans="1:8" ht="35.1" customHeight="1">
      <c r="A92" s="852" t="s">
        <v>358</v>
      </c>
      <c r="B92" s="396"/>
      <c r="C92" s="394"/>
      <c r="D92" s="394"/>
      <c r="E92" s="394"/>
      <c r="F92" s="394"/>
      <c r="G92" s="394"/>
      <c r="H92" s="395"/>
    </row>
    <row r="93" spans="1:8" ht="20.100000000000001" customHeight="1">
      <c r="A93" s="852" t="s">
        <v>716</v>
      </c>
      <c r="B93" s="414" t="s">
        <v>344</v>
      </c>
      <c r="C93" s="415">
        <f>SUBTOTAL(9,C83:C92)</f>
        <v>0</v>
      </c>
      <c r="D93" s="415">
        <f>SUM(D83:D92)</f>
        <v>0</v>
      </c>
      <c r="E93" s="415">
        <f>SUM(E83:E92)</f>
        <v>0</v>
      </c>
      <c r="F93" s="415">
        <f>SUM(F83:F92)</f>
        <v>0</v>
      </c>
      <c r="G93" s="415">
        <f>SUM(G83:G92)</f>
        <v>0</v>
      </c>
      <c r="H93" s="395"/>
    </row>
    <row r="94" spans="1:8" ht="20.100000000000001" customHeight="1">
      <c r="A94" s="852" t="s">
        <v>717</v>
      </c>
      <c r="B94" s="414" t="s">
        <v>335</v>
      </c>
      <c r="C94" s="400">
        <f>SUM(D94:G94)</f>
        <v>0</v>
      </c>
      <c r="D94" s="400"/>
      <c r="E94" s="400">
        <f>E84</f>
        <v>0</v>
      </c>
      <c r="F94" s="400"/>
      <c r="G94" s="400"/>
      <c r="H94" s="395"/>
    </row>
    <row r="95" spans="1:8" ht="20.100000000000001" customHeight="1">
      <c r="A95" s="852" t="s">
        <v>718</v>
      </c>
      <c r="B95" s="424" t="s">
        <v>336</v>
      </c>
      <c r="C95" s="410"/>
      <c r="D95" s="410"/>
      <c r="E95" s="410"/>
      <c r="F95" s="410"/>
      <c r="G95" s="410"/>
      <c r="H95" s="403"/>
    </row>
    <row r="96" spans="1:8" ht="20.100000000000001" customHeight="1" thickBot="1">
      <c r="A96" s="852" t="s">
        <v>719</v>
      </c>
      <c r="B96" s="418" t="s">
        <v>41</v>
      </c>
      <c r="C96" s="425">
        <f>+C93-C94-C95</f>
        <v>0</v>
      </c>
      <c r="D96" s="425">
        <f>+D93-D94-D95</f>
        <v>0</v>
      </c>
      <c r="E96" s="425">
        <f>+E93-E94-E95</f>
        <v>0</v>
      </c>
      <c r="F96" s="425">
        <f>+F93-F94-F95</f>
        <v>0</v>
      </c>
      <c r="G96" s="425">
        <f>+G93-G94-G95</f>
        <v>0</v>
      </c>
      <c r="H96" s="420"/>
    </row>
    <row r="97" spans="1:9" ht="35.1" customHeight="1" thickTop="1">
      <c r="B97" s="388" t="s">
        <v>345</v>
      </c>
      <c r="C97" s="388"/>
      <c r="D97" s="388"/>
      <c r="E97" s="372"/>
      <c r="F97" s="372"/>
      <c r="G97" s="388"/>
      <c r="H97" s="411"/>
    </row>
    <row r="98" spans="1:9" ht="20.100000000000001" customHeight="1">
      <c r="A98" s="852" t="s">
        <v>721</v>
      </c>
      <c r="B98" s="1214" t="s">
        <v>338</v>
      </c>
      <c r="C98" s="1214"/>
      <c r="D98" s="1214"/>
      <c r="E98" s="1214"/>
      <c r="F98" s="1214"/>
      <c r="G98" s="1214"/>
      <c r="H98" s="388"/>
    </row>
    <row r="99" spans="1:9" ht="20.100000000000001" customHeight="1">
      <c r="A99" s="852" t="s">
        <v>732</v>
      </c>
      <c r="B99" s="387" t="s">
        <v>339</v>
      </c>
      <c r="C99" s="388"/>
      <c r="D99" s="388"/>
      <c r="E99" s="388"/>
      <c r="F99" s="372"/>
      <c r="G99" s="372"/>
      <c r="H99" s="388"/>
    </row>
    <row r="100" spans="1:9" ht="20.100000000000001" customHeight="1">
      <c r="A100" s="852" t="s">
        <v>733</v>
      </c>
      <c r="B100" s="387" t="s">
        <v>340</v>
      </c>
      <c r="C100" s="388"/>
      <c r="D100" s="388"/>
      <c r="E100" s="388"/>
      <c r="F100" s="372"/>
      <c r="G100" s="372"/>
      <c r="H100" s="388"/>
    </row>
    <row r="101" spans="1:9" ht="20.100000000000001" customHeight="1">
      <c r="A101" s="852" t="s">
        <v>734</v>
      </c>
      <c r="B101" s="387" t="s">
        <v>341</v>
      </c>
      <c r="C101" s="388"/>
      <c r="D101" s="388"/>
      <c r="E101" s="388"/>
      <c r="F101" s="372"/>
      <c r="G101" s="372"/>
      <c r="H101" s="388"/>
    </row>
    <row r="102" spans="1:9" ht="18">
      <c r="A102" s="852" t="s">
        <v>735</v>
      </c>
      <c r="B102" s="1214" t="s">
        <v>670</v>
      </c>
      <c r="C102" s="1214"/>
      <c r="D102" s="1214"/>
      <c r="E102" s="1214"/>
      <c r="F102" s="1214"/>
      <c r="G102" s="1214"/>
      <c r="H102" s="388"/>
    </row>
    <row r="103" spans="1:9" ht="18">
      <c r="B103" s="387"/>
      <c r="C103" s="388"/>
      <c r="D103" s="388"/>
      <c r="E103" s="388"/>
      <c r="F103" s="388"/>
      <c r="G103" s="388"/>
      <c r="H103" s="388"/>
    </row>
    <row r="104" spans="1:9" ht="15.75" customHeight="1">
      <c r="B104" s="412"/>
      <c r="C104" s="412"/>
      <c r="D104" s="412"/>
      <c r="E104" s="412"/>
      <c r="F104" s="412"/>
      <c r="G104" s="412"/>
      <c r="H104" s="412"/>
    </row>
    <row r="105" spans="1:9" ht="18">
      <c r="B105" s="1217"/>
      <c r="C105" s="1217"/>
      <c r="D105" s="1217"/>
      <c r="E105" s="1217"/>
      <c r="F105" s="1217"/>
      <c r="G105" s="1217"/>
      <c r="H105" s="1217"/>
    </row>
    <row r="106" spans="1:9" ht="18">
      <c r="B106" s="388"/>
      <c r="C106" s="388"/>
      <c r="D106" s="388"/>
      <c r="E106" s="388"/>
      <c r="F106" s="388"/>
      <c r="G106" s="388"/>
      <c r="H106" s="388"/>
    </row>
    <row r="107" spans="1:9" ht="18">
      <c r="B107" s="388"/>
      <c r="C107" s="388"/>
      <c r="D107" s="388"/>
      <c r="E107" s="388"/>
      <c r="F107" s="388"/>
      <c r="G107" s="388"/>
      <c r="H107" s="388"/>
    </row>
    <row r="108" spans="1:9" ht="15.75" customHeight="1">
      <c r="B108" s="388"/>
      <c r="C108" s="388"/>
      <c r="D108" s="388"/>
      <c r="E108" s="388"/>
      <c r="F108" s="388"/>
      <c r="G108" s="388"/>
      <c r="H108" s="388"/>
    </row>
    <row r="109" spans="1:9" ht="18">
      <c r="B109" s="388"/>
      <c r="C109" s="388"/>
      <c r="D109" s="426"/>
      <c r="E109" s="426"/>
      <c r="F109" s="426"/>
      <c r="G109" s="426"/>
      <c r="H109" s="426"/>
      <c r="I109" s="343"/>
    </row>
    <row r="110" spans="1:9" ht="18">
      <c r="B110" s="388"/>
      <c r="C110" s="388"/>
      <c r="D110" s="426"/>
      <c r="E110" s="426"/>
      <c r="F110" s="426"/>
      <c r="G110" s="426"/>
      <c r="H110" s="426"/>
      <c r="I110" s="343"/>
    </row>
    <row r="111" spans="1:9" ht="18">
      <c r="B111" s="387"/>
      <c r="C111" s="388"/>
      <c r="D111" s="372"/>
      <c r="E111" s="372"/>
      <c r="F111" s="388"/>
      <c r="G111" s="388"/>
      <c r="H111" s="388"/>
    </row>
    <row r="112" spans="1:9" ht="18">
      <c r="B112" s="387"/>
      <c r="C112" s="388"/>
      <c r="D112" s="413"/>
      <c r="E112" s="413"/>
      <c r="F112" s="388"/>
      <c r="G112" s="388"/>
      <c r="H112" s="388"/>
    </row>
    <row r="113" spans="2:8" ht="18">
      <c r="B113" s="387"/>
      <c r="C113" s="388"/>
      <c r="D113" s="413"/>
      <c r="E113" s="413"/>
      <c r="F113" s="388"/>
      <c r="G113" s="388"/>
      <c r="H113" s="388"/>
    </row>
    <row r="114" spans="2:8" ht="18">
      <c r="B114" s="387"/>
      <c r="C114" s="388"/>
      <c r="D114" s="413"/>
      <c r="E114" s="413"/>
      <c r="F114" s="388"/>
      <c r="G114" s="388"/>
      <c r="H114" s="388"/>
    </row>
    <row r="115" spans="2:8" ht="18">
      <c r="B115" s="387"/>
      <c r="C115" s="388"/>
      <c r="D115" s="413"/>
      <c r="E115" s="413"/>
      <c r="F115" s="388"/>
      <c r="G115" s="388"/>
      <c r="H115" s="388"/>
    </row>
    <row r="116" spans="2:8" ht="18">
      <c r="B116" s="387"/>
      <c r="C116" s="388"/>
      <c r="D116" s="413"/>
      <c r="E116" s="413"/>
      <c r="F116" s="388"/>
      <c r="G116" s="388"/>
      <c r="H116" s="388"/>
    </row>
    <row r="117" spans="2:8" ht="18">
      <c r="B117" s="387"/>
      <c r="C117" s="388"/>
      <c r="D117" s="413"/>
      <c r="E117" s="413"/>
      <c r="F117" s="388"/>
      <c r="G117" s="388"/>
      <c r="H117" s="388"/>
    </row>
    <row r="118" spans="2:8" ht="18">
      <c r="B118" s="387"/>
      <c r="C118" s="388"/>
      <c r="D118" s="413"/>
      <c r="E118" s="413"/>
      <c r="F118" s="388"/>
      <c r="G118" s="388"/>
      <c r="H118" s="388"/>
    </row>
    <row r="119" spans="2:8" ht="18">
      <c r="B119" s="387"/>
      <c r="C119" s="388"/>
      <c r="D119" s="413"/>
      <c r="E119" s="413"/>
      <c r="F119" s="388"/>
      <c r="G119" s="388"/>
      <c r="H119" s="388"/>
    </row>
    <row r="120" spans="2:8" ht="18">
      <c r="B120" s="387"/>
      <c r="C120" s="388"/>
      <c r="D120" s="413"/>
      <c r="E120" s="413"/>
      <c r="F120" s="388"/>
      <c r="G120" s="388"/>
      <c r="H120" s="388"/>
    </row>
    <row r="121" spans="2:8" ht="18">
      <c r="B121" s="387"/>
      <c r="C121" s="388"/>
      <c r="D121" s="413"/>
      <c r="E121" s="413"/>
      <c r="F121" s="388"/>
      <c r="G121" s="388"/>
      <c r="H121" s="388"/>
    </row>
    <row r="122" spans="2:8" ht="18">
      <c r="B122" s="388"/>
      <c r="C122" s="388"/>
      <c r="D122" s="413"/>
      <c r="E122" s="413"/>
      <c r="F122" s="388"/>
      <c r="G122" s="388"/>
      <c r="H122" s="388"/>
    </row>
    <row r="123" spans="2:8" ht="18">
      <c r="B123" s="387"/>
      <c r="C123" s="388"/>
      <c r="D123" s="413"/>
      <c r="E123" s="413"/>
      <c r="F123" s="388"/>
      <c r="G123" s="388"/>
      <c r="H123" s="388"/>
    </row>
    <row r="124" spans="2:8" ht="18">
      <c r="B124" s="388"/>
      <c r="C124" s="388"/>
      <c r="D124" s="413"/>
      <c r="E124" s="413"/>
      <c r="F124" s="388"/>
      <c r="G124" s="388"/>
      <c r="H124" s="388"/>
    </row>
    <row r="125" spans="2:8" ht="18">
      <c r="B125" s="387"/>
      <c r="C125" s="388"/>
      <c r="D125" s="388"/>
      <c r="E125" s="388"/>
      <c r="F125" s="388"/>
      <c r="G125" s="388"/>
      <c r="H125" s="388"/>
    </row>
    <row r="126" spans="2:8" ht="18">
      <c r="B126" s="387"/>
      <c r="C126" s="388"/>
      <c r="D126" s="388"/>
      <c r="E126" s="388"/>
      <c r="F126" s="388"/>
      <c r="G126" s="388"/>
      <c r="H126" s="388"/>
    </row>
    <row r="127" spans="2:8" ht="18">
      <c r="B127" s="387"/>
      <c r="C127" s="388"/>
      <c r="D127" s="388"/>
      <c r="E127" s="388"/>
      <c r="F127" s="388"/>
      <c r="G127" s="388"/>
      <c r="H127" s="388"/>
    </row>
    <row r="128" spans="2:8" ht="18">
      <c r="B128" s="387"/>
      <c r="C128" s="388"/>
      <c r="D128" s="388"/>
      <c r="E128" s="388"/>
      <c r="F128" s="388"/>
      <c r="G128" s="388"/>
      <c r="H128" s="388"/>
    </row>
    <row r="129" spans="2:8" ht="18">
      <c r="B129" s="387"/>
      <c r="C129" s="388"/>
      <c r="D129" s="388"/>
      <c r="E129" s="388"/>
      <c r="F129" s="388"/>
      <c r="G129" s="388"/>
      <c r="H129" s="388"/>
    </row>
    <row r="130" spans="2:8" ht="18">
      <c r="B130" s="387"/>
      <c r="C130" s="388"/>
      <c r="D130" s="388"/>
      <c r="E130" s="388"/>
      <c r="F130" s="388"/>
      <c r="G130" s="388"/>
      <c r="H130" s="388"/>
    </row>
    <row r="131" spans="2:8" ht="18">
      <c r="B131" s="387"/>
      <c r="C131" s="388"/>
      <c r="D131" s="388"/>
      <c r="E131" s="388"/>
      <c r="F131" s="388"/>
      <c r="G131" s="388"/>
      <c r="H131" s="388"/>
    </row>
    <row r="132" spans="2:8" ht="18">
      <c r="B132" s="387"/>
      <c r="C132" s="388"/>
      <c r="D132" s="388"/>
      <c r="E132" s="388"/>
      <c r="F132" s="388"/>
      <c r="G132" s="388"/>
      <c r="H132" s="388"/>
    </row>
    <row r="133" spans="2:8" ht="18">
      <c r="B133" s="387"/>
      <c r="C133" s="388"/>
      <c r="D133" s="388"/>
      <c r="E133" s="388"/>
      <c r="F133" s="388"/>
      <c r="G133" s="388"/>
      <c r="H133" s="388"/>
    </row>
    <row r="134" spans="2:8" ht="18">
      <c r="B134" s="387"/>
      <c r="C134" s="388"/>
      <c r="D134" s="388"/>
      <c r="E134" s="388"/>
      <c r="F134" s="388"/>
      <c r="G134" s="388"/>
      <c r="H134" s="388"/>
    </row>
    <row r="135" spans="2:8" ht="18">
      <c r="B135" s="387"/>
      <c r="C135" s="388"/>
      <c r="D135" s="388"/>
      <c r="E135" s="388"/>
      <c r="F135" s="388"/>
      <c r="G135" s="388"/>
      <c r="H135" s="388"/>
    </row>
    <row r="136" spans="2:8" ht="18">
      <c r="B136" s="387"/>
      <c r="C136" s="388"/>
      <c r="D136" s="388"/>
      <c r="E136" s="388"/>
      <c r="F136" s="388"/>
      <c r="G136" s="388"/>
      <c r="H136" s="388"/>
    </row>
    <row r="137" spans="2:8" ht="18">
      <c r="B137" s="387"/>
      <c r="C137" s="388"/>
      <c r="D137" s="388"/>
      <c r="E137" s="388"/>
      <c r="F137" s="388"/>
      <c r="G137" s="388"/>
      <c r="H137" s="388"/>
    </row>
    <row r="138" spans="2:8" ht="18">
      <c r="B138" s="387"/>
      <c r="C138" s="388"/>
      <c r="D138" s="388"/>
      <c r="E138" s="388"/>
      <c r="F138" s="388"/>
      <c r="G138" s="388"/>
      <c r="H138" s="388"/>
    </row>
    <row r="139" spans="2:8" ht="18">
      <c r="B139" s="387"/>
      <c r="C139" s="388"/>
      <c r="D139" s="388"/>
      <c r="E139" s="388"/>
      <c r="F139" s="388"/>
      <c r="G139" s="388"/>
      <c r="H139" s="388"/>
    </row>
    <row r="140" spans="2:8" ht="18">
      <c r="B140" s="387"/>
      <c r="C140" s="388"/>
      <c r="D140" s="388"/>
      <c r="E140" s="388"/>
      <c r="F140" s="388"/>
      <c r="G140" s="388"/>
      <c r="H140" s="388"/>
    </row>
    <row r="141" spans="2:8" ht="18">
      <c r="B141" s="387"/>
      <c r="C141" s="388"/>
      <c r="D141" s="388"/>
      <c r="E141" s="388"/>
      <c r="F141" s="388"/>
      <c r="G141" s="388"/>
      <c r="H141" s="388"/>
    </row>
    <row r="142" spans="2:8" ht="18">
      <c r="B142" s="387"/>
      <c r="C142" s="388"/>
      <c r="D142" s="388"/>
      <c r="E142" s="388"/>
      <c r="F142" s="388"/>
      <c r="G142" s="388"/>
      <c r="H142" s="388"/>
    </row>
    <row r="143" spans="2:8" ht="18">
      <c r="B143" s="387"/>
      <c r="C143" s="388"/>
      <c r="D143" s="388"/>
      <c r="E143" s="388"/>
      <c r="F143" s="388"/>
      <c r="G143" s="388"/>
      <c r="H143" s="388"/>
    </row>
    <row r="144" spans="2:8" ht="18">
      <c r="B144" s="387"/>
      <c r="C144" s="388"/>
      <c r="D144" s="388"/>
      <c r="E144" s="388"/>
      <c r="F144" s="388"/>
      <c r="G144" s="388"/>
      <c r="H144" s="388"/>
    </row>
    <row r="145" spans="2:8" ht="18">
      <c r="B145" s="387"/>
      <c r="C145" s="388"/>
      <c r="D145" s="388"/>
      <c r="E145" s="388"/>
      <c r="F145" s="388"/>
      <c r="G145" s="388"/>
      <c r="H145" s="388"/>
    </row>
    <row r="146" spans="2:8" ht="18">
      <c r="B146" s="387"/>
      <c r="C146" s="388"/>
      <c r="D146" s="388"/>
      <c r="E146" s="388"/>
      <c r="F146" s="388"/>
      <c r="G146" s="388"/>
      <c r="H146" s="388"/>
    </row>
    <row r="147" spans="2:8" ht="18">
      <c r="B147" s="387"/>
      <c r="C147" s="388"/>
      <c r="D147" s="388"/>
      <c r="E147" s="388"/>
      <c r="F147" s="388"/>
      <c r="G147" s="388"/>
      <c r="H147" s="388"/>
    </row>
    <row r="148" spans="2:8" ht="18">
      <c r="B148" s="387"/>
      <c r="C148" s="388"/>
      <c r="D148" s="388"/>
      <c r="E148" s="388"/>
      <c r="F148" s="388"/>
      <c r="G148" s="388"/>
      <c r="H148" s="388"/>
    </row>
    <row r="149" spans="2:8" ht="18">
      <c r="B149" s="387"/>
      <c r="C149" s="388"/>
      <c r="D149" s="388"/>
      <c r="E149" s="388"/>
      <c r="F149" s="388"/>
      <c r="G149" s="388"/>
      <c r="H149" s="388"/>
    </row>
    <row r="150" spans="2:8" ht="18">
      <c r="B150" s="387"/>
      <c r="C150" s="388"/>
      <c r="D150" s="388"/>
      <c r="E150" s="388"/>
      <c r="F150" s="388"/>
      <c r="G150" s="388"/>
      <c r="H150" s="388"/>
    </row>
    <row r="151" spans="2:8" ht="18">
      <c r="B151" s="387"/>
      <c r="C151" s="388"/>
      <c r="D151" s="388"/>
      <c r="E151" s="388"/>
      <c r="F151" s="388"/>
      <c r="G151" s="388"/>
      <c r="H151" s="388"/>
    </row>
    <row r="152" spans="2:8" ht="18">
      <c r="B152" s="387"/>
      <c r="C152" s="388"/>
      <c r="D152" s="388"/>
      <c r="E152" s="388"/>
      <c r="F152" s="388"/>
      <c r="G152" s="388"/>
      <c r="H152" s="388"/>
    </row>
    <row r="153" spans="2:8" ht="18">
      <c r="B153" s="387"/>
      <c r="C153" s="388"/>
      <c r="D153" s="388"/>
      <c r="E153" s="388"/>
      <c r="F153" s="388"/>
      <c r="G153" s="388"/>
      <c r="H153" s="388"/>
    </row>
    <row r="154" spans="2:8" ht="18">
      <c r="B154" s="387"/>
      <c r="C154" s="388"/>
      <c r="D154" s="388"/>
      <c r="E154" s="388"/>
      <c r="F154" s="388"/>
      <c r="G154" s="388"/>
      <c r="H154" s="388"/>
    </row>
    <row r="155" spans="2:8" ht="18">
      <c r="B155" s="387"/>
      <c r="C155" s="388"/>
      <c r="D155" s="388"/>
      <c r="E155" s="388"/>
      <c r="F155" s="388"/>
      <c r="G155" s="388"/>
      <c r="H155" s="388"/>
    </row>
    <row r="156" spans="2:8" ht="18">
      <c r="B156" s="387"/>
      <c r="C156" s="388"/>
      <c r="D156" s="388"/>
      <c r="E156" s="388"/>
      <c r="F156" s="388"/>
      <c r="G156" s="388"/>
      <c r="H156" s="388"/>
    </row>
    <row r="157" spans="2:8" ht="18">
      <c r="B157" s="387"/>
      <c r="C157" s="388"/>
      <c r="D157" s="388"/>
      <c r="E157" s="388"/>
      <c r="F157" s="388"/>
      <c r="G157" s="388"/>
      <c r="H157" s="388"/>
    </row>
    <row r="158" spans="2:8" ht="18">
      <c r="B158" s="387"/>
      <c r="C158" s="388"/>
      <c r="D158" s="388"/>
      <c r="E158" s="388"/>
      <c r="F158" s="388"/>
      <c r="G158" s="388"/>
      <c r="H158" s="388"/>
    </row>
    <row r="159" spans="2:8" ht="18">
      <c r="B159" s="387"/>
      <c r="C159" s="388"/>
      <c r="D159" s="388"/>
      <c r="E159" s="388"/>
      <c r="F159" s="388"/>
      <c r="G159" s="388"/>
      <c r="H159" s="388"/>
    </row>
    <row r="160" spans="2:8" ht="18">
      <c r="B160" s="387"/>
      <c r="C160" s="388"/>
      <c r="D160" s="388"/>
      <c r="E160" s="388"/>
      <c r="F160" s="388"/>
      <c r="G160" s="388"/>
      <c r="H160" s="388"/>
    </row>
    <row r="161" spans="2:8" ht="18">
      <c r="B161" s="387"/>
      <c r="C161" s="388"/>
      <c r="D161" s="388"/>
      <c r="E161" s="388"/>
      <c r="F161" s="388"/>
      <c r="G161" s="388"/>
      <c r="H161" s="388"/>
    </row>
    <row r="162" spans="2:8" ht="18">
      <c r="B162" s="387"/>
      <c r="C162" s="388"/>
      <c r="D162" s="388"/>
      <c r="E162" s="388"/>
      <c r="F162" s="388"/>
      <c r="G162" s="388"/>
      <c r="H162" s="388"/>
    </row>
    <row r="163" spans="2:8" ht="18">
      <c r="B163" s="387"/>
      <c r="C163" s="388"/>
      <c r="D163" s="388"/>
      <c r="E163" s="388"/>
      <c r="F163" s="388"/>
      <c r="G163" s="388"/>
      <c r="H163" s="388"/>
    </row>
    <row r="164" spans="2:8" ht="18">
      <c r="B164" s="387"/>
      <c r="C164" s="388"/>
      <c r="D164" s="388"/>
      <c r="E164" s="388"/>
      <c r="F164" s="388"/>
      <c r="G164" s="388"/>
      <c r="H164" s="388"/>
    </row>
    <row r="165" spans="2:8" ht="18">
      <c r="B165" s="387"/>
      <c r="C165" s="388"/>
      <c r="D165" s="388"/>
      <c r="E165" s="388"/>
      <c r="F165" s="388"/>
      <c r="G165" s="388"/>
      <c r="H165" s="388"/>
    </row>
    <row r="166" spans="2:8" ht="18">
      <c r="B166" s="387"/>
      <c r="C166" s="388"/>
      <c r="D166" s="388"/>
      <c r="E166" s="388"/>
      <c r="F166" s="388"/>
      <c r="G166" s="388"/>
      <c r="H166" s="388"/>
    </row>
    <row r="167" spans="2:8" ht="18">
      <c r="B167" s="387"/>
      <c r="C167" s="388"/>
      <c r="D167" s="388"/>
      <c r="E167" s="388"/>
      <c r="F167" s="388"/>
      <c r="G167" s="388"/>
      <c r="H167" s="388"/>
    </row>
    <row r="168" spans="2:8" ht="18">
      <c r="B168" s="387"/>
      <c r="C168" s="388"/>
      <c r="D168" s="388"/>
      <c r="E168" s="388"/>
      <c r="F168" s="388"/>
      <c r="G168" s="388"/>
      <c r="H168" s="388"/>
    </row>
    <row r="169" spans="2:8" ht="18">
      <c r="B169" s="387"/>
      <c r="C169" s="388"/>
      <c r="D169" s="388"/>
      <c r="E169" s="388"/>
      <c r="F169" s="388"/>
      <c r="G169" s="388"/>
      <c r="H169" s="388"/>
    </row>
    <row r="170" spans="2:8" ht="18">
      <c r="B170" s="387"/>
      <c r="C170" s="388"/>
      <c r="D170" s="388"/>
      <c r="E170" s="388"/>
      <c r="F170" s="388"/>
      <c r="G170" s="388"/>
      <c r="H170" s="388"/>
    </row>
    <row r="171" spans="2:8" ht="18">
      <c r="B171" s="387"/>
      <c r="C171" s="388"/>
      <c r="D171" s="388"/>
      <c r="E171" s="388"/>
      <c r="F171" s="388"/>
      <c r="G171" s="388"/>
      <c r="H171" s="388"/>
    </row>
    <row r="172" spans="2:8" ht="18">
      <c r="B172" s="387"/>
      <c r="C172" s="388"/>
      <c r="D172" s="388"/>
      <c r="E172" s="388"/>
      <c r="F172" s="388"/>
      <c r="G172" s="388"/>
      <c r="H172" s="388"/>
    </row>
    <row r="173" spans="2:8" ht="18">
      <c r="B173" s="387"/>
      <c r="C173" s="388"/>
      <c r="D173" s="388"/>
      <c r="E173" s="388"/>
      <c r="F173" s="388"/>
      <c r="G173" s="388"/>
      <c r="H173" s="388"/>
    </row>
    <row r="174" spans="2:8" ht="18">
      <c r="B174" s="387"/>
      <c r="C174" s="388"/>
      <c r="D174" s="388"/>
      <c r="E174" s="388"/>
      <c r="F174" s="388"/>
      <c r="G174" s="388"/>
      <c r="H174" s="388"/>
    </row>
    <row r="175" spans="2:8" ht="18">
      <c r="B175" s="387"/>
      <c r="C175" s="388"/>
      <c r="D175" s="388"/>
      <c r="E175" s="388"/>
      <c r="F175" s="388"/>
      <c r="G175" s="388"/>
      <c r="H175" s="388"/>
    </row>
    <row r="176" spans="2:8" ht="18">
      <c r="B176" s="387"/>
      <c r="C176" s="388"/>
      <c r="D176" s="388"/>
      <c r="E176" s="388"/>
      <c r="F176" s="388"/>
      <c r="G176" s="388"/>
      <c r="H176" s="388"/>
    </row>
    <row r="177" spans="2:8" ht="18">
      <c r="B177" s="387"/>
      <c r="C177" s="388"/>
      <c r="D177" s="388"/>
      <c r="E177" s="388"/>
      <c r="F177" s="388"/>
      <c r="G177" s="388"/>
      <c r="H177" s="388"/>
    </row>
    <row r="178" spans="2:8" ht="18">
      <c r="B178" s="387"/>
      <c r="C178" s="388"/>
      <c r="D178" s="388"/>
      <c r="E178" s="388"/>
      <c r="F178" s="388"/>
      <c r="G178" s="388"/>
      <c r="H178" s="388"/>
    </row>
    <row r="179" spans="2:8" ht="18">
      <c r="B179" s="387"/>
      <c r="C179" s="388"/>
      <c r="D179" s="388"/>
      <c r="E179" s="388"/>
      <c r="F179" s="388"/>
      <c r="G179" s="388"/>
      <c r="H179" s="388"/>
    </row>
    <row r="180" spans="2:8" ht="18">
      <c r="B180" s="387"/>
      <c r="C180" s="388"/>
      <c r="D180" s="388"/>
      <c r="E180" s="388"/>
      <c r="F180" s="388"/>
      <c r="G180" s="388"/>
      <c r="H180" s="388"/>
    </row>
    <row r="181" spans="2:8" ht="18">
      <c r="B181" s="387"/>
      <c r="C181" s="388"/>
      <c r="D181" s="388"/>
      <c r="E181" s="388"/>
      <c r="F181" s="388"/>
      <c r="G181" s="388"/>
      <c r="H181" s="388"/>
    </row>
    <row r="182" spans="2:8" ht="18">
      <c r="B182" s="387"/>
      <c r="C182" s="388"/>
      <c r="D182" s="388"/>
      <c r="E182" s="388"/>
      <c r="F182" s="388"/>
      <c r="G182" s="388"/>
      <c r="H182" s="388"/>
    </row>
    <row r="183" spans="2:8" ht="18">
      <c r="B183" s="387"/>
      <c r="C183" s="388"/>
      <c r="D183" s="388"/>
      <c r="E183" s="388"/>
      <c r="F183" s="388"/>
      <c r="G183" s="388"/>
      <c r="H183" s="388"/>
    </row>
    <row r="184" spans="2:8" ht="18">
      <c r="B184" s="387"/>
      <c r="C184" s="388"/>
      <c r="D184" s="388"/>
      <c r="E184" s="388"/>
      <c r="F184" s="388"/>
      <c r="G184" s="388"/>
      <c r="H184" s="388"/>
    </row>
    <row r="185" spans="2:8" ht="18">
      <c r="B185" s="387"/>
      <c r="C185" s="388"/>
      <c r="D185" s="388"/>
      <c r="E185" s="388"/>
      <c r="F185" s="388"/>
      <c r="G185" s="388"/>
      <c r="H185" s="388"/>
    </row>
    <row r="186" spans="2:8" ht="18">
      <c r="B186" s="387"/>
      <c r="C186" s="388"/>
      <c r="D186" s="388"/>
      <c r="E186" s="388"/>
      <c r="F186" s="388"/>
      <c r="G186" s="388"/>
      <c r="H186" s="388"/>
    </row>
    <row r="187" spans="2:8" ht="18">
      <c r="B187" s="387"/>
      <c r="C187" s="388"/>
      <c r="D187" s="388"/>
      <c r="E187" s="388"/>
      <c r="F187" s="388"/>
      <c r="G187" s="388"/>
      <c r="H187" s="388"/>
    </row>
    <row r="188" spans="2:8" ht="18">
      <c r="B188" s="387"/>
      <c r="C188" s="388"/>
      <c r="D188" s="388"/>
      <c r="E188" s="388"/>
      <c r="F188" s="388"/>
      <c r="G188" s="388"/>
      <c r="H188" s="388"/>
    </row>
    <row r="189" spans="2:8" ht="18">
      <c r="B189" s="387"/>
      <c r="C189" s="388"/>
      <c r="D189" s="388"/>
      <c r="E189" s="388"/>
      <c r="F189" s="388"/>
      <c r="G189" s="388"/>
      <c r="H189" s="388"/>
    </row>
    <row r="190" spans="2:8" ht="18">
      <c r="B190" s="387"/>
      <c r="C190" s="388"/>
      <c r="D190" s="388"/>
      <c r="E190" s="388"/>
      <c r="F190" s="388"/>
      <c r="G190" s="388"/>
      <c r="H190" s="388"/>
    </row>
    <row r="191" spans="2:8" ht="18">
      <c r="B191" s="387"/>
      <c r="C191" s="388"/>
      <c r="D191" s="388"/>
      <c r="E191" s="388"/>
      <c r="F191" s="388"/>
      <c r="G191" s="388"/>
      <c r="H191" s="388"/>
    </row>
    <row r="192" spans="2:8" ht="18">
      <c r="B192" s="387"/>
      <c r="C192" s="388"/>
      <c r="D192" s="388"/>
      <c r="E192" s="388"/>
      <c r="F192" s="388"/>
      <c r="G192" s="388"/>
      <c r="H192" s="388"/>
    </row>
    <row r="193" spans="2:8" ht="18">
      <c r="B193" s="387"/>
      <c r="C193" s="388"/>
      <c r="D193" s="388"/>
      <c r="E193" s="388"/>
      <c r="F193" s="388"/>
      <c r="G193" s="388"/>
      <c r="H193" s="388"/>
    </row>
    <row r="194" spans="2:8" ht="18">
      <c r="B194" s="387"/>
      <c r="C194" s="388"/>
      <c r="D194" s="388"/>
      <c r="E194" s="388"/>
      <c r="F194" s="388"/>
      <c r="G194" s="388"/>
      <c r="H194" s="388"/>
    </row>
    <row r="195" spans="2:8" ht="18">
      <c r="B195" s="387"/>
      <c r="C195" s="388"/>
      <c r="D195" s="388"/>
      <c r="E195" s="388"/>
      <c r="F195" s="388"/>
      <c r="G195" s="388"/>
      <c r="H195" s="388"/>
    </row>
    <row r="196" spans="2:8" ht="18">
      <c r="B196" s="387"/>
      <c r="C196" s="388"/>
      <c r="D196" s="388"/>
      <c r="E196" s="388"/>
      <c r="F196" s="388"/>
      <c r="G196" s="388"/>
      <c r="H196" s="388"/>
    </row>
    <row r="197" spans="2:8" ht="18">
      <c r="B197" s="387"/>
      <c r="C197" s="388"/>
      <c r="D197" s="388"/>
      <c r="E197" s="388"/>
      <c r="F197" s="388"/>
      <c r="G197" s="388"/>
      <c r="H197" s="388"/>
    </row>
    <row r="198" spans="2:8" ht="18">
      <c r="B198" s="387"/>
      <c r="C198" s="388"/>
      <c r="D198" s="388"/>
      <c r="E198" s="388"/>
      <c r="F198" s="388"/>
      <c r="G198" s="388"/>
      <c r="H198" s="388"/>
    </row>
    <row r="199" spans="2:8" ht="18">
      <c r="B199" s="387"/>
      <c r="C199" s="388"/>
      <c r="D199" s="388"/>
      <c r="E199" s="388"/>
      <c r="F199" s="388"/>
      <c r="G199" s="388"/>
      <c r="H199" s="388"/>
    </row>
    <row r="200" spans="2:8" ht="18">
      <c r="B200" s="387"/>
      <c r="C200" s="388"/>
      <c r="D200" s="388"/>
      <c r="E200" s="388"/>
      <c r="F200" s="388"/>
      <c r="G200" s="388"/>
      <c r="H200" s="388"/>
    </row>
    <row r="201" spans="2:8" ht="18">
      <c r="B201" s="387"/>
      <c r="C201" s="388"/>
      <c r="D201" s="388"/>
      <c r="E201" s="388"/>
      <c r="F201" s="388"/>
      <c r="G201" s="388"/>
      <c r="H201" s="388"/>
    </row>
    <row r="202" spans="2:8" ht="18">
      <c r="B202" s="387"/>
      <c r="C202" s="388"/>
      <c r="D202" s="388"/>
      <c r="E202" s="388"/>
      <c r="F202" s="388"/>
      <c r="G202" s="388"/>
      <c r="H202" s="388"/>
    </row>
    <row r="203" spans="2:8" ht="18">
      <c r="B203" s="387"/>
      <c r="C203" s="388"/>
      <c r="D203" s="388"/>
      <c r="E203" s="388"/>
      <c r="F203" s="388"/>
      <c r="G203" s="388"/>
      <c r="H203" s="388"/>
    </row>
    <row r="204" spans="2:8" ht="18">
      <c r="B204" s="387"/>
      <c r="C204" s="388"/>
      <c r="D204" s="388"/>
      <c r="E204" s="388"/>
      <c r="F204" s="388"/>
      <c r="G204" s="388"/>
      <c r="H204" s="388"/>
    </row>
    <row r="205" spans="2:8" ht="18">
      <c r="B205" s="387"/>
      <c r="C205" s="388"/>
      <c r="D205" s="388"/>
      <c r="E205" s="388"/>
      <c r="F205" s="388"/>
      <c r="G205" s="388"/>
      <c r="H205" s="388"/>
    </row>
    <row r="206" spans="2:8" ht="18">
      <c r="B206" s="387"/>
      <c r="C206" s="388"/>
      <c r="D206" s="388"/>
      <c r="E206" s="388"/>
      <c r="F206" s="388"/>
      <c r="G206" s="388"/>
      <c r="H206" s="388"/>
    </row>
    <row r="207" spans="2:8" ht="18">
      <c r="B207" s="387"/>
      <c r="C207" s="388"/>
      <c r="D207" s="388"/>
      <c r="E207" s="388"/>
      <c r="F207" s="388"/>
      <c r="G207" s="388"/>
      <c r="H207" s="388"/>
    </row>
    <row r="208" spans="2:8" ht="18">
      <c r="B208" s="387"/>
      <c r="C208" s="388"/>
      <c r="D208" s="388"/>
      <c r="E208" s="388"/>
      <c r="F208" s="388"/>
      <c r="G208" s="388"/>
      <c r="H208" s="388"/>
    </row>
    <row r="209" spans="2:8" ht="18">
      <c r="B209" s="387"/>
      <c r="C209" s="388"/>
      <c r="D209" s="388"/>
      <c r="E209" s="388"/>
      <c r="F209" s="388"/>
      <c r="G209" s="388"/>
      <c r="H209" s="388"/>
    </row>
    <row r="210" spans="2:8" ht="18">
      <c r="B210" s="387"/>
      <c r="C210" s="388"/>
      <c r="D210" s="388"/>
      <c r="E210" s="388"/>
      <c r="F210" s="388"/>
      <c r="G210" s="388"/>
      <c r="H210" s="388"/>
    </row>
    <row r="211" spans="2:8" ht="18">
      <c r="B211" s="387"/>
      <c r="C211" s="388"/>
      <c r="D211" s="388"/>
      <c r="E211" s="388"/>
      <c r="F211" s="388"/>
      <c r="G211" s="388"/>
      <c r="H211" s="388"/>
    </row>
    <row r="212" spans="2:8" ht="18">
      <c r="B212" s="387"/>
      <c r="C212" s="388"/>
      <c r="D212" s="388"/>
      <c r="E212" s="388"/>
      <c r="F212" s="388"/>
      <c r="G212" s="388"/>
      <c r="H212" s="388"/>
    </row>
    <row r="213" spans="2:8" ht="18">
      <c r="B213" s="387"/>
      <c r="C213" s="388"/>
      <c r="D213" s="388"/>
      <c r="E213" s="388"/>
      <c r="F213" s="388"/>
      <c r="G213" s="388"/>
      <c r="H213" s="388"/>
    </row>
    <row r="214" spans="2:8" ht="18">
      <c r="B214" s="387"/>
      <c r="C214" s="388"/>
      <c r="D214" s="388"/>
      <c r="E214" s="388"/>
      <c r="F214" s="388"/>
      <c r="G214" s="388"/>
      <c r="H214" s="388"/>
    </row>
    <row r="215" spans="2:8" ht="18">
      <c r="B215" s="387"/>
      <c r="C215" s="388"/>
      <c r="D215" s="388"/>
      <c r="E215" s="388"/>
      <c r="F215" s="388"/>
      <c r="G215" s="388"/>
      <c r="H215" s="388"/>
    </row>
    <row r="216" spans="2:8" ht="18">
      <c r="B216" s="387"/>
      <c r="C216" s="388"/>
      <c r="D216" s="388"/>
      <c r="E216" s="388"/>
      <c r="F216" s="388"/>
      <c r="G216" s="388"/>
      <c r="H216" s="388"/>
    </row>
    <row r="217" spans="2:8" ht="18">
      <c r="B217" s="387"/>
      <c r="C217" s="388"/>
      <c r="D217" s="388"/>
      <c r="E217" s="388"/>
      <c r="F217" s="388"/>
      <c r="G217" s="388"/>
      <c r="H217" s="388"/>
    </row>
    <row r="218" spans="2:8" ht="18">
      <c r="B218" s="387"/>
      <c r="C218" s="388"/>
      <c r="D218" s="388"/>
      <c r="E218" s="388"/>
      <c r="F218" s="388"/>
      <c r="G218" s="388"/>
      <c r="H218" s="388"/>
    </row>
    <row r="219" spans="2:8" ht="18">
      <c r="B219" s="387"/>
      <c r="C219" s="388"/>
      <c r="D219" s="388"/>
      <c r="E219" s="388"/>
      <c r="F219" s="388"/>
      <c r="G219" s="388"/>
      <c r="H219" s="388"/>
    </row>
    <row r="220" spans="2:8" ht="18">
      <c r="B220" s="387"/>
      <c r="C220" s="388"/>
      <c r="D220" s="388"/>
      <c r="E220" s="388"/>
      <c r="F220" s="388"/>
      <c r="G220" s="388"/>
      <c r="H220" s="388"/>
    </row>
    <row r="221" spans="2:8" ht="18">
      <c r="B221" s="387"/>
      <c r="C221" s="388"/>
      <c r="D221" s="388"/>
      <c r="E221" s="388"/>
      <c r="F221" s="388"/>
      <c r="G221" s="388"/>
      <c r="H221" s="388"/>
    </row>
    <row r="222" spans="2:8" ht="18">
      <c r="B222" s="387"/>
      <c r="C222" s="388"/>
      <c r="D222" s="388"/>
      <c r="E222" s="388"/>
      <c r="F222" s="388"/>
      <c r="G222" s="388"/>
      <c r="H222" s="388"/>
    </row>
    <row r="223" spans="2:8" ht="18">
      <c r="B223" s="387"/>
      <c r="C223" s="388"/>
      <c r="D223" s="388"/>
      <c r="E223" s="388"/>
      <c r="F223" s="388"/>
      <c r="G223" s="388"/>
      <c r="H223" s="388"/>
    </row>
    <row r="224" spans="2:8" ht="18">
      <c r="B224" s="387"/>
      <c r="C224" s="388"/>
      <c r="D224" s="388"/>
      <c r="E224" s="388"/>
      <c r="F224" s="388"/>
      <c r="G224" s="388"/>
      <c r="H224" s="388"/>
    </row>
    <row r="225" spans="2:8" ht="18">
      <c r="B225" s="387"/>
      <c r="C225" s="388"/>
      <c r="D225" s="388"/>
      <c r="E225" s="388"/>
      <c r="F225" s="388"/>
      <c r="G225" s="388"/>
      <c r="H225" s="388"/>
    </row>
    <row r="226" spans="2:8" ht="18">
      <c r="B226" s="387"/>
      <c r="C226" s="388"/>
      <c r="D226" s="388"/>
      <c r="E226" s="388"/>
      <c r="F226" s="388"/>
      <c r="G226" s="388"/>
      <c r="H226" s="388"/>
    </row>
    <row r="227" spans="2:8" ht="18">
      <c r="B227" s="387"/>
      <c r="C227" s="388"/>
      <c r="D227" s="388"/>
      <c r="E227" s="388"/>
      <c r="F227" s="388"/>
      <c r="G227" s="388"/>
      <c r="H227" s="388"/>
    </row>
    <row r="228" spans="2:8" ht="18">
      <c r="B228" s="387"/>
      <c r="C228" s="388"/>
      <c r="D228" s="388"/>
      <c r="E228" s="388"/>
      <c r="F228" s="388"/>
      <c r="G228" s="388"/>
      <c r="H228" s="388"/>
    </row>
    <row r="229" spans="2:8" ht="18">
      <c r="B229" s="387"/>
      <c r="C229" s="388"/>
      <c r="D229" s="388"/>
      <c r="E229" s="388"/>
      <c r="F229" s="388"/>
      <c r="G229" s="388"/>
      <c r="H229" s="388"/>
    </row>
    <row r="230" spans="2:8" ht="18">
      <c r="B230" s="387"/>
      <c r="C230" s="388"/>
      <c r="D230" s="388"/>
      <c r="E230" s="388"/>
      <c r="F230" s="388"/>
      <c r="G230" s="388"/>
      <c r="H230" s="388"/>
    </row>
  </sheetData>
  <mergeCells count="16">
    <mergeCell ref="B105:H105"/>
    <mergeCell ref="B75:H75"/>
    <mergeCell ref="B76:H76"/>
    <mergeCell ref="B77:H77"/>
    <mergeCell ref="B98:G98"/>
    <mergeCell ref="B102:G102"/>
    <mergeCell ref="B1:H1"/>
    <mergeCell ref="B2:H2"/>
    <mergeCell ref="B3:H3"/>
    <mergeCell ref="B41:G41"/>
    <mergeCell ref="B70:G70"/>
    <mergeCell ref="B74:G74"/>
    <mergeCell ref="B45:G45"/>
    <mergeCell ref="B47:H47"/>
    <mergeCell ref="B48:H48"/>
    <mergeCell ref="B49:H49"/>
  </mergeCells>
  <phoneticPr fontId="61" type="noConversion"/>
  <printOptions horizontalCentered="1"/>
  <pageMargins left="0.25" right="0.25" top="0.75" bottom="0.75" header="0.3" footer="0.3"/>
  <pageSetup scale="37" fitToHeight="0" orientation="landscape" r:id="rId1"/>
  <headerFooter alignWithMargins="0"/>
  <rowBreaks count="2" manualBreakCount="2">
    <brk id="46" max="7" man="1"/>
    <brk id="74"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U303"/>
  <sheetViews>
    <sheetView view="pageBreakPreview" topLeftCell="A76" zoomScale="60" zoomScaleNormal="90" zoomScalePageLayoutView="50" workbookViewId="0">
      <selection activeCell="C4" sqref="C4"/>
    </sheetView>
  </sheetViews>
  <sheetFormatPr defaultColWidth="8.81640625" defaultRowHeight="15"/>
  <cols>
    <col min="1" max="1" width="6.81640625" style="852" customWidth="1"/>
    <col min="2" max="2" width="51.453125" style="344" customWidth="1"/>
    <col min="3" max="3" width="22.08984375" style="341" customWidth="1"/>
    <col min="4" max="4" width="21.54296875" style="341" customWidth="1"/>
    <col min="5" max="5" width="20.81640625" style="341" customWidth="1"/>
    <col min="6" max="6" width="16.7265625" style="341" customWidth="1"/>
    <col min="7" max="7" width="20.453125" style="341" customWidth="1"/>
    <col min="8" max="8" width="114.7265625" style="341" bestFit="1" customWidth="1"/>
    <col min="9" max="16384" width="8.81640625" style="341"/>
  </cols>
  <sheetData>
    <row r="1" spans="1:21" ht="17.399999999999999">
      <c r="B1" s="1218" t="str">
        <f>'Appendix A'!$E$9</f>
        <v>HURLEY AVENUE PROJECT - SYSTEM DELIVERABILITY UPGRADE</v>
      </c>
      <c r="C1" s="1219"/>
      <c r="D1" s="1219"/>
      <c r="E1" s="1219"/>
      <c r="F1" s="1219"/>
      <c r="G1" s="1219"/>
      <c r="H1" s="1219"/>
      <c r="I1" s="340"/>
      <c r="J1" s="340"/>
    </row>
    <row r="2" spans="1:21" ht="17.399999999999999">
      <c r="B2" s="1218" t="s">
        <v>347</v>
      </c>
      <c r="C2" s="1218"/>
      <c r="D2" s="1218"/>
      <c r="E2" s="1218"/>
      <c r="F2" s="1218"/>
      <c r="G2" s="1218"/>
      <c r="H2" s="1218"/>
      <c r="I2" s="340"/>
      <c r="J2" s="340"/>
    </row>
    <row r="3" spans="1:21" ht="17.399999999999999">
      <c r="B3" s="1222" t="s">
        <v>146</v>
      </c>
      <c r="C3" s="1222"/>
      <c r="D3" s="1222"/>
      <c r="E3" s="1222"/>
      <c r="F3" s="1222"/>
      <c r="G3" s="1222"/>
      <c r="H3" s="1222"/>
      <c r="I3" s="340"/>
      <c r="J3" s="340"/>
    </row>
    <row r="4" spans="1:21" ht="18">
      <c r="B4" s="372"/>
      <c r="C4" s="372"/>
      <c r="D4" s="372"/>
      <c r="E4" s="372"/>
      <c r="F4" s="372"/>
      <c r="G4" s="372"/>
      <c r="H4" s="372"/>
      <c r="I4" s="340"/>
      <c r="J4" s="340"/>
    </row>
    <row r="5" spans="1:21" ht="18">
      <c r="B5" s="345"/>
      <c r="C5" s="346"/>
      <c r="D5" s="372"/>
      <c r="E5" s="372"/>
      <c r="F5" s="346"/>
      <c r="G5" s="367"/>
      <c r="H5" s="346"/>
    </row>
    <row r="6" spans="1:21" ht="15.6">
      <c r="B6" s="345"/>
      <c r="C6" s="346"/>
      <c r="D6" s="367" t="s">
        <v>45</v>
      </c>
      <c r="E6" s="367" t="s">
        <v>319</v>
      </c>
      <c r="F6" s="367" t="s">
        <v>317</v>
      </c>
      <c r="G6" s="367" t="s">
        <v>41</v>
      </c>
      <c r="H6" s="346"/>
      <c r="U6" s="342"/>
    </row>
    <row r="7" spans="1:21" ht="15.6">
      <c r="B7" s="347" t="s">
        <v>35</v>
      </c>
      <c r="C7" s="346"/>
      <c r="D7" s="367" t="s">
        <v>320</v>
      </c>
      <c r="E7" s="367" t="s">
        <v>320</v>
      </c>
      <c r="F7" s="367" t="s">
        <v>320</v>
      </c>
      <c r="G7" s="367"/>
      <c r="H7" s="346"/>
      <c r="U7" s="342"/>
    </row>
    <row r="8" spans="1:21" ht="15.6">
      <c r="B8" s="347"/>
      <c r="C8" s="346"/>
      <c r="D8" s="346"/>
      <c r="E8" s="346"/>
      <c r="F8" s="346"/>
      <c r="G8" s="346"/>
      <c r="H8" s="346"/>
    </row>
    <row r="9" spans="1:21" ht="15.6">
      <c r="A9" s="852">
        <v>1</v>
      </c>
      <c r="B9" s="347">
        <v>1</v>
      </c>
      <c r="C9" s="346" t="s">
        <v>833</v>
      </c>
      <c r="D9" s="329">
        <f>+E67</f>
        <v>-124923</v>
      </c>
      <c r="E9" s="329">
        <f t="shared" ref="E9:F9" si="0">+F67</f>
        <v>0</v>
      </c>
      <c r="F9" s="329">
        <f t="shared" si="0"/>
        <v>0</v>
      </c>
      <c r="G9" s="477"/>
      <c r="H9" s="346" t="s">
        <v>322</v>
      </c>
    </row>
    <row r="10" spans="1:21" ht="15.6">
      <c r="A10" s="852">
        <v>2</v>
      </c>
      <c r="B10" s="347">
        <v>2</v>
      </c>
      <c r="C10" s="346" t="s">
        <v>323</v>
      </c>
      <c r="D10" s="329">
        <f>+E96</f>
        <v>0</v>
      </c>
      <c r="E10" s="329">
        <f t="shared" ref="E10:F10" si="1">+F96</f>
        <v>0</v>
      </c>
      <c r="F10" s="329">
        <f t="shared" si="1"/>
        <v>0</v>
      </c>
      <c r="G10" s="477"/>
      <c r="H10" s="346" t="s">
        <v>324</v>
      </c>
    </row>
    <row r="11" spans="1:21" ht="15.6">
      <c r="A11" s="852">
        <v>3</v>
      </c>
      <c r="B11" s="347">
        <v>3</v>
      </c>
      <c r="C11" s="346" t="s">
        <v>325</v>
      </c>
      <c r="D11" s="1064">
        <f>+E39</f>
        <v>8633</v>
      </c>
      <c r="E11" s="1064">
        <f t="shared" ref="E11:F11" si="2">+F39</f>
        <v>0</v>
      </c>
      <c r="F11" s="1064">
        <f t="shared" si="2"/>
        <v>0</v>
      </c>
      <c r="G11" s="477"/>
      <c r="H11" s="346" t="s">
        <v>326</v>
      </c>
    </row>
    <row r="12" spans="1:21" ht="15.6">
      <c r="A12" s="852">
        <v>4</v>
      </c>
      <c r="B12" s="347">
        <v>4</v>
      </c>
      <c r="C12" s="346" t="s">
        <v>327</v>
      </c>
      <c r="D12" s="329">
        <f>+SUM(D9:D11)</f>
        <v>-116290</v>
      </c>
      <c r="E12" s="329">
        <f t="shared" ref="E12:F12" si="3">+SUM(E9:E11)</f>
        <v>0</v>
      </c>
      <c r="F12" s="329">
        <f t="shared" si="3"/>
        <v>0</v>
      </c>
      <c r="G12" s="477"/>
      <c r="H12" s="348"/>
    </row>
    <row r="13" spans="1:21" ht="15.6">
      <c r="A13" s="852">
        <v>5</v>
      </c>
      <c r="B13" s="347">
        <v>5</v>
      </c>
      <c r="C13" s="346" t="s">
        <v>328</v>
      </c>
      <c r="D13" s="477"/>
      <c r="E13" s="477"/>
      <c r="F13" s="1066">
        <f>+'Appendix A'!J246</f>
        <v>2.5849081312395196E-3</v>
      </c>
      <c r="G13" s="477"/>
      <c r="H13" s="346"/>
    </row>
    <row r="14" spans="1:21" ht="15.6">
      <c r="A14" s="852">
        <v>6</v>
      </c>
      <c r="B14" s="347">
        <v>6</v>
      </c>
      <c r="C14" s="346" t="s">
        <v>59</v>
      </c>
      <c r="D14" s="477"/>
      <c r="E14" s="1066">
        <f>+'Appendix A'!H96</f>
        <v>6.4444218972739926E-3</v>
      </c>
      <c r="F14" s="477"/>
      <c r="G14" s="477"/>
      <c r="H14" s="346"/>
    </row>
    <row r="15" spans="1:21" ht="15.6">
      <c r="A15" s="852">
        <v>7</v>
      </c>
      <c r="B15" s="347">
        <v>7</v>
      </c>
      <c r="C15" s="346" t="s">
        <v>329</v>
      </c>
      <c r="D15" s="329">
        <f>+D12</f>
        <v>-116290</v>
      </c>
      <c r="E15" s="1065">
        <f>+E12*E14</f>
        <v>0</v>
      </c>
      <c r="F15" s="477">
        <f>+F12*F13</f>
        <v>0</v>
      </c>
      <c r="G15" s="477">
        <f>+D15+E15+F15</f>
        <v>-116290</v>
      </c>
      <c r="H15" s="349"/>
    </row>
    <row r="16" spans="1:21" ht="15.6">
      <c r="B16" s="345"/>
      <c r="C16" s="346"/>
      <c r="D16" s="348"/>
      <c r="E16" s="348"/>
      <c r="F16" s="348"/>
      <c r="G16" s="348"/>
      <c r="H16" s="349"/>
    </row>
    <row r="17" spans="1:8" ht="15.6">
      <c r="B17" s="346"/>
      <c r="C17" s="346"/>
      <c r="D17" s="346"/>
      <c r="E17" s="346"/>
      <c r="F17" s="346"/>
      <c r="G17" s="346"/>
      <c r="H17" s="348"/>
    </row>
    <row r="18" spans="1:8" ht="15.6">
      <c r="B18" s="346"/>
      <c r="C18" s="346"/>
      <c r="D18" s="348"/>
      <c r="E18" s="346"/>
      <c r="F18" s="346"/>
      <c r="G18" s="346"/>
      <c r="H18" s="329"/>
    </row>
    <row r="19" spans="1:8" ht="15.6">
      <c r="B19" s="346"/>
      <c r="C19" s="346"/>
      <c r="D19" s="346"/>
      <c r="E19" s="346"/>
      <c r="F19" s="346"/>
      <c r="G19" s="346"/>
      <c r="H19" s="350"/>
    </row>
    <row r="20" spans="1:8" ht="15.6">
      <c r="B20" s="345" t="s">
        <v>330</v>
      </c>
      <c r="C20" s="346"/>
      <c r="D20" s="346"/>
      <c r="E20" s="346"/>
      <c r="F20" s="346"/>
      <c r="G20" s="346"/>
      <c r="H20" s="346"/>
    </row>
    <row r="21" spans="1:8" ht="15.6">
      <c r="B21" s="345" t="s">
        <v>796</v>
      </c>
      <c r="C21" s="346"/>
      <c r="D21" s="346"/>
      <c r="E21" s="346"/>
      <c r="F21" s="346"/>
      <c r="G21" s="346"/>
      <c r="H21" s="346"/>
    </row>
    <row r="22" spans="1:8" ht="15.6">
      <c r="B22" s="367" t="s">
        <v>99</v>
      </c>
      <c r="C22" s="367" t="s">
        <v>100</v>
      </c>
      <c r="D22" s="367" t="s">
        <v>101</v>
      </c>
      <c r="E22" s="367" t="s">
        <v>102</v>
      </c>
      <c r="F22" s="367" t="s">
        <v>103</v>
      </c>
      <c r="G22" s="367" t="s">
        <v>104</v>
      </c>
      <c r="H22" s="367" t="s">
        <v>105</v>
      </c>
    </row>
    <row r="23" spans="1:8" ht="18">
      <c r="B23" s="345"/>
      <c r="C23" s="367" t="s">
        <v>41</v>
      </c>
      <c r="D23" s="367" t="s">
        <v>331</v>
      </c>
      <c r="E23" s="372"/>
      <c r="F23" s="372"/>
      <c r="G23" s="372"/>
      <c r="H23" s="346"/>
    </row>
    <row r="24" spans="1:8" ht="15.6">
      <c r="A24" s="852" t="s">
        <v>720</v>
      </c>
      <c r="B24" s="345" t="s">
        <v>325</v>
      </c>
      <c r="C24" s="367"/>
      <c r="D24" s="367" t="s">
        <v>332</v>
      </c>
      <c r="E24" s="367" t="s">
        <v>45</v>
      </c>
      <c r="F24" s="367" t="s">
        <v>319</v>
      </c>
      <c r="G24" s="367" t="s">
        <v>317</v>
      </c>
      <c r="H24" s="346"/>
    </row>
    <row r="25" spans="1:8" ht="15.6">
      <c r="B25" s="345"/>
      <c r="C25" s="367"/>
      <c r="D25" s="367" t="s">
        <v>320</v>
      </c>
      <c r="E25" s="367" t="s">
        <v>320</v>
      </c>
      <c r="F25" s="367" t="s">
        <v>320</v>
      </c>
      <c r="G25" s="367" t="s">
        <v>320</v>
      </c>
      <c r="H25" s="367" t="s">
        <v>333</v>
      </c>
    </row>
    <row r="26" spans="1:8" ht="35.1" customHeight="1">
      <c r="A26" s="852" t="s">
        <v>300</v>
      </c>
      <c r="B26" s="1061" t="s">
        <v>873</v>
      </c>
      <c r="C26" s="351"/>
      <c r="D26" s="352"/>
      <c r="E26" s="1063">
        <v>8633</v>
      </c>
      <c r="F26" s="352"/>
      <c r="G26" s="352"/>
      <c r="H26" s="353" t="str">
        <f>H55</f>
        <v>Related to Hurley Avernue Substation Project</v>
      </c>
    </row>
    <row r="27" spans="1:8" ht="35.1" customHeight="1">
      <c r="A27" s="852" t="s">
        <v>301</v>
      </c>
      <c r="B27" s="354"/>
      <c r="C27" s="351">
        <f>SUM(D27:G27)</f>
        <v>0</v>
      </c>
      <c r="D27" s="352"/>
      <c r="E27" s="352"/>
      <c r="F27" s="352"/>
      <c r="G27" s="352"/>
      <c r="H27" s="353"/>
    </row>
    <row r="28" spans="1:8" ht="35.1" customHeight="1">
      <c r="A28" s="852" t="s">
        <v>302</v>
      </c>
      <c r="B28" s="354"/>
      <c r="C28" s="351">
        <f>SUM(D28:G28)</f>
        <v>0</v>
      </c>
      <c r="D28" s="352"/>
      <c r="E28" s="352"/>
      <c r="F28" s="352"/>
      <c r="G28" s="352"/>
      <c r="H28" s="353"/>
    </row>
    <row r="29" spans="1:8" ht="35.1" customHeight="1">
      <c r="A29" s="852" t="s">
        <v>303</v>
      </c>
      <c r="B29" s="354"/>
      <c r="C29" s="351">
        <f>SUM(D29:G29)</f>
        <v>0</v>
      </c>
      <c r="D29" s="352"/>
      <c r="E29" s="352"/>
      <c r="F29" s="352"/>
      <c r="G29" s="352"/>
      <c r="H29" s="353"/>
    </row>
    <row r="30" spans="1:8" ht="35.1" customHeight="1">
      <c r="A30" s="852" t="s">
        <v>304</v>
      </c>
      <c r="B30" s="354"/>
      <c r="C30" s="351">
        <f>SUM(D30:G30)</f>
        <v>0</v>
      </c>
      <c r="D30" s="352"/>
      <c r="E30" s="352"/>
      <c r="F30" s="352"/>
      <c r="G30" s="352"/>
      <c r="H30" s="353"/>
    </row>
    <row r="31" spans="1:8" ht="35.1" customHeight="1">
      <c r="A31" s="852" t="s">
        <v>358</v>
      </c>
      <c r="B31" s="354"/>
      <c r="C31" s="351"/>
      <c r="D31" s="352"/>
      <c r="E31" s="352"/>
      <c r="F31" s="352"/>
      <c r="G31" s="352"/>
      <c r="H31" s="353"/>
    </row>
    <row r="32" spans="1:8" ht="35.1" customHeight="1">
      <c r="A32" s="852" t="s">
        <v>358</v>
      </c>
      <c r="B32" s="354"/>
      <c r="C32" s="351"/>
      <c r="D32" s="352"/>
      <c r="E32" s="352"/>
      <c r="F32" s="352"/>
      <c r="G32" s="352"/>
      <c r="H32" s="353"/>
    </row>
    <row r="33" spans="1:8" ht="35.1" customHeight="1">
      <c r="A33" s="852" t="s">
        <v>358</v>
      </c>
      <c r="B33" s="354"/>
      <c r="C33" s="351"/>
      <c r="D33" s="355"/>
      <c r="E33" s="352"/>
      <c r="F33" s="352"/>
      <c r="G33" s="352"/>
      <c r="H33" s="353"/>
    </row>
    <row r="34" spans="1:8" ht="35.1" customHeight="1">
      <c r="A34" s="852" t="s">
        <v>358</v>
      </c>
      <c r="B34" s="354"/>
      <c r="C34" s="351"/>
      <c r="D34" s="352"/>
      <c r="E34" s="352"/>
      <c r="F34" s="352"/>
      <c r="G34" s="352"/>
      <c r="H34" s="353"/>
    </row>
    <row r="35" spans="1:8" ht="35.1" customHeight="1">
      <c r="A35" s="852" t="s">
        <v>358</v>
      </c>
      <c r="B35" s="354"/>
      <c r="C35" s="351"/>
      <c r="D35" s="351"/>
      <c r="E35" s="351"/>
      <c r="F35" s="351"/>
      <c r="G35" s="351"/>
      <c r="H35" s="353"/>
    </row>
    <row r="36" spans="1:8" ht="35.1" customHeight="1">
      <c r="A36" s="852" t="s">
        <v>722</v>
      </c>
      <c r="B36" s="373" t="s">
        <v>334</v>
      </c>
      <c r="C36" s="374">
        <f>SUBTOTAL(9,C26:C35)</f>
        <v>0</v>
      </c>
      <c r="D36" s="366">
        <f>SUM(D26:D35)</f>
        <v>0</v>
      </c>
      <c r="E36" s="366">
        <f>SUM(E26:E35)</f>
        <v>8633</v>
      </c>
      <c r="F36" s="366">
        <f>SUM(F26:F35)</f>
        <v>0</v>
      </c>
      <c r="G36" s="366">
        <f>SUM(G26:G35)</f>
        <v>0</v>
      </c>
      <c r="H36" s="356"/>
    </row>
    <row r="37" spans="1:8" ht="35.1" customHeight="1">
      <c r="A37" s="852" t="s">
        <v>723</v>
      </c>
      <c r="B37" s="375" t="s">
        <v>335</v>
      </c>
      <c r="C37" s="357">
        <f>SUM(D37:E37)</f>
        <v>0</v>
      </c>
      <c r="D37" s="357"/>
      <c r="E37" s="357"/>
      <c r="F37" s="358"/>
      <c r="G37" s="359"/>
      <c r="H37" s="353"/>
    </row>
    <row r="38" spans="1:8" ht="35.1" customHeight="1">
      <c r="A38" s="852" t="s">
        <v>696</v>
      </c>
      <c r="B38" s="376" t="s">
        <v>336</v>
      </c>
      <c r="C38" s="357">
        <f>SUM(D38:E38)</f>
        <v>0</v>
      </c>
      <c r="D38" s="360"/>
      <c r="E38" s="360">
        <v>0</v>
      </c>
      <c r="F38" s="360"/>
      <c r="G38" s="360"/>
      <c r="H38" s="361"/>
    </row>
    <row r="39" spans="1:8" ht="35.1" customHeight="1" thickBot="1">
      <c r="A39" s="852" t="s">
        <v>697</v>
      </c>
      <c r="B39" s="377" t="s">
        <v>41</v>
      </c>
      <c r="C39" s="378">
        <f>+C36-C37-C38</f>
        <v>0</v>
      </c>
      <c r="D39" s="378">
        <f>+D36-D37-D38</f>
        <v>0</v>
      </c>
      <c r="E39" s="378">
        <f>+E36-E37-E38</f>
        <v>8633</v>
      </c>
      <c r="F39" s="378">
        <f>+F36-F37-F38</f>
        <v>0</v>
      </c>
      <c r="G39" s="378">
        <f>+G36-G37-G38</f>
        <v>0</v>
      </c>
      <c r="H39" s="379"/>
    </row>
    <row r="40" spans="1:8" ht="35.1" customHeight="1" thickTop="1">
      <c r="B40" s="346" t="s">
        <v>337</v>
      </c>
      <c r="C40" s="348"/>
      <c r="D40" s="368"/>
      <c r="E40" s="367"/>
      <c r="F40" s="346"/>
      <c r="G40" s="380"/>
      <c r="H40" s="346"/>
    </row>
    <row r="41" spans="1:8" ht="15.6">
      <c r="A41" s="852" t="s">
        <v>698</v>
      </c>
      <c r="B41" s="1220" t="s">
        <v>338</v>
      </c>
      <c r="C41" s="1220"/>
      <c r="D41" s="1220"/>
      <c r="E41" s="1220"/>
      <c r="F41" s="1220"/>
      <c r="G41" s="1220"/>
      <c r="H41" s="346"/>
    </row>
    <row r="42" spans="1:8" ht="15.6">
      <c r="A42" s="852" t="s">
        <v>699</v>
      </c>
      <c r="B42" s="345" t="s">
        <v>339</v>
      </c>
      <c r="C42" s="346"/>
      <c r="D42" s="346"/>
      <c r="E42" s="346"/>
      <c r="F42" s="367"/>
      <c r="G42" s="367"/>
      <c r="H42" s="346"/>
    </row>
    <row r="43" spans="1:8" ht="15.6">
      <c r="A43" s="852" t="s">
        <v>700</v>
      </c>
      <c r="B43" s="345" t="s">
        <v>340</v>
      </c>
      <c r="C43" s="346"/>
      <c r="D43" s="346"/>
      <c r="E43" s="346"/>
      <c r="F43" s="367"/>
      <c r="G43" s="367"/>
      <c r="H43" s="346"/>
    </row>
    <row r="44" spans="1:8" ht="15.6">
      <c r="A44" s="852" t="s">
        <v>701</v>
      </c>
      <c r="B44" s="345" t="s">
        <v>341</v>
      </c>
      <c r="C44" s="346"/>
      <c r="D44" s="346"/>
      <c r="E44" s="346"/>
      <c r="F44" s="367"/>
      <c r="G44" s="367"/>
      <c r="H44" s="346"/>
    </row>
    <row r="45" spans="1:8" ht="15.6">
      <c r="A45" s="852" t="s">
        <v>724</v>
      </c>
      <c r="B45" s="346" t="s">
        <v>670</v>
      </c>
      <c r="C45" s="346"/>
      <c r="D45" s="346"/>
      <c r="E45" s="346"/>
      <c r="F45" s="346"/>
      <c r="G45" s="346"/>
      <c r="H45" s="362"/>
    </row>
    <row r="46" spans="1:8" ht="35.1" customHeight="1">
      <c r="B46" s="362"/>
      <c r="C46" s="362"/>
      <c r="D46" s="362"/>
      <c r="E46" s="362"/>
      <c r="F46" s="362"/>
      <c r="G46" s="362"/>
      <c r="H46" s="362"/>
    </row>
    <row r="47" spans="1:8" s="340" customFormat="1" ht="25.05" customHeight="1">
      <c r="A47" s="853"/>
      <c r="B47" s="1215" t="str">
        <f>+B1</f>
        <v>HURLEY AVENUE PROJECT - SYSTEM DELIVERABILITY UPGRADE</v>
      </c>
      <c r="C47" s="1216"/>
      <c r="D47" s="1216"/>
      <c r="E47" s="1216"/>
      <c r="F47" s="1216"/>
      <c r="G47" s="1216"/>
      <c r="H47" s="1216"/>
    </row>
    <row r="48" spans="1:8" s="340" customFormat="1" ht="25.05" customHeight="1">
      <c r="A48" s="853"/>
      <c r="B48" s="1215" t="s">
        <v>347</v>
      </c>
      <c r="C48" s="1215"/>
      <c r="D48" s="1215"/>
      <c r="E48" s="1215"/>
      <c r="F48" s="1215"/>
      <c r="G48" s="1215"/>
      <c r="H48" s="1215"/>
    </row>
    <row r="49" spans="1:8" s="340" customFormat="1" ht="25.05" customHeight="1">
      <c r="A49" s="853"/>
      <c r="B49" s="1222" t="s">
        <v>146</v>
      </c>
      <c r="C49" s="1222"/>
      <c r="D49" s="1222"/>
      <c r="E49" s="1222"/>
      <c r="F49" s="1222"/>
      <c r="G49" s="1222"/>
      <c r="H49" s="1222"/>
    </row>
    <row r="50" spans="1:8" ht="25.05" customHeight="1">
      <c r="B50" s="346"/>
      <c r="C50" s="346"/>
      <c r="D50" s="346"/>
      <c r="E50" s="346"/>
      <c r="F50" s="346"/>
      <c r="G50" s="346"/>
      <c r="H50" s="346"/>
    </row>
    <row r="51" spans="1:8" ht="25.05" customHeight="1">
      <c r="B51" s="367" t="s">
        <v>99</v>
      </c>
      <c r="C51" s="367" t="s">
        <v>100</v>
      </c>
      <c r="D51" s="367" t="s">
        <v>101</v>
      </c>
      <c r="E51" s="367" t="s">
        <v>102</v>
      </c>
      <c r="F51" s="367" t="s">
        <v>103</v>
      </c>
      <c r="G51" s="367" t="s">
        <v>104</v>
      </c>
      <c r="H51" s="367" t="s">
        <v>105</v>
      </c>
    </row>
    <row r="52" spans="1:8" ht="25.05" customHeight="1">
      <c r="B52" s="346"/>
      <c r="C52" s="367" t="s">
        <v>41</v>
      </c>
      <c r="D52" s="367" t="s">
        <v>331</v>
      </c>
      <c r="E52" s="372"/>
      <c r="F52" s="372"/>
      <c r="G52" s="372"/>
      <c r="H52" s="346"/>
    </row>
    <row r="53" spans="1:8" ht="25.05" customHeight="1">
      <c r="A53" s="852" t="s">
        <v>702</v>
      </c>
      <c r="B53" s="346" t="s">
        <v>321</v>
      </c>
      <c r="C53" s="367"/>
      <c r="D53" s="367" t="s">
        <v>332</v>
      </c>
      <c r="E53" s="367" t="s">
        <v>45</v>
      </c>
      <c r="F53" s="367" t="s">
        <v>319</v>
      </c>
      <c r="G53" s="367" t="s">
        <v>317</v>
      </c>
      <c r="H53" s="346"/>
    </row>
    <row r="54" spans="1:8" ht="25.05" customHeight="1">
      <c r="B54" s="345"/>
      <c r="C54" s="367"/>
      <c r="D54" s="367" t="s">
        <v>320</v>
      </c>
      <c r="E54" s="367" t="s">
        <v>320</v>
      </c>
      <c r="F54" s="367" t="s">
        <v>320</v>
      </c>
      <c r="G54" s="367" t="s">
        <v>320</v>
      </c>
      <c r="H54" s="367" t="s">
        <v>333</v>
      </c>
    </row>
    <row r="55" spans="1:8" ht="35.1" customHeight="1">
      <c r="A55" s="852" t="s">
        <v>736</v>
      </c>
      <c r="B55" s="1061" t="s">
        <v>868</v>
      </c>
      <c r="C55" s="351"/>
      <c r="D55" s="352"/>
      <c r="E55" s="352">
        <v>-124923</v>
      </c>
      <c r="F55" s="352"/>
      <c r="G55" s="352"/>
      <c r="H55" s="353" t="s">
        <v>982</v>
      </c>
    </row>
    <row r="56" spans="1:8" ht="35.1" customHeight="1">
      <c r="A56" s="852" t="s">
        <v>737</v>
      </c>
      <c r="B56" s="354"/>
      <c r="C56" s="351"/>
      <c r="D56" s="352"/>
      <c r="E56" s="352"/>
      <c r="F56" s="352"/>
      <c r="G56" s="352"/>
      <c r="H56" s="353"/>
    </row>
    <row r="57" spans="1:8" ht="35.1" customHeight="1">
      <c r="A57" s="852" t="s">
        <v>738</v>
      </c>
      <c r="B57" s="354"/>
      <c r="C57" s="351"/>
      <c r="D57" s="352"/>
      <c r="E57" s="352"/>
      <c r="F57" s="352"/>
      <c r="G57" s="352"/>
      <c r="H57" s="353"/>
    </row>
    <row r="58" spans="1:8" ht="35.1" customHeight="1">
      <c r="A58" s="852" t="s">
        <v>358</v>
      </c>
      <c r="B58" s="354"/>
      <c r="C58" s="351"/>
      <c r="D58" s="352"/>
      <c r="E58" s="352"/>
      <c r="F58" s="352"/>
      <c r="G58" s="352"/>
      <c r="H58" s="353"/>
    </row>
    <row r="59" spans="1:8" ht="35.1" customHeight="1">
      <c r="A59" s="852" t="s">
        <v>358</v>
      </c>
      <c r="B59" s="354"/>
      <c r="C59" s="352"/>
      <c r="D59" s="352"/>
      <c r="E59" s="352"/>
      <c r="F59" s="352"/>
      <c r="G59" s="352"/>
      <c r="H59" s="353"/>
    </row>
    <row r="60" spans="1:8" ht="35.1" customHeight="1">
      <c r="A60" s="852" t="s">
        <v>358</v>
      </c>
      <c r="B60" s="354"/>
      <c r="C60" s="352"/>
      <c r="D60" s="352"/>
      <c r="E60" s="352"/>
      <c r="F60" s="352"/>
      <c r="G60" s="352"/>
      <c r="H60" s="353"/>
    </row>
    <row r="61" spans="1:8" ht="35.1" customHeight="1">
      <c r="A61" s="852" t="s">
        <v>358</v>
      </c>
      <c r="B61" s="363"/>
      <c r="C61" s="364"/>
      <c r="D61" s="364"/>
      <c r="E61" s="364"/>
      <c r="F61" s="364"/>
      <c r="G61" s="364"/>
      <c r="H61" s="353"/>
    </row>
    <row r="62" spans="1:8" ht="35.1" customHeight="1">
      <c r="A62" s="852" t="s">
        <v>358</v>
      </c>
      <c r="B62" s="365"/>
      <c r="C62" s="364"/>
      <c r="D62" s="364"/>
      <c r="E62" s="364"/>
      <c r="F62" s="364"/>
      <c r="G62" s="364"/>
      <c r="H62" s="353"/>
    </row>
    <row r="63" spans="1:8" ht="35.1" customHeight="1">
      <c r="A63" s="852" t="s">
        <v>358</v>
      </c>
      <c r="B63" s="365"/>
      <c r="C63" s="364"/>
      <c r="D63" s="364"/>
      <c r="E63" s="364"/>
      <c r="F63" s="364"/>
      <c r="G63" s="364"/>
      <c r="H63" s="353"/>
    </row>
    <row r="64" spans="1:8" ht="35.1" customHeight="1">
      <c r="A64" s="852" t="s">
        <v>704</v>
      </c>
      <c r="B64" s="381" t="s">
        <v>342</v>
      </c>
      <c r="C64" s="366">
        <f>SUBTOTAL(9,C55:C63)</f>
        <v>0</v>
      </c>
      <c r="D64" s="366">
        <f>SUM(D55:D63)</f>
        <v>0</v>
      </c>
      <c r="E64" s="366">
        <f>SUM(E55:E63)</f>
        <v>-124923</v>
      </c>
      <c r="F64" s="366">
        <f>SUM(F55:F63)</f>
        <v>0</v>
      </c>
      <c r="G64" s="366">
        <f>SUM(G55:G63)</f>
        <v>0</v>
      </c>
      <c r="H64" s="356"/>
    </row>
    <row r="65" spans="1:8" ht="35.1" customHeight="1">
      <c r="A65" s="852" t="s">
        <v>705</v>
      </c>
      <c r="B65" s="381" t="s">
        <v>335</v>
      </c>
      <c r="C65" s="357">
        <f>SUM(D65:E65)</f>
        <v>0</v>
      </c>
      <c r="D65" s="357"/>
      <c r="E65" s="357"/>
      <c r="F65" s="357"/>
      <c r="G65" s="357"/>
      <c r="H65" s="353"/>
    </row>
    <row r="66" spans="1:8" ht="35.1" customHeight="1">
      <c r="A66" s="852" t="s">
        <v>706</v>
      </c>
      <c r="B66" s="382" t="s">
        <v>336</v>
      </c>
      <c r="C66" s="357">
        <f>SUM(D66:E66)</f>
        <v>0</v>
      </c>
      <c r="D66" s="360"/>
      <c r="E66" s="360">
        <v>0</v>
      </c>
      <c r="F66" s="360"/>
      <c r="G66" s="360"/>
      <c r="H66" s="361"/>
    </row>
    <row r="67" spans="1:8" ht="35.1" customHeight="1" thickBot="1">
      <c r="A67" s="852" t="s">
        <v>707</v>
      </c>
      <c r="B67" s="377" t="s">
        <v>41</v>
      </c>
      <c r="C67" s="378">
        <f>+C64-C65-C66</f>
        <v>0</v>
      </c>
      <c r="D67" s="378">
        <f>+D64-D65-D66</f>
        <v>0</v>
      </c>
      <c r="E67" s="378">
        <f>+E64-E65-E66</f>
        <v>-124923</v>
      </c>
      <c r="F67" s="378">
        <f>+F64-F65-F66</f>
        <v>0</v>
      </c>
      <c r="G67" s="378">
        <f>+G64-G65-G66</f>
        <v>0</v>
      </c>
      <c r="H67" s="379"/>
    </row>
    <row r="68" spans="1:8" ht="35.1" customHeight="1" thickTop="1">
      <c r="B68" s="345"/>
      <c r="C68" s="346"/>
      <c r="D68" s="346"/>
      <c r="E68" s="348"/>
      <c r="F68" s="367"/>
      <c r="G68" s="368"/>
      <c r="H68" s="362"/>
    </row>
    <row r="69" spans="1:8" ht="35.1" customHeight="1">
      <c r="B69" s="346" t="s">
        <v>343</v>
      </c>
      <c r="C69" s="346"/>
      <c r="D69" s="367"/>
      <c r="E69" s="368"/>
      <c r="F69" s="346"/>
      <c r="G69" s="362"/>
      <c r="H69" s="346"/>
    </row>
    <row r="70" spans="1:8" ht="15.6">
      <c r="A70" s="852" t="s">
        <v>708</v>
      </c>
      <c r="B70" s="346" t="s">
        <v>338</v>
      </c>
      <c r="C70" s="346"/>
      <c r="D70" s="346"/>
      <c r="E70" s="346"/>
      <c r="F70" s="346"/>
      <c r="G70" s="346"/>
      <c r="H70" s="346"/>
    </row>
    <row r="71" spans="1:8" ht="15.6">
      <c r="A71" s="852" t="s">
        <v>709</v>
      </c>
      <c r="B71" s="345" t="s">
        <v>339</v>
      </c>
      <c r="C71" s="346"/>
      <c r="D71" s="346"/>
      <c r="E71" s="346"/>
      <c r="F71" s="367"/>
      <c r="G71" s="367"/>
      <c r="H71" s="346"/>
    </row>
    <row r="72" spans="1:8" ht="15.6">
      <c r="A72" s="852" t="s">
        <v>710</v>
      </c>
      <c r="B72" s="345" t="s">
        <v>340</v>
      </c>
      <c r="C72" s="346"/>
      <c r="D72" s="346"/>
      <c r="E72" s="346"/>
      <c r="F72" s="367"/>
      <c r="G72" s="367"/>
      <c r="H72" s="346"/>
    </row>
    <row r="73" spans="1:8" ht="15.6">
      <c r="A73" s="852" t="s">
        <v>711</v>
      </c>
      <c r="B73" s="345" t="s">
        <v>341</v>
      </c>
      <c r="C73" s="346"/>
      <c r="D73" s="346"/>
      <c r="E73" s="346"/>
      <c r="F73" s="367"/>
      <c r="G73" s="367"/>
      <c r="H73" s="346"/>
    </row>
    <row r="74" spans="1:8" ht="15.6">
      <c r="A74" s="852" t="s">
        <v>728</v>
      </c>
      <c r="B74" s="346" t="s">
        <v>670</v>
      </c>
      <c r="C74" s="346"/>
      <c r="D74" s="346"/>
      <c r="E74" s="346"/>
      <c r="F74" s="346"/>
      <c r="G74" s="346"/>
      <c r="H74" s="362"/>
    </row>
    <row r="75" spans="1:8" s="340" customFormat="1" ht="25.05" customHeight="1">
      <c r="A75" s="853"/>
      <c r="B75" s="1215" t="str">
        <f>+B47</f>
        <v>HURLEY AVENUE PROJECT - SYSTEM DELIVERABILITY UPGRADE</v>
      </c>
      <c r="C75" s="1216"/>
      <c r="D75" s="1216"/>
      <c r="E75" s="1216"/>
      <c r="F75" s="1216"/>
      <c r="G75" s="1216"/>
      <c r="H75" s="1216"/>
    </row>
    <row r="76" spans="1:8" s="340" customFormat="1" ht="25.05" customHeight="1">
      <c r="A76" s="853"/>
      <c r="B76" s="1215" t="s">
        <v>347</v>
      </c>
      <c r="C76" s="1215"/>
      <c r="D76" s="1215"/>
      <c r="E76" s="1215"/>
      <c r="F76" s="1215"/>
      <c r="G76" s="1215"/>
      <c r="H76" s="1215"/>
    </row>
    <row r="77" spans="1:8" s="340" customFormat="1" ht="25.05" customHeight="1">
      <c r="A77" s="853"/>
      <c r="B77" s="1222" t="s">
        <v>146</v>
      </c>
      <c r="C77" s="1222"/>
      <c r="D77" s="1222"/>
      <c r="E77" s="1222"/>
      <c r="F77" s="1222"/>
      <c r="G77" s="1222"/>
      <c r="H77" s="1222"/>
    </row>
    <row r="78" spans="1:8" ht="25.05" customHeight="1">
      <c r="B78" s="345"/>
      <c r="C78" s="346"/>
      <c r="D78" s="346"/>
      <c r="E78" s="346"/>
      <c r="F78" s="346"/>
      <c r="G78" s="346"/>
      <c r="H78" s="362"/>
    </row>
    <row r="79" spans="1:8" ht="35.1" customHeight="1">
      <c r="B79" s="367" t="s">
        <v>99</v>
      </c>
      <c r="C79" s="367" t="s">
        <v>100</v>
      </c>
      <c r="D79" s="367" t="s">
        <v>101</v>
      </c>
      <c r="E79" s="367" t="s">
        <v>102</v>
      </c>
      <c r="F79" s="367" t="s">
        <v>103</v>
      </c>
      <c r="G79" s="367" t="s">
        <v>104</v>
      </c>
      <c r="H79" s="367" t="s">
        <v>105</v>
      </c>
    </row>
    <row r="80" spans="1:8" ht="30" customHeight="1">
      <c r="B80" s="346"/>
      <c r="C80" s="367" t="s">
        <v>41</v>
      </c>
      <c r="D80" s="367" t="s">
        <v>331</v>
      </c>
      <c r="E80" s="372"/>
      <c r="F80" s="372"/>
      <c r="G80" s="372"/>
      <c r="H80" s="346"/>
    </row>
    <row r="81" spans="1:8" ht="30" customHeight="1">
      <c r="A81" s="852" t="s">
        <v>712</v>
      </c>
      <c r="B81" s="346" t="s">
        <v>349</v>
      </c>
      <c r="C81" s="367"/>
      <c r="D81" s="367" t="s">
        <v>332</v>
      </c>
      <c r="E81" s="367" t="s">
        <v>45</v>
      </c>
      <c r="F81" s="367" t="s">
        <v>319</v>
      </c>
      <c r="G81" s="367" t="s">
        <v>317</v>
      </c>
      <c r="H81" s="346"/>
    </row>
    <row r="82" spans="1:8" ht="30" customHeight="1">
      <c r="B82" s="346"/>
      <c r="C82" s="367"/>
      <c r="D82" s="367" t="s">
        <v>320</v>
      </c>
      <c r="E82" s="367" t="s">
        <v>320</v>
      </c>
      <c r="F82" s="367" t="s">
        <v>320</v>
      </c>
      <c r="G82" s="367" t="s">
        <v>320</v>
      </c>
      <c r="H82" s="346"/>
    </row>
    <row r="83" spans="1:8" ht="35.1" customHeight="1">
      <c r="A83" s="852" t="s">
        <v>739</v>
      </c>
      <c r="B83" s="1061"/>
      <c r="C83" s="351"/>
      <c r="D83" s="352"/>
      <c r="E83" s="1063"/>
      <c r="F83" s="352"/>
      <c r="G83" s="352"/>
      <c r="H83" s="353"/>
    </row>
    <row r="84" spans="1:8" ht="35.1" customHeight="1">
      <c r="A84" s="852" t="s">
        <v>740</v>
      </c>
      <c r="B84" s="354"/>
      <c r="C84" s="351"/>
      <c r="D84" s="352"/>
      <c r="E84" s="352"/>
      <c r="F84" s="352"/>
      <c r="G84" s="352"/>
      <c r="H84" s="353"/>
    </row>
    <row r="85" spans="1:8" ht="35.1" customHeight="1">
      <c r="A85" s="852" t="s">
        <v>798</v>
      </c>
      <c r="B85" s="354"/>
      <c r="C85" s="351"/>
      <c r="D85" s="352"/>
      <c r="E85" s="352"/>
      <c r="F85" s="352"/>
      <c r="G85" s="352"/>
      <c r="H85" s="353"/>
    </row>
    <row r="86" spans="1:8" ht="35.1" customHeight="1">
      <c r="A86" s="852" t="s">
        <v>854</v>
      </c>
      <c r="B86" s="354"/>
      <c r="C86" s="351"/>
      <c r="D86" s="352"/>
      <c r="E86" s="352"/>
      <c r="F86" s="352"/>
      <c r="G86" s="352"/>
      <c r="H86" s="353"/>
    </row>
    <row r="87" spans="1:8" ht="35.1" customHeight="1">
      <c r="A87" s="852" t="s">
        <v>855</v>
      </c>
      <c r="B87" s="354"/>
      <c r="C87" s="352"/>
      <c r="D87" s="364"/>
      <c r="E87" s="352"/>
      <c r="F87" s="352"/>
      <c r="G87" s="352"/>
      <c r="H87" s="353"/>
    </row>
    <row r="88" spans="1:8" ht="35.1" customHeight="1">
      <c r="A88" s="852" t="s">
        <v>358</v>
      </c>
      <c r="B88" s="354"/>
      <c r="C88" s="352"/>
      <c r="D88" s="364"/>
      <c r="E88" s="352"/>
      <c r="F88" s="352"/>
      <c r="G88" s="352"/>
      <c r="H88" s="353"/>
    </row>
    <row r="89" spans="1:8" ht="35.1" customHeight="1">
      <c r="A89" s="852" t="s">
        <v>358</v>
      </c>
      <c r="B89" s="354"/>
      <c r="C89" s="352"/>
      <c r="D89" s="364"/>
      <c r="E89" s="352"/>
      <c r="F89" s="352"/>
      <c r="G89" s="352"/>
      <c r="H89" s="353"/>
    </row>
    <row r="90" spans="1:8" ht="35.1" customHeight="1">
      <c r="A90" s="852" t="s">
        <v>358</v>
      </c>
      <c r="B90" s="354"/>
      <c r="C90" s="352"/>
      <c r="D90" s="355"/>
      <c r="E90" s="352"/>
      <c r="F90" s="352"/>
      <c r="G90" s="352"/>
      <c r="H90" s="353"/>
    </row>
    <row r="91" spans="1:8" ht="35.1" customHeight="1">
      <c r="A91" s="852" t="s">
        <v>358</v>
      </c>
      <c r="B91" s="354"/>
      <c r="C91" s="352"/>
      <c r="D91" s="352"/>
      <c r="E91" s="352"/>
      <c r="F91" s="352"/>
      <c r="G91" s="352"/>
      <c r="H91" s="353"/>
    </row>
    <row r="92" spans="1:8" ht="35.1" customHeight="1">
      <c r="A92" s="852" t="s">
        <v>358</v>
      </c>
      <c r="B92" s="354"/>
      <c r="C92" s="352"/>
      <c r="D92" s="352"/>
      <c r="E92" s="352"/>
      <c r="F92" s="352"/>
      <c r="G92" s="352"/>
      <c r="H92" s="353"/>
    </row>
    <row r="93" spans="1:8" ht="20.100000000000001" customHeight="1">
      <c r="A93" s="852" t="s">
        <v>714</v>
      </c>
      <c r="B93" s="373" t="s">
        <v>344</v>
      </c>
      <c r="C93" s="374">
        <f>SUBTOTAL(9,C83:C92)</f>
        <v>0</v>
      </c>
      <c r="D93" s="374">
        <f>SUM(D83:D92)</f>
        <v>0</v>
      </c>
      <c r="E93" s="374">
        <f>SUM(E83:E92)</f>
        <v>0</v>
      </c>
      <c r="F93" s="374">
        <f>SUM(F83:F92)</f>
        <v>0</v>
      </c>
      <c r="G93" s="374">
        <f>SUM(G83:G92)</f>
        <v>0</v>
      </c>
      <c r="H93" s="353"/>
    </row>
    <row r="94" spans="1:8" ht="20.100000000000001" customHeight="1">
      <c r="A94" s="852" t="s">
        <v>715</v>
      </c>
      <c r="B94" s="373" t="s">
        <v>335</v>
      </c>
      <c r="C94" s="358">
        <f>SUM(D94:G94)</f>
        <v>0</v>
      </c>
      <c r="D94" s="358"/>
      <c r="E94" s="358">
        <f>+E84</f>
        <v>0</v>
      </c>
      <c r="F94" s="358"/>
      <c r="G94" s="358"/>
      <c r="H94" s="353"/>
    </row>
    <row r="95" spans="1:8" ht="20.100000000000001" customHeight="1">
      <c r="A95" s="852" t="s">
        <v>716</v>
      </c>
      <c r="B95" s="383" t="s">
        <v>336</v>
      </c>
      <c r="C95" s="358">
        <f>SUM(D95:G95)</f>
        <v>0</v>
      </c>
      <c r="D95" s="369"/>
      <c r="E95" s="369">
        <v>0</v>
      </c>
      <c r="F95" s="369"/>
      <c r="G95" s="369"/>
      <c r="H95" s="361"/>
    </row>
    <row r="96" spans="1:8" ht="20.100000000000001" customHeight="1" thickBot="1">
      <c r="A96" s="852" t="s">
        <v>717</v>
      </c>
      <c r="B96" s="377" t="s">
        <v>41</v>
      </c>
      <c r="C96" s="384">
        <f>+C93-C94-C95</f>
        <v>0</v>
      </c>
      <c r="D96" s="384">
        <f>+D93-D94-D95</f>
        <v>0</v>
      </c>
      <c r="E96" s="384">
        <f>+E93-E94-E95</f>
        <v>0</v>
      </c>
      <c r="F96" s="384">
        <f>+F93-F94-F95</f>
        <v>0</v>
      </c>
      <c r="G96" s="384">
        <f>+G93-G94-G95</f>
        <v>0</v>
      </c>
      <c r="H96" s="379"/>
    </row>
    <row r="97" spans="1:9" ht="35.1" customHeight="1" thickTop="1">
      <c r="B97" s="385" t="s">
        <v>345</v>
      </c>
      <c r="C97" s="346"/>
      <c r="D97" s="346"/>
      <c r="E97" s="367"/>
      <c r="F97" s="367"/>
      <c r="G97" s="346"/>
      <c r="H97" s="370"/>
    </row>
    <row r="98" spans="1:9" ht="20.100000000000001" customHeight="1">
      <c r="A98" s="852" t="s">
        <v>718</v>
      </c>
      <c r="B98" s="1220" t="s">
        <v>338</v>
      </c>
      <c r="C98" s="1220"/>
      <c r="D98" s="1220"/>
      <c r="E98" s="1220"/>
      <c r="F98" s="1220"/>
      <c r="G98" s="1220"/>
      <c r="H98" s="346"/>
    </row>
    <row r="99" spans="1:9" ht="20.100000000000001" customHeight="1">
      <c r="A99" s="852" t="s">
        <v>719</v>
      </c>
      <c r="B99" s="345" t="s">
        <v>339</v>
      </c>
      <c r="C99" s="346"/>
      <c r="D99" s="346"/>
      <c r="E99" s="346"/>
      <c r="F99" s="367"/>
      <c r="G99" s="367"/>
      <c r="H99" s="346"/>
    </row>
    <row r="100" spans="1:9" ht="20.100000000000001" customHeight="1">
      <c r="A100" s="852" t="s">
        <v>721</v>
      </c>
      <c r="B100" s="345" t="s">
        <v>340</v>
      </c>
      <c r="C100" s="346"/>
      <c r="D100" s="346"/>
      <c r="E100" s="346"/>
      <c r="F100" s="367"/>
      <c r="G100" s="367"/>
      <c r="H100" s="346"/>
    </row>
    <row r="101" spans="1:9" ht="20.100000000000001" customHeight="1">
      <c r="A101" s="852" t="s">
        <v>732</v>
      </c>
      <c r="B101" s="345" t="s">
        <v>341</v>
      </c>
      <c r="C101" s="346"/>
      <c r="D101" s="346"/>
      <c r="E101" s="346"/>
      <c r="F101" s="367"/>
      <c r="G101" s="367"/>
      <c r="H101" s="346"/>
    </row>
    <row r="102" spans="1:9" ht="15.6">
      <c r="A102" s="852" t="s">
        <v>733</v>
      </c>
      <c r="B102" s="1220" t="s">
        <v>670</v>
      </c>
      <c r="C102" s="1220"/>
      <c r="D102" s="1220"/>
      <c r="E102" s="1220"/>
      <c r="F102" s="1220"/>
      <c r="G102" s="1220"/>
      <c r="H102" s="346"/>
    </row>
    <row r="103" spans="1:9" ht="15.6">
      <c r="B103" s="345"/>
      <c r="C103" s="346"/>
      <c r="D103" s="346"/>
      <c r="E103" s="346"/>
      <c r="F103" s="346"/>
      <c r="G103" s="346"/>
      <c r="H103" s="346"/>
    </row>
    <row r="104" spans="1:9" ht="15.75" customHeight="1">
      <c r="B104" s="371"/>
      <c r="C104" s="371"/>
      <c r="D104" s="371"/>
      <c r="E104" s="371"/>
      <c r="F104" s="371"/>
      <c r="G104" s="371"/>
      <c r="H104" s="371"/>
    </row>
    <row r="105" spans="1:9" ht="15.6">
      <c r="B105" s="1221"/>
      <c r="C105" s="1221"/>
      <c r="D105" s="1221"/>
      <c r="E105" s="1221"/>
      <c r="F105" s="1221"/>
      <c r="G105" s="1221"/>
      <c r="H105" s="1221"/>
    </row>
    <row r="106" spans="1:9" ht="15.6">
      <c r="B106" s="346"/>
      <c r="C106" s="346"/>
      <c r="D106" s="346"/>
      <c r="E106" s="346"/>
      <c r="F106" s="346"/>
      <c r="G106" s="346"/>
      <c r="H106" s="346"/>
    </row>
    <row r="107" spans="1:9" ht="15.6">
      <c r="B107" s="346"/>
      <c r="C107" s="346"/>
      <c r="D107" s="346"/>
      <c r="E107" s="346"/>
      <c r="F107" s="346"/>
      <c r="G107" s="346"/>
      <c r="H107" s="346"/>
    </row>
    <row r="108" spans="1:9" ht="15.75" customHeight="1">
      <c r="B108" s="346"/>
      <c r="C108" s="346"/>
      <c r="D108" s="346"/>
      <c r="E108" s="346"/>
      <c r="F108" s="346"/>
      <c r="G108" s="346"/>
      <c r="H108" s="346"/>
    </row>
    <row r="109" spans="1:9" ht="15.6">
      <c r="B109" s="346"/>
      <c r="C109" s="346"/>
      <c r="D109" s="386"/>
      <c r="E109" s="386"/>
      <c r="F109" s="386"/>
      <c r="G109" s="386"/>
      <c r="H109" s="386"/>
      <c r="I109" s="343"/>
    </row>
    <row r="110" spans="1:9" ht="15.6">
      <c r="B110" s="346"/>
      <c r="C110" s="346"/>
      <c r="D110" s="386"/>
      <c r="E110" s="386"/>
      <c r="F110" s="386"/>
      <c r="G110" s="386"/>
      <c r="H110" s="386"/>
      <c r="I110" s="343"/>
    </row>
    <row r="111" spans="1:9" ht="15.6">
      <c r="B111" s="345"/>
      <c r="C111" s="346"/>
      <c r="D111" s="367"/>
      <c r="E111" s="367"/>
      <c r="F111" s="346"/>
      <c r="G111" s="346"/>
      <c r="H111" s="346"/>
    </row>
    <row r="112" spans="1:9" ht="15.6">
      <c r="B112" s="345"/>
      <c r="C112" s="346"/>
      <c r="D112" s="90"/>
      <c r="E112" s="90"/>
      <c r="F112" s="346"/>
      <c r="G112" s="346"/>
      <c r="H112" s="346"/>
    </row>
    <row r="113" spans="2:8" ht="15.6">
      <c r="B113" s="345"/>
      <c r="C113" s="346"/>
      <c r="D113" s="90"/>
      <c r="E113" s="90"/>
      <c r="F113" s="346"/>
      <c r="G113" s="346"/>
      <c r="H113" s="346"/>
    </row>
    <row r="114" spans="2:8" ht="15.6">
      <c r="B114" s="345"/>
      <c r="C114" s="346"/>
      <c r="D114" s="90"/>
      <c r="E114" s="90"/>
      <c r="F114" s="346"/>
      <c r="G114" s="346"/>
      <c r="H114" s="346"/>
    </row>
    <row r="115" spans="2:8" ht="15.6">
      <c r="B115" s="345"/>
      <c r="C115" s="346"/>
      <c r="D115" s="90"/>
      <c r="E115" s="90"/>
      <c r="F115" s="346"/>
      <c r="G115" s="346"/>
      <c r="H115" s="346"/>
    </row>
    <row r="116" spans="2:8" ht="15.6">
      <c r="B116" s="345"/>
      <c r="C116" s="346"/>
      <c r="D116" s="90"/>
      <c r="E116" s="90"/>
      <c r="F116" s="346"/>
      <c r="G116" s="346"/>
      <c r="H116" s="346"/>
    </row>
    <row r="117" spans="2:8" ht="15.6">
      <c r="B117" s="345"/>
      <c r="C117" s="346"/>
      <c r="D117" s="90"/>
      <c r="E117" s="90"/>
      <c r="F117" s="346"/>
      <c r="G117" s="346"/>
      <c r="H117" s="346"/>
    </row>
    <row r="118" spans="2:8" ht="15.6">
      <c r="B118" s="345"/>
      <c r="C118" s="346"/>
      <c r="D118" s="90"/>
      <c r="E118" s="90"/>
      <c r="F118" s="346"/>
      <c r="G118" s="346"/>
      <c r="H118" s="346"/>
    </row>
    <row r="119" spans="2:8" ht="15.6">
      <c r="B119" s="345"/>
      <c r="C119" s="346"/>
      <c r="D119" s="90"/>
      <c r="E119" s="90"/>
      <c r="F119" s="346"/>
      <c r="G119" s="346"/>
      <c r="H119" s="346"/>
    </row>
    <row r="120" spans="2:8" ht="15.6">
      <c r="B120" s="345"/>
      <c r="C120" s="346"/>
      <c r="D120" s="90"/>
      <c r="E120" s="90"/>
      <c r="F120" s="346"/>
      <c r="G120" s="346"/>
      <c r="H120" s="346"/>
    </row>
    <row r="121" spans="2:8" ht="15.6">
      <c r="B121" s="345"/>
      <c r="C121" s="346"/>
      <c r="D121" s="90"/>
      <c r="E121" s="90"/>
      <c r="F121" s="346"/>
      <c r="G121" s="346"/>
      <c r="H121" s="346"/>
    </row>
    <row r="122" spans="2:8" ht="15.6">
      <c r="B122" s="346"/>
      <c r="C122" s="346"/>
      <c r="D122" s="90"/>
      <c r="E122" s="90"/>
      <c r="F122" s="346"/>
      <c r="G122" s="346"/>
      <c r="H122" s="346"/>
    </row>
    <row r="123" spans="2:8" ht="15.6">
      <c r="B123" s="345"/>
      <c r="C123" s="346"/>
      <c r="D123" s="90"/>
      <c r="E123" s="90"/>
      <c r="F123" s="346"/>
      <c r="G123" s="346"/>
      <c r="H123" s="346"/>
    </row>
    <row r="124" spans="2:8" ht="15.6">
      <c r="B124" s="346"/>
      <c r="C124" s="346"/>
      <c r="D124" s="90"/>
      <c r="E124" s="90"/>
      <c r="F124" s="346"/>
      <c r="G124" s="346"/>
      <c r="H124" s="346"/>
    </row>
    <row r="125" spans="2:8" ht="15.6">
      <c r="B125" s="345"/>
      <c r="C125" s="346"/>
      <c r="D125" s="346"/>
      <c r="E125" s="346"/>
      <c r="F125" s="346"/>
      <c r="G125" s="346"/>
      <c r="H125" s="346"/>
    </row>
    <row r="126" spans="2:8" ht="15.6">
      <c r="B126" s="345"/>
      <c r="C126" s="346"/>
      <c r="D126" s="346"/>
      <c r="E126" s="346"/>
      <c r="F126" s="346"/>
      <c r="G126" s="346"/>
      <c r="H126" s="346"/>
    </row>
    <row r="127" spans="2:8" ht="15.6">
      <c r="B127" s="345"/>
      <c r="C127" s="346"/>
      <c r="D127" s="346"/>
      <c r="E127" s="346"/>
      <c r="F127" s="346"/>
      <c r="G127" s="346"/>
      <c r="H127" s="346"/>
    </row>
    <row r="128" spans="2:8" ht="15.6">
      <c r="B128" s="345"/>
      <c r="C128" s="346"/>
      <c r="D128" s="346"/>
      <c r="E128" s="346"/>
      <c r="F128" s="346"/>
      <c r="G128" s="346"/>
      <c r="H128" s="346"/>
    </row>
    <row r="129" spans="2:8" ht="15.6">
      <c r="B129" s="345"/>
      <c r="C129" s="346"/>
      <c r="D129" s="346"/>
      <c r="E129" s="346"/>
      <c r="F129" s="346"/>
      <c r="G129" s="346"/>
      <c r="H129" s="346"/>
    </row>
    <row r="130" spans="2:8" ht="15.6">
      <c r="B130" s="345"/>
      <c r="C130" s="346"/>
      <c r="D130" s="346"/>
      <c r="E130" s="346"/>
      <c r="F130" s="346"/>
      <c r="G130" s="346"/>
      <c r="H130" s="346"/>
    </row>
    <row r="131" spans="2:8" ht="15.6">
      <c r="B131" s="345"/>
      <c r="C131" s="346"/>
      <c r="D131" s="346"/>
      <c r="E131" s="346"/>
      <c r="F131" s="346"/>
      <c r="G131" s="346"/>
      <c r="H131" s="346"/>
    </row>
    <row r="132" spans="2:8" ht="15.6">
      <c r="B132" s="345"/>
      <c r="C132" s="346"/>
      <c r="D132" s="346"/>
      <c r="E132" s="346"/>
      <c r="F132" s="346"/>
      <c r="G132" s="346"/>
      <c r="H132" s="346"/>
    </row>
    <row r="133" spans="2:8" ht="15.6">
      <c r="B133" s="345"/>
      <c r="C133" s="346"/>
      <c r="D133" s="346"/>
      <c r="E133" s="346"/>
      <c r="F133" s="346"/>
      <c r="G133" s="346"/>
      <c r="H133" s="346"/>
    </row>
    <row r="134" spans="2:8" ht="15.6">
      <c r="B134" s="345"/>
      <c r="C134" s="346"/>
      <c r="D134" s="346"/>
      <c r="E134" s="346"/>
      <c r="F134" s="346"/>
      <c r="G134" s="346"/>
      <c r="H134" s="346"/>
    </row>
    <row r="135" spans="2:8" ht="15.6">
      <c r="B135" s="345"/>
      <c r="C135" s="346"/>
      <c r="D135" s="346"/>
      <c r="E135" s="346"/>
      <c r="F135" s="346"/>
      <c r="G135" s="346"/>
      <c r="H135" s="346"/>
    </row>
    <row r="136" spans="2:8" ht="15.6">
      <c r="B136" s="345"/>
      <c r="C136" s="346"/>
      <c r="D136" s="346"/>
      <c r="E136" s="346"/>
      <c r="F136" s="346"/>
      <c r="G136" s="346"/>
      <c r="H136" s="346"/>
    </row>
    <row r="137" spans="2:8" ht="15.6">
      <c r="B137" s="345"/>
      <c r="C137" s="346"/>
      <c r="D137" s="346"/>
      <c r="E137" s="346"/>
      <c r="F137" s="346"/>
      <c r="G137" s="346"/>
      <c r="H137" s="346"/>
    </row>
    <row r="138" spans="2:8" ht="15.6">
      <c r="B138" s="345"/>
      <c r="C138" s="346"/>
      <c r="D138" s="346"/>
      <c r="E138" s="346"/>
      <c r="F138" s="346"/>
      <c r="G138" s="346"/>
      <c r="H138" s="346"/>
    </row>
    <row r="139" spans="2:8" ht="15.6">
      <c r="B139" s="345"/>
      <c r="C139" s="346"/>
      <c r="D139" s="346"/>
      <c r="E139" s="346"/>
      <c r="F139" s="346"/>
      <c r="G139" s="346"/>
      <c r="H139" s="346"/>
    </row>
    <row r="140" spans="2:8" ht="15.6">
      <c r="B140" s="345"/>
      <c r="C140" s="346"/>
      <c r="D140" s="346"/>
      <c r="E140" s="346"/>
      <c r="F140" s="346"/>
      <c r="G140" s="346"/>
      <c r="H140" s="346"/>
    </row>
    <row r="141" spans="2:8" ht="15.6">
      <c r="B141" s="345"/>
      <c r="C141" s="346"/>
      <c r="D141" s="346"/>
      <c r="E141" s="346"/>
      <c r="F141" s="346"/>
      <c r="G141" s="346"/>
      <c r="H141" s="346"/>
    </row>
    <row r="142" spans="2:8" ht="15.6">
      <c r="B142" s="345"/>
      <c r="C142" s="346"/>
      <c r="D142" s="346"/>
      <c r="E142" s="346"/>
      <c r="F142" s="346"/>
      <c r="G142" s="346"/>
      <c r="H142" s="346"/>
    </row>
    <row r="143" spans="2:8" ht="15.6">
      <c r="B143" s="345"/>
      <c r="C143" s="346"/>
      <c r="D143" s="346"/>
      <c r="E143" s="346"/>
      <c r="F143" s="346"/>
      <c r="G143" s="346"/>
      <c r="H143" s="346"/>
    </row>
    <row r="144" spans="2:8" ht="15.6">
      <c r="B144" s="345"/>
      <c r="C144" s="346"/>
      <c r="D144" s="346"/>
      <c r="E144" s="346"/>
      <c r="F144" s="346"/>
      <c r="G144" s="346"/>
      <c r="H144" s="346"/>
    </row>
    <row r="145" spans="2:8" ht="15.6">
      <c r="B145" s="345"/>
      <c r="C145" s="346"/>
      <c r="D145" s="346"/>
      <c r="E145" s="346"/>
      <c r="F145" s="346"/>
      <c r="G145" s="346"/>
      <c r="H145" s="346"/>
    </row>
    <row r="146" spans="2:8" ht="15.6">
      <c r="B146" s="345"/>
      <c r="C146" s="346"/>
      <c r="D146" s="346"/>
      <c r="E146" s="346"/>
      <c r="F146" s="346"/>
      <c r="G146" s="346"/>
      <c r="H146" s="346"/>
    </row>
    <row r="147" spans="2:8" ht="15.6">
      <c r="B147" s="345"/>
      <c r="C147" s="346"/>
      <c r="D147" s="346"/>
      <c r="E147" s="346"/>
      <c r="F147" s="346"/>
      <c r="G147" s="346"/>
      <c r="H147" s="346"/>
    </row>
    <row r="148" spans="2:8" ht="15.6">
      <c r="B148" s="345"/>
      <c r="C148" s="346"/>
      <c r="D148" s="346"/>
      <c r="E148" s="346"/>
      <c r="F148" s="346"/>
      <c r="G148" s="346"/>
      <c r="H148" s="346"/>
    </row>
    <row r="149" spans="2:8" ht="15.6">
      <c r="B149" s="345"/>
      <c r="C149" s="346"/>
      <c r="D149" s="346"/>
      <c r="E149" s="346"/>
      <c r="F149" s="346"/>
      <c r="G149" s="346"/>
      <c r="H149" s="346"/>
    </row>
    <row r="150" spans="2:8" ht="15.6">
      <c r="B150" s="345"/>
      <c r="C150" s="346"/>
      <c r="D150" s="346"/>
      <c r="E150" s="346"/>
      <c r="F150" s="346"/>
      <c r="G150" s="346"/>
      <c r="H150" s="346"/>
    </row>
    <row r="151" spans="2:8" ht="15.6">
      <c r="B151" s="345"/>
      <c r="C151" s="346"/>
      <c r="D151" s="346"/>
      <c r="E151" s="346"/>
      <c r="F151" s="346"/>
      <c r="G151" s="346"/>
      <c r="H151" s="346"/>
    </row>
    <row r="152" spans="2:8" ht="15.6">
      <c r="B152" s="345"/>
      <c r="C152" s="346"/>
      <c r="D152" s="346"/>
      <c r="E152" s="346"/>
      <c r="F152" s="346"/>
      <c r="G152" s="346"/>
      <c r="H152" s="346"/>
    </row>
    <row r="153" spans="2:8" ht="15.6">
      <c r="B153" s="345"/>
      <c r="C153" s="346"/>
      <c r="D153" s="346"/>
      <c r="E153" s="346"/>
      <c r="F153" s="346"/>
      <c r="G153" s="346"/>
      <c r="H153" s="346"/>
    </row>
    <row r="154" spans="2:8" ht="15.6">
      <c r="B154" s="345"/>
      <c r="C154" s="346"/>
      <c r="D154" s="346"/>
      <c r="E154" s="346"/>
      <c r="F154" s="346"/>
      <c r="G154" s="346"/>
      <c r="H154" s="346"/>
    </row>
    <row r="155" spans="2:8" ht="15.6">
      <c r="B155" s="345"/>
      <c r="C155" s="346"/>
      <c r="D155" s="346"/>
      <c r="E155" s="346"/>
      <c r="F155" s="346"/>
      <c r="G155" s="346"/>
      <c r="H155" s="346"/>
    </row>
    <row r="156" spans="2:8" ht="15.6">
      <c r="B156" s="345"/>
      <c r="C156" s="346"/>
      <c r="D156" s="346"/>
      <c r="E156" s="346"/>
      <c r="F156" s="346"/>
      <c r="G156" s="346"/>
      <c r="H156" s="346"/>
    </row>
    <row r="157" spans="2:8" ht="15.6">
      <c r="B157" s="345"/>
      <c r="C157" s="346"/>
      <c r="D157" s="346"/>
      <c r="E157" s="346"/>
      <c r="F157" s="346"/>
      <c r="G157" s="346"/>
      <c r="H157" s="346"/>
    </row>
    <row r="158" spans="2:8" ht="15.6">
      <c r="B158" s="345"/>
      <c r="C158" s="346"/>
      <c r="D158" s="346"/>
      <c r="E158" s="346"/>
      <c r="F158" s="346"/>
      <c r="G158" s="346"/>
      <c r="H158" s="346"/>
    </row>
    <row r="159" spans="2:8" ht="15.6">
      <c r="B159" s="345"/>
      <c r="C159" s="346"/>
      <c r="D159" s="346"/>
      <c r="E159" s="346"/>
      <c r="F159" s="346"/>
      <c r="G159" s="346"/>
      <c r="H159" s="346"/>
    </row>
    <row r="160" spans="2:8" ht="15.6">
      <c r="B160" s="345"/>
      <c r="C160" s="346"/>
      <c r="D160" s="346"/>
      <c r="E160" s="346"/>
      <c r="F160" s="346"/>
      <c r="G160" s="346"/>
      <c r="H160" s="346"/>
    </row>
    <row r="161" spans="2:8" ht="15.6">
      <c r="B161" s="345"/>
      <c r="C161" s="346"/>
      <c r="D161" s="346"/>
      <c r="E161" s="346"/>
      <c r="F161" s="346"/>
      <c r="G161" s="346"/>
      <c r="H161" s="346"/>
    </row>
    <row r="162" spans="2:8" ht="15.6">
      <c r="B162" s="345"/>
      <c r="C162" s="346"/>
      <c r="D162" s="346"/>
      <c r="E162" s="346"/>
      <c r="F162" s="346"/>
      <c r="G162" s="346"/>
      <c r="H162" s="346"/>
    </row>
    <row r="163" spans="2:8" ht="15.6">
      <c r="B163" s="345"/>
      <c r="C163" s="346"/>
      <c r="D163" s="346"/>
      <c r="E163" s="346"/>
      <c r="F163" s="346"/>
      <c r="G163" s="346"/>
      <c r="H163" s="346"/>
    </row>
    <row r="164" spans="2:8" ht="15.6">
      <c r="B164" s="345"/>
      <c r="C164" s="346"/>
      <c r="D164" s="346"/>
      <c r="E164" s="346"/>
      <c r="F164" s="346"/>
      <c r="G164" s="346"/>
      <c r="H164" s="346"/>
    </row>
    <row r="165" spans="2:8" ht="15.6">
      <c r="B165" s="345"/>
      <c r="C165" s="346"/>
      <c r="D165" s="346"/>
      <c r="E165" s="346"/>
      <c r="F165" s="346"/>
      <c r="G165" s="346"/>
      <c r="H165" s="346"/>
    </row>
    <row r="166" spans="2:8" ht="15.6">
      <c r="B166" s="345"/>
      <c r="C166" s="346"/>
      <c r="D166" s="346"/>
      <c r="E166" s="346"/>
      <c r="F166" s="346"/>
      <c r="G166" s="346"/>
      <c r="H166" s="346"/>
    </row>
    <row r="167" spans="2:8" ht="15.6">
      <c r="B167" s="345"/>
      <c r="C167" s="346"/>
      <c r="D167" s="346"/>
      <c r="E167" s="346"/>
      <c r="F167" s="346"/>
      <c r="G167" s="346"/>
      <c r="H167" s="346"/>
    </row>
    <row r="168" spans="2:8" ht="15.6">
      <c r="B168" s="345"/>
      <c r="C168" s="346"/>
      <c r="D168" s="346"/>
      <c r="E168" s="346"/>
      <c r="F168" s="346"/>
      <c r="G168" s="346"/>
      <c r="H168" s="346"/>
    </row>
    <row r="169" spans="2:8" ht="15.6">
      <c r="B169" s="345"/>
      <c r="C169" s="346"/>
      <c r="D169" s="346"/>
      <c r="E169" s="346"/>
      <c r="F169" s="346"/>
      <c r="G169" s="346"/>
      <c r="H169" s="346"/>
    </row>
    <row r="170" spans="2:8" ht="15.6">
      <c r="B170" s="345"/>
      <c r="C170" s="346"/>
      <c r="D170" s="346"/>
      <c r="E170" s="346"/>
      <c r="F170" s="346"/>
      <c r="G170" s="346"/>
      <c r="H170" s="346"/>
    </row>
    <row r="171" spans="2:8" ht="15.6">
      <c r="B171" s="345"/>
      <c r="C171" s="346"/>
      <c r="D171" s="346"/>
      <c r="E171" s="346"/>
      <c r="F171" s="346"/>
      <c r="G171" s="346"/>
      <c r="H171" s="346"/>
    </row>
    <row r="172" spans="2:8" ht="15.6">
      <c r="B172" s="345"/>
      <c r="C172" s="346"/>
      <c r="D172" s="346"/>
      <c r="E172" s="346"/>
      <c r="F172" s="346"/>
      <c r="G172" s="346"/>
      <c r="H172" s="346"/>
    </row>
    <row r="173" spans="2:8" ht="15.6">
      <c r="B173" s="345"/>
      <c r="C173" s="346"/>
      <c r="D173" s="346"/>
      <c r="E173" s="346"/>
      <c r="F173" s="346"/>
      <c r="G173" s="346"/>
      <c r="H173" s="346"/>
    </row>
    <row r="174" spans="2:8" ht="15.6">
      <c r="B174" s="345"/>
      <c r="C174" s="346"/>
      <c r="D174" s="346"/>
      <c r="E174" s="346"/>
      <c r="F174" s="346"/>
      <c r="G174" s="346"/>
      <c r="H174" s="346"/>
    </row>
    <row r="175" spans="2:8" ht="15.6">
      <c r="B175" s="345"/>
      <c r="C175" s="346"/>
      <c r="D175" s="346"/>
      <c r="E175" s="346"/>
      <c r="F175" s="346"/>
      <c r="G175" s="346"/>
      <c r="H175" s="346"/>
    </row>
    <row r="176" spans="2:8" ht="15.6">
      <c r="B176" s="345"/>
      <c r="C176" s="346"/>
      <c r="D176" s="346"/>
      <c r="E176" s="346"/>
      <c r="F176" s="346"/>
      <c r="G176" s="346"/>
      <c r="H176" s="346"/>
    </row>
    <row r="177" spans="2:8" ht="15.6">
      <c r="B177" s="345"/>
      <c r="C177" s="346"/>
      <c r="D177" s="346"/>
      <c r="E177" s="346"/>
      <c r="F177" s="346"/>
      <c r="G177" s="346"/>
      <c r="H177" s="346"/>
    </row>
    <row r="178" spans="2:8" ht="15.6">
      <c r="B178" s="345"/>
      <c r="C178" s="346"/>
      <c r="D178" s="346"/>
      <c r="E178" s="346"/>
      <c r="F178" s="346"/>
      <c r="G178" s="346"/>
      <c r="H178" s="346"/>
    </row>
    <row r="179" spans="2:8" ht="15.6">
      <c r="B179" s="345"/>
      <c r="C179" s="346"/>
      <c r="D179" s="346"/>
      <c r="E179" s="346"/>
      <c r="F179" s="346"/>
      <c r="G179" s="346"/>
      <c r="H179" s="346"/>
    </row>
    <row r="180" spans="2:8" ht="15.6">
      <c r="B180" s="345"/>
      <c r="C180" s="346"/>
      <c r="D180" s="346"/>
      <c r="E180" s="346"/>
      <c r="F180" s="346"/>
      <c r="G180" s="346"/>
      <c r="H180" s="346"/>
    </row>
    <row r="181" spans="2:8" ht="15.6">
      <c r="B181" s="345"/>
      <c r="C181" s="346"/>
      <c r="D181" s="346"/>
      <c r="E181" s="346"/>
      <c r="F181" s="346"/>
      <c r="G181" s="346"/>
      <c r="H181" s="346"/>
    </row>
    <row r="182" spans="2:8" ht="15.6">
      <c r="B182" s="345"/>
      <c r="C182" s="346"/>
      <c r="D182" s="346"/>
      <c r="E182" s="346"/>
      <c r="F182" s="346"/>
      <c r="G182" s="346"/>
      <c r="H182" s="346"/>
    </row>
    <row r="183" spans="2:8" ht="15.6">
      <c r="B183" s="345"/>
      <c r="C183" s="346"/>
      <c r="D183" s="346"/>
      <c r="E183" s="346"/>
      <c r="F183" s="346"/>
      <c r="G183" s="346"/>
      <c r="H183" s="346"/>
    </row>
    <row r="184" spans="2:8" ht="15.6">
      <c r="B184" s="345"/>
      <c r="C184" s="346"/>
      <c r="D184" s="346"/>
      <c r="E184" s="346"/>
      <c r="F184" s="346"/>
      <c r="G184" s="346"/>
      <c r="H184" s="346"/>
    </row>
    <row r="185" spans="2:8" ht="15.6">
      <c r="B185" s="345"/>
      <c r="C185" s="346"/>
      <c r="D185" s="346"/>
      <c r="E185" s="346"/>
      <c r="F185" s="346"/>
      <c r="G185" s="346"/>
      <c r="H185" s="346"/>
    </row>
    <row r="186" spans="2:8" ht="15.6">
      <c r="B186" s="345"/>
      <c r="C186" s="346"/>
      <c r="D186" s="346"/>
      <c r="E186" s="346"/>
      <c r="F186" s="346"/>
      <c r="G186" s="346"/>
      <c r="H186" s="346"/>
    </row>
    <row r="187" spans="2:8" ht="15.6">
      <c r="B187" s="345"/>
      <c r="C187" s="346"/>
      <c r="D187" s="346"/>
      <c r="E187" s="346"/>
      <c r="F187" s="346"/>
      <c r="G187" s="346"/>
      <c r="H187" s="346"/>
    </row>
    <row r="188" spans="2:8" ht="15.6">
      <c r="B188" s="345"/>
      <c r="C188" s="346"/>
      <c r="D188" s="346"/>
      <c r="E188" s="346"/>
      <c r="F188" s="346"/>
      <c r="G188" s="346"/>
      <c r="H188" s="346"/>
    </row>
    <row r="189" spans="2:8" ht="15.6">
      <c r="B189" s="345"/>
      <c r="C189" s="346"/>
      <c r="D189" s="346"/>
      <c r="E189" s="346"/>
      <c r="F189" s="346"/>
      <c r="G189" s="346"/>
      <c r="H189" s="346"/>
    </row>
    <row r="190" spans="2:8" ht="15.6">
      <c r="B190" s="345"/>
      <c r="C190" s="346"/>
      <c r="D190" s="346"/>
      <c r="E190" s="346"/>
      <c r="F190" s="346"/>
      <c r="G190" s="346"/>
      <c r="H190" s="346"/>
    </row>
    <row r="191" spans="2:8" ht="15.6">
      <c r="B191" s="345"/>
      <c r="C191" s="346"/>
      <c r="D191" s="346"/>
      <c r="E191" s="346"/>
      <c r="F191" s="346"/>
      <c r="G191" s="346"/>
      <c r="H191" s="346"/>
    </row>
    <row r="192" spans="2:8" ht="15.6">
      <c r="B192" s="345"/>
      <c r="C192" s="346"/>
      <c r="D192" s="346"/>
      <c r="E192" s="346"/>
      <c r="F192" s="346"/>
      <c r="G192" s="346"/>
      <c r="H192" s="346"/>
    </row>
    <row r="193" spans="2:8" ht="15.6">
      <c r="B193" s="345"/>
      <c r="C193" s="346"/>
      <c r="D193" s="346"/>
      <c r="E193" s="346"/>
      <c r="F193" s="346"/>
      <c r="G193" s="346"/>
      <c r="H193" s="346"/>
    </row>
    <row r="194" spans="2:8" ht="15.6">
      <c r="B194" s="345"/>
      <c r="C194" s="346"/>
      <c r="D194" s="346"/>
      <c r="E194" s="346"/>
      <c r="F194" s="346"/>
      <c r="G194" s="346"/>
      <c r="H194" s="346"/>
    </row>
    <row r="195" spans="2:8" ht="15.6">
      <c r="B195" s="345"/>
      <c r="C195" s="346"/>
      <c r="D195" s="346"/>
      <c r="E195" s="346"/>
      <c r="F195" s="346"/>
      <c r="G195" s="346"/>
      <c r="H195" s="346"/>
    </row>
    <row r="196" spans="2:8" ht="15.6">
      <c r="B196" s="345"/>
      <c r="C196" s="346"/>
      <c r="D196" s="346"/>
      <c r="E196" s="346"/>
      <c r="F196" s="346"/>
      <c r="G196" s="346"/>
      <c r="H196" s="346"/>
    </row>
    <row r="197" spans="2:8" ht="15.6">
      <c r="B197" s="345"/>
      <c r="C197" s="346"/>
      <c r="D197" s="346"/>
      <c r="E197" s="346"/>
      <c r="F197" s="346"/>
      <c r="G197" s="346"/>
      <c r="H197" s="346"/>
    </row>
    <row r="198" spans="2:8" ht="15.6">
      <c r="B198" s="345"/>
      <c r="C198" s="346"/>
      <c r="D198" s="346"/>
      <c r="E198" s="346"/>
      <c r="F198" s="346"/>
      <c r="G198" s="346"/>
      <c r="H198" s="346"/>
    </row>
    <row r="199" spans="2:8" ht="15.6">
      <c r="B199" s="345"/>
      <c r="C199" s="346"/>
      <c r="D199" s="346"/>
      <c r="E199" s="346"/>
      <c r="F199" s="346"/>
      <c r="G199" s="346"/>
      <c r="H199" s="346"/>
    </row>
    <row r="200" spans="2:8" ht="15.6">
      <c r="B200" s="345"/>
      <c r="C200" s="346"/>
      <c r="D200" s="346"/>
      <c r="E200" s="346"/>
      <c r="F200" s="346"/>
      <c r="G200" s="346"/>
      <c r="H200" s="346"/>
    </row>
    <row r="201" spans="2:8" ht="15.6">
      <c r="B201" s="345"/>
      <c r="C201" s="346"/>
      <c r="D201" s="346"/>
      <c r="E201" s="346"/>
      <c r="F201" s="346"/>
      <c r="G201" s="346"/>
      <c r="H201" s="346"/>
    </row>
    <row r="202" spans="2:8" ht="15.6">
      <c r="B202" s="345"/>
      <c r="C202" s="346"/>
      <c r="D202" s="346"/>
      <c r="E202" s="346"/>
      <c r="F202" s="346"/>
      <c r="G202" s="346"/>
      <c r="H202" s="346"/>
    </row>
    <row r="203" spans="2:8" ht="15.6">
      <c r="B203" s="345"/>
      <c r="C203" s="346"/>
      <c r="D203" s="346"/>
      <c r="E203" s="346"/>
      <c r="F203" s="346"/>
      <c r="G203" s="346"/>
      <c r="H203" s="346"/>
    </row>
    <row r="204" spans="2:8" ht="15.6">
      <c r="B204" s="345"/>
      <c r="C204" s="346"/>
      <c r="D204" s="346"/>
      <c r="E204" s="346"/>
      <c r="F204" s="346"/>
      <c r="G204" s="346"/>
      <c r="H204" s="346"/>
    </row>
    <row r="205" spans="2:8" ht="15.6">
      <c r="B205" s="345"/>
      <c r="C205" s="346"/>
      <c r="D205" s="346"/>
      <c r="E205" s="346"/>
      <c r="F205" s="346"/>
      <c r="G205" s="346"/>
      <c r="H205" s="346"/>
    </row>
    <row r="206" spans="2:8" ht="15.6">
      <c r="B206" s="345"/>
      <c r="C206" s="346"/>
      <c r="D206" s="346"/>
      <c r="E206" s="346"/>
      <c r="F206" s="346"/>
      <c r="G206" s="346"/>
      <c r="H206" s="346"/>
    </row>
    <row r="207" spans="2:8" ht="15.6">
      <c r="B207" s="345"/>
      <c r="C207" s="346"/>
      <c r="D207" s="346"/>
      <c r="E207" s="346"/>
      <c r="F207" s="346"/>
      <c r="G207" s="346"/>
      <c r="H207" s="346"/>
    </row>
    <row r="208" spans="2:8" ht="15.6">
      <c r="B208" s="345"/>
      <c r="C208" s="346"/>
      <c r="D208" s="346"/>
      <c r="E208" s="346"/>
      <c r="F208" s="346"/>
      <c r="G208" s="346"/>
      <c r="H208" s="346"/>
    </row>
    <row r="209" spans="2:8" ht="15.6">
      <c r="B209" s="345"/>
      <c r="C209" s="346"/>
      <c r="D209" s="346"/>
      <c r="E209" s="346"/>
      <c r="F209" s="346"/>
      <c r="G209" s="346"/>
      <c r="H209" s="346"/>
    </row>
    <row r="210" spans="2:8" ht="15.6">
      <c r="B210" s="345"/>
      <c r="C210" s="346"/>
      <c r="D210" s="346"/>
      <c r="E210" s="346"/>
      <c r="F210" s="346"/>
      <c r="G210" s="346"/>
      <c r="H210" s="346"/>
    </row>
    <row r="211" spans="2:8" ht="15.6">
      <c r="B211" s="345"/>
      <c r="C211" s="346"/>
      <c r="D211" s="346"/>
      <c r="E211" s="346"/>
      <c r="F211" s="346"/>
      <c r="G211" s="346"/>
      <c r="H211" s="346"/>
    </row>
    <row r="212" spans="2:8" ht="15.6">
      <c r="B212" s="345"/>
      <c r="C212" s="346"/>
      <c r="D212" s="346"/>
      <c r="E212" s="346"/>
      <c r="F212" s="346"/>
      <c r="G212" s="346"/>
      <c r="H212" s="346"/>
    </row>
    <row r="213" spans="2:8" ht="15.6">
      <c r="B213" s="345"/>
      <c r="C213" s="346"/>
      <c r="D213" s="346"/>
      <c r="E213" s="346"/>
      <c r="F213" s="346"/>
      <c r="G213" s="346"/>
      <c r="H213" s="346"/>
    </row>
    <row r="214" spans="2:8" ht="15.6">
      <c r="B214" s="345"/>
      <c r="C214" s="346"/>
      <c r="D214" s="346"/>
      <c r="E214" s="346"/>
      <c r="F214" s="346"/>
      <c r="G214" s="346"/>
      <c r="H214" s="346"/>
    </row>
    <row r="215" spans="2:8" ht="15.6">
      <c r="B215" s="345"/>
      <c r="C215" s="346"/>
      <c r="D215" s="346"/>
      <c r="E215" s="346"/>
      <c r="F215" s="346"/>
      <c r="G215" s="346"/>
      <c r="H215" s="346"/>
    </row>
    <row r="216" spans="2:8" ht="15.6">
      <c r="B216" s="345"/>
      <c r="C216" s="346"/>
      <c r="D216" s="346"/>
      <c r="E216" s="346"/>
      <c r="F216" s="346"/>
      <c r="G216" s="346"/>
      <c r="H216" s="346"/>
    </row>
    <row r="217" spans="2:8" ht="15.6">
      <c r="B217" s="345"/>
      <c r="C217" s="346"/>
      <c r="D217" s="346"/>
      <c r="E217" s="346"/>
      <c r="F217" s="346"/>
      <c r="G217" s="346"/>
      <c r="H217" s="346"/>
    </row>
    <row r="218" spans="2:8" ht="15.6">
      <c r="B218" s="345"/>
      <c r="C218" s="346"/>
      <c r="D218" s="346"/>
      <c r="E218" s="346"/>
      <c r="F218" s="346"/>
      <c r="G218" s="346"/>
      <c r="H218" s="346"/>
    </row>
    <row r="219" spans="2:8" ht="15.6">
      <c r="B219" s="345"/>
      <c r="C219" s="346"/>
      <c r="D219" s="346"/>
      <c r="E219" s="346"/>
      <c r="F219" s="346"/>
      <c r="G219" s="346"/>
      <c r="H219" s="346"/>
    </row>
    <row r="220" spans="2:8" ht="15.6">
      <c r="B220" s="345"/>
      <c r="C220" s="346"/>
      <c r="D220" s="346"/>
      <c r="E220" s="346"/>
      <c r="F220" s="346"/>
      <c r="G220" s="346"/>
      <c r="H220" s="346"/>
    </row>
    <row r="221" spans="2:8" ht="15.6">
      <c r="B221" s="345"/>
      <c r="C221" s="346"/>
      <c r="D221" s="346"/>
      <c r="E221" s="346"/>
      <c r="F221" s="346"/>
      <c r="G221" s="346"/>
      <c r="H221" s="346"/>
    </row>
    <row r="222" spans="2:8" ht="15.6">
      <c r="B222" s="345"/>
      <c r="C222" s="346"/>
      <c r="D222" s="346"/>
      <c r="E222" s="346"/>
      <c r="F222" s="346"/>
      <c r="G222" s="346"/>
      <c r="H222" s="346"/>
    </row>
    <row r="223" spans="2:8" ht="15.6">
      <c r="B223" s="345"/>
      <c r="C223" s="346"/>
      <c r="D223" s="346"/>
      <c r="E223" s="346"/>
      <c r="F223" s="346"/>
      <c r="G223" s="346"/>
      <c r="H223" s="346"/>
    </row>
    <row r="224" spans="2:8" ht="15.6">
      <c r="B224" s="345"/>
      <c r="C224" s="346"/>
      <c r="D224" s="346"/>
      <c r="E224" s="346"/>
      <c r="F224" s="346"/>
      <c r="G224" s="346"/>
      <c r="H224" s="346"/>
    </row>
    <row r="225" spans="2:8" ht="15.6">
      <c r="B225" s="345"/>
      <c r="C225" s="346"/>
      <c r="D225" s="346"/>
      <c r="E225" s="346"/>
      <c r="F225" s="346"/>
      <c r="G225" s="346"/>
      <c r="H225" s="346"/>
    </row>
    <row r="226" spans="2:8" ht="15.6">
      <c r="B226" s="345"/>
      <c r="C226" s="346"/>
      <c r="D226" s="346"/>
      <c r="E226" s="346"/>
      <c r="F226" s="346"/>
      <c r="G226" s="346"/>
      <c r="H226" s="346"/>
    </row>
    <row r="227" spans="2:8" ht="15.6">
      <c r="B227" s="345"/>
      <c r="C227" s="346"/>
      <c r="D227" s="346"/>
      <c r="E227" s="346"/>
      <c r="F227" s="346"/>
      <c r="G227" s="346"/>
      <c r="H227" s="346"/>
    </row>
    <row r="228" spans="2:8" ht="15.6">
      <c r="B228" s="345"/>
      <c r="C228" s="346"/>
      <c r="D228" s="346"/>
      <c r="E228" s="346"/>
      <c r="F228" s="346"/>
      <c r="G228" s="346"/>
      <c r="H228" s="346"/>
    </row>
    <row r="229" spans="2:8" ht="15.6">
      <c r="B229" s="345"/>
      <c r="C229" s="346"/>
      <c r="D229" s="346"/>
      <c r="E229" s="346"/>
      <c r="F229" s="346"/>
      <c r="G229" s="346"/>
      <c r="H229" s="346"/>
    </row>
    <row r="230" spans="2:8" ht="15.6">
      <c r="B230" s="345"/>
      <c r="C230" s="346"/>
      <c r="D230" s="346"/>
      <c r="E230" s="346"/>
      <c r="F230" s="346"/>
      <c r="G230" s="346"/>
      <c r="H230" s="346"/>
    </row>
    <row r="231" spans="2:8" ht="15.6">
      <c r="B231" s="345"/>
      <c r="C231" s="346"/>
      <c r="D231" s="346"/>
      <c r="E231" s="346"/>
      <c r="F231" s="346"/>
      <c r="G231" s="346"/>
      <c r="H231" s="346"/>
    </row>
    <row r="232" spans="2:8" ht="15.6">
      <c r="B232" s="345"/>
      <c r="C232" s="346"/>
      <c r="D232" s="346"/>
      <c r="E232" s="346"/>
      <c r="F232" s="346"/>
      <c r="G232" s="346"/>
      <c r="H232" s="346"/>
    </row>
    <row r="233" spans="2:8" ht="15.6">
      <c r="B233" s="345"/>
      <c r="C233" s="346"/>
      <c r="D233" s="346"/>
      <c r="E233" s="346"/>
      <c r="F233" s="346"/>
      <c r="G233" s="346"/>
      <c r="H233" s="346"/>
    </row>
    <row r="234" spans="2:8" ht="15.6">
      <c r="B234" s="345"/>
      <c r="C234" s="346"/>
      <c r="D234" s="346"/>
      <c r="E234" s="346"/>
      <c r="F234" s="346"/>
      <c r="G234" s="346"/>
      <c r="H234" s="346"/>
    </row>
    <row r="235" spans="2:8" ht="15.6">
      <c r="B235" s="345"/>
      <c r="C235" s="346"/>
      <c r="D235" s="346"/>
      <c r="E235" s="346"/>
      <c r="F235" s="346"/>
      <c r="G235" s="346"/>
      <c r="H235" s="346"/>
    </row>
    <row r="236" spans="2:8" ht="15.6">
      <c r="B236" s="345"/>
      <c r="C236" s="346"/>
      <c r="D236" s="346"/>
      <c r="E236" s="346"/>
      <c r="F236" s="346"/>
      <c r="G236" s="346"/>
      <c r="H236" s="346"/>
    </row>
    <row r="237" spans="2:8" ht="15.6">
      <c r="B237" s="345"/>
      <c r="C237" s="346"/>
      <c r="D237" s="346"/>
      <c r="E237" s="346"/>
      <c r="F237" s="346"/>
      <c r="G237" s="346"/>
      <c r="H237" s="346"/>
    </row>
    <row r="238" spans="2:8" ht="15.6">
      <c r="B238" s="345"/>
      <c r="C238" s="346"/>
      <c r="D238" s="346"/>
      <c r="E238" s="346"/>
      <c r="F238" s="346"/>
      <c r="G238" s="346"/>
      <c r="H238" s="346"/>
    </row>
    <row r="239" spans="2:8" ht="15.6">
      <c r="B239" s="345"/>
      <c r="C239" s="346"/>
      <c r="D239" s="346"/>
      <c r="E239" s="346"/>
      <c r="F239" s="346"/>
      <c r="G239" s="346"/>
      <c r="H239" s="346"/>
    </row>
    <row r="240" spans="2:8" ht="15.6">
      <c r="B240" s="345"/>
      <c r="C240" s="346"/>
      <c r="D240" s="346"/>
      <c r="E240" s="346"/>
      <c r="F240" s="346"/>
      <c r="G240" s="346"/>
      <c r="H240" s="346"/>
    </row>
    <row r="241" spans="2:8" ht="15.6">
      <c r="B241" s="345"/>
      <c r="C241" s="346"/>
      <c r="D241" s="346"/>
      <c r="E241" s="346"/>
      <c r="F241" s="346"/>
      <c r="G241" s="346"/>
      <c r="H241" s="346"/>
    </row>
    <row r="242" spans="2:8" ht="15.6">
      <c r="B242" s="345"/>
      <c r="C242" s="346"/>
      <c r="D242" s="346"/>
      <c r="E242" s="346"/>
      <c r="F242" s="346"/>
      <c r="G242" s="346"/>
      <c r="H242" s="346"/>
    </row>
    <row r="243" spans="2:8" ht="15.6">
      <c r="B243" s="345"/>
      <c r="C243" s="346"/>
      <c r="D243" s="346"/>
      <c r="E243" s="346"/>
      <c r="F243" s="346"/>
      <c r="G243" s="346"/>
      <c r="H243" s="346"/>
    </row>
    <row r="244" spans="2:8" ht="15.6">
      <c r="B244" s="345"/>
      <c r="C244" s="346"/>
      <c r="D244" s="346"/>
      <c r="E244" s="346"/>
      <c r="F244" s="346"/>
      <c r="G244" s="346"/>
      <c r="H244" s="346"/>
    </row>
    <row r="245" spans="2:8" ht="15.6">
      <c r="B245" s="345"/>
      <c r="C245" s="346"/>
      <c r="D245" s="346"/>
      <c r="E245" s="346"/>
      <c r="F245" s="346"/>
      <c r="G245" s="346"/>
      <c r="H245" s="346"/>
    </row>
    <row r="246" spans="2:8" ht="15.6">
      <c r="B246" s="345"/>
      <c r="C246" s="346"/>
      <c r="D246" s="346"/>
      <c r="E246" s="346"/>
      <c r="F246" s="346"/>
      <c r="G246" s="346"/>
      <c r="H246" s="346"/>
    </row>
    <row r="247" spans="2:8" ht="15.6">
      <c r="B247" s="345"/>
      <c r="C247" s="346"/>
      <c r="D247" s="346"/>
      <c r="E247" s="346"/>
      <c r="F247" s="346"/>
      <c r="G247" s="346"/>
      <c r="H247" s="346"/>
    </row>
    <row r="248" spans="2:8" ht="15.6">
      <c r="B248" s="345"/>
      <c r="C248" s="346"/>
      <c r="D248" s="346"/>
      <c r="E248" s="346"/>
      <c r="F248" s="346"/>
      <c r="G248" s="346"/>
      <c r="H248" s="346"/>
    </row>
    <row r="249" spans="2:8" ht="15.6">
      <c r="B249" s="345"/>
      <c r="C249" s="346"/>
      <c r="D249" s="346"/>
      <c r="E249" s="346"/>
      <c r="F249" s="346"/>
      <c r="G249" s="346"/>
      <c r="H249" s="346"/>
    </row>
    <row r="250" spans="2:8" ht="15.6">
      <c r="B250" s="345"/>
      <c r="C250" s="346"/>
      <c r="D250" s="346"/>
      <c r="E250" s="346"/>
      <c r="F250" s="346"/>
      <c r="G250" s="346"/>
      <c r="H250" s="346"/>
    </row>
    <row r="251" spans="2:8" ht="15.6">
      <c r="B251" s="345"/>
      <c r="C251" s="346"/>
      <c r="D251" s="346"/>
      <c r="E251" s="346"/>
      <c r="F251" s="346"/>
      <c r="G251" s="346"/>
      <c r="H251" s="346"/>
    </row>
    <row r="252" spans="2:8" ht="15.6">
      <c r="B252" s="345"/>
      <c r="C252" s="346"/>
      <c r="D252" s="346"/>
      <c r="E252" s="346"/>
      <c r="F252" s="346"/>
      <c r="G252" s="346"/>
      <c r="H252" s="346"/>
    </row>
    <row r="253" spans="2:8" ht="15.6">
      <c r="B253" s="345"/>
      <c r="C253" s="346"/>
      <c r="D253" s="346"/>
      <c r="E253" s="346"/>
      <c r="F253" s="346"/>
      <c r="G253" s="346"/>
      <c r="H253" s="346"/>
    </row>
    <row r="254" spans="2:8" ht="15.6">
      <c r="B254" s="345"/>
      <c r="C254" s="346"/>
      <c r="D254" s="346"/>
      <c r="E254" s="346"/>
      <c r="F254" s="346"/>
      <c r="G254" s="346"/>
      <c r="H254" s="346"/>
    </row>
    <row r="255" spans="2:8" ht="15.6">
      <c r="B255" s="345"/>
      <c r="C255" s="346"/>
      <c r="D255" s="346"/>
      <c r="E255" s="346"/>
      <c r="F255" s="346"/>
      <c r="G255" s="346"/>
      <c r="H255" s="346"/>
    </row>
    <row r="256" spans="2:8" ht="15.6">
      <c r="B256" s="345"/>
      <c r="C256" s="346"/>
      <c r="D256" s="346"/>
      <c r="E256" s="346"/>
      <c r="F256" s="346"/>
      <c r="G256" s="346"/>
      <c r="H256" s="346"/>
    </row>
    <row r="257" spans="2:8" ht="15.6">
      <c r="B257" s="345"/>
      <c r="C257" s="346"/>
      <c r="D257" s="346"/>
      <c r="E257" s="346"/>
      <c r="F257" s="346"/>
      <c r="G257" s="346"/>
      <c r="H257" s="346"/>
    </row>
    <row r="258" spans="2:8" ht="15.6">
      <c r="B258" s="345"/>
      <c r="C258" s="346"/>
      <c r="D258" s="346"/>
      <c r="E258" s="346"/>
      <c r="F258" s="346"/>
      <c r="G258" s="346"/>
      <c r="H258" s="346"/>
    </row>
    <row r="259" spans="2:8" ht="15.6">
      <c r="B259" s="345"/>
      <c r="C259" s="346"/>
      <c r="D259" s="346"/>
      <c r="E259" s="346"/>
      <c r="F259" s="346"/>
      <c r="G259" s="346"/>
      <c r="H259" s="346"/>
    </row>
    <row r="260" spans="2:8" ht="15.6">
      <c r="B260" s="345"/>
      <c r="C260" s="346"/>
      <c r="D260" s="346"/>
      <c r="E260" s="346"/>
      <c r="F260" s="346"/>
      <c r="G260" s="346"/>
      <c r="H260" s="346"/>
    </row>
    <row r="261" spans="2:8" ht="15.6">
      <c r="B261" s="345"/>
      <c r="C261" s="346"/>
      <c r="D261" s="346"/>
      <c r="E261" s="346"/>
      <c r="F261" s="346"/>
      <c r="G261" s="346"/>
      <c r="H261" s="346"/>
    </row>
    <row r="262" spans="2:8" ht="15.6">
      <c r="B262" s="345"/>
      <c r="C262" s="346"/>
      <c r="D262" s="346"/>
      <c r="E262" s="346"/>
      <c r="F262" s="346"/>
      <c r="G262" s="346"/>
      <c r="H262" s="346"/>
    </row>
    <row r="263" spans="2:8" ht="15.6">
      <c r="B263" s="345"/>
      <c r="C263" s="346"/>
      <c r="D263" s="346"/>
      <c r="E263" s="346"/>
      <c r="F263" s="346"/>
      <c r="G263" s="346"/>
      <c r="H263" s="346"/>
    </row>
    <row r="264" spans="2:8" ht="15.6">
      <c r="B264" s="345"/>
      <c r="C264" s="346"/>
      <c r="D264" s="346"/>
      <c r="E264" s="346"/>
      <c r="F264" s="346"/>
      <c r="G264" s="346"/>
      <c r="H264" s="346"/>
    </row>
    <row r="265" spans="2:8" ht="15.6">
      <c r="B265" s="345"/>
      <c r="C265" s="346"/>
      <c r="D265" s="346"/>
      <c r="E265" s="346"/>
      <c r="F265" s="346"/>
      <c r="G265" s="346"/>
      <c r="H265" s="346"/>
    </row>
    <row r="266" spans="2:8" ht="15.6">
      <c r="B266" s="345"/>
      <c r="C266" s="346"/>
      <c r="D266" s="346"/>
      <c r="E266" s="346"/>
      <c r="F266" s="346"/>
      <c r="G266" s="346"/>
      <c r="H266" s="346"/>
    </row>
    <row r="267" spans="2:8" ht="15.6">
      <c r="B267" s="345"/>
      <c r="C267" s="346"/>
      <c r="D267" s="346"/>
      <c r="E267" s="346"/>
      <c r="F267" s="346"/>
      <c r="G267" s="346"/>
      <c r="H267" s="346"/>
    </row>
    <row r="268" spans="2:8" ht="15.6">
      <c r="B268" s="345"/>
      <c r="C268" s="346"/>
      <c r="D268" s="346"/>
      <c r="E268" s="346"/>
      <c r="F268" s="346"/>
      <c r="G268" s="346"/>
      <c r="H268" s="346"/>
    </row>
    <row r="269" spans="2:8" ht="15.6">
      <c r="B269" s="345"/>
      <c r="C269" s="346"/>
      <c r="D269" s="346"/>
      <c r="E269" s="346"/>
      <c r="F269" s="346"/>
      <c r="G269" s="346"/>
      <c r="H269" s="346"/>
    </row>
    <row r="270" spans="2:8" ht="15.6">
      <c r="B270" s="345"/>
      <c r="C270" s="346"/>
      <c r="D270" s="346"/>
      <c r="E270" s="346"/>
      <c r="F270" s="346"/>
      <c r="G270" s="346"/>
      <c r="H270" s="346"/>
    </row>
    <row r="271" spans="2:8" ht="15.6">
      <c r="B271" s="345"/>
      <c r="C271" s="346"/>
      <c r="D271" s="346"/>
      <c r="E271" s="346"/>
      <c r="F271" s="346"/>
      <c r="G271" s="346"/>
      <c r="H271" s="346"/>
    </row>
    <row r="272" spans="2:8" ht="15.6">
      <c r="B272" s="345"/>
      <c r="C272" s="346"/>
      <c r="D272" s="346"/>
      <c r="E272" s="346"/>
      <c r="F272" s="346"/>
      <c r="G272" s="346"/>
      <c r="H272" s="346"/>
    </row>
    <row r="273" spans="2:8" ht="15.6">
      <c r="B273" s="345"/>
      <c r="C273" s="346"/>
      <c r="D273" s="346"/>
      <c r="E273" s="346"/>
      <c r="F273" s="346"/>
      <c r="G273" s="346"/>
      <c r="H273" s="346"/>
    </row>
    <row r="274" spans="2:8" ht="15.6">
      <c r="B274" s="345"/>
      <c r="C274" s="346"/>
      <c r="D274" s="346"/>
      <c r="E274" s="346"/>
      <c r="F274" s="346"/>
      <c r="G274" s="346"/>
      <c r="H274" s="346"/>
    </row>
    <row r="275" spans="2:8" ht="15.6">
      <c r="B275" s="345"/>
      <c r="C275" s="346"/>
      <c r="D275" s="346"/>
      <c r="E275" s="346"/>
      <c r="F275" s="346"/>
      <c r="G275" s="346"/>
      <c r="H275" s="346"/>
    </row>
    <row r="276" spans="2:8" ht="15.6">
      <c r="B276" s="345"/>
      <c r="C276" s="346"/>
      <c r="D276" s="346"/>
      <c r="E276" s="346"/>
      <c r="F276" s="346"/>
      <c r="G276" s="346"/>
      <c r="H276" s="346"/>
    </row>
    <row r="277" spans="2:8" ht="15.6">
      <c r="B277" s="345"/>
      <c r="C277" s="346"/>
      <c r="D277" s="346"/>
      <c r="E277" s="346"/>
      <c r="F277" s="346"/>
      <c r="G277" s="346"/>
      <c r="H277" s="346"/>
    </row>
    <row r="278" spans="2:8" ht="15.6">
      <c r="B278" s="345"/>
      <c r="C278" s="346"/>
      <c r="D278" s="346"/>
      <c r="E278" s="346"/>
      <c r="F278" s="346"/>
      <c r="G278" s="346"/>
      <c r="H278" s="346"/>
    </row>
    <row r="279" spans="2:8" ht="15.6">
      <c r="B279" s="345"/>
      <c r="C279" s="346"/>
      <c r="D279" s="346"/>
      <c r="E279" s="346"/>
      <c r="F279" s="346"/>
      <c r="G279" s="346"/>
      <c r="H279" s="346"/>
    </row>
    <row r="280" spans="2:8" ht="15.6">
      <c r="B280" s="345"/>
      <c r="C280" s="346"/>
      <c r="D280" s="346"/>
      <c r="E280" s="346"/>
      <c r="F280" s="346"/>
      <c r="G280" s="346"/>
      <c r="H280" s="346"/>
    </row>
    <row r="281" spans="2:8" ht="15.6">
      <c r="B281" s="345"/>
      <c r="C281" s="346"/>
      <c r="D281" s="346"/>
      <c r="E281" s="346"/>
      <c r="F281" s="346"/>
      <c r="G281" s="346"/>
      <c r="H281" s="346"/>
    </row>
    <row r="282" spans="2:8" ht="15.6">
      <c r="B282" s="345"/>
      <c r="C282" s="346"/>
      <c r="D282" s="346"/>
      <c r="E282" s="346"/>
      <c r="F282" s="346"/>
      <c r="G282" s="346"/>
      <c r="H282" s="346"/>
    </row>
    <row r="283" spans="2:8" ht="15.6">
      <c r="B283" s="345"/>
      <c r="C283" s="346"/>
      <c r="D283" s="346"/>
      <c r="E283" s="346"/>
      <c r="F283" s="346"/>
      <c r="G283" s="346"/>
      <c r="H283" s="346"/>
    </row>
    <row r="284" spans="2:8" ht="15.6">
      <c r="B284" s="345"/>
      <c r="C284" s="346"/>
      <c r="D284" s="346"/>
      <c r="E284" s="346"/>
      <c r="F284" s="346"/>
      <c r="G284" s="346"/>
      <c r="H284" s="346"/>
    </row>
    <row r="285" spans="2:8" ht="15.6">
      <c r="B285" s="345"/>
      <c r="C285" s="346"/>
      <c r="D285" s="346"/>
      <c r="E285" s="346"/>
      <c r="F285" s="346"/>
      <c r="G285" s="346"/>
      <c r="H285" s="346"/>
    </row>
    <row r="286" spans="2:8" ht="15.6">
      <c r="B286" s="345"/>
      <c r="C286" s="346"/>
      <c r="D286" s="346"/>
      <c r="E286" s="346"/>
      <c r="F286" s="346"/>
      <c r="G286" s="346"/>
      <c r="H286" s="346"/>
    </row>
    <row r="287" spans="2:8" ht="15.6">
      <c r="B287" s="345"/>
      <c r="C287" s="346"/>
      <c r="D287" s="346"/>
      <c r="E287" s="346"/>
      <c r="F287" s="346"/>
      <c r="G287" s="346"/>
      <c r="H287" s="346"/>
    </row>
    <row r="288" spans="2:8" ht="15.6">
      <c r="B288" s="345"/>
      <c r="C288" s="346"/>
      <c r="D288" s="346"/>
      <c r="E288" s="346"/>
      <c r="F288" s="346"/>
      <c r="G288" s="346"/>
      <c r="H288" s="346"/>
    </row>
    <row r="289" spans="2:8" ht="15.6">
      <c r="B289" s="345"/>
      <c r="C289" s="346"/>
      <c r="D289" s="346"/>
      <c r="E289" s="346"/>
      <c r="F289" s="346"/>
      <c r="G289" s="346"/>
      <c r="H289" s="346"/>
    </row>
    <row r="290" spans="2:8" ht="15.6">
      <c r="B290" s="345"/>
      <c r="C290" s="346"/>
      <c r="D290" s="346"/>
      <c r="E290" s="346"/>
      <c r="F290" s="346"/>
      <c r="G290" s="346"/>
      <c r="H290" s="346"/>
    </row>
    <row r="291" spans="2:8" ht="15.6">
      <c r="B291" s="345"/>
      <c r="C291" s="346"/>
      <c r="D291" s="346"/>
      <c r="E291" s="346"/>
      <c r="F291" s="346"/>
      <c r="G291" s="346"/>
      <c r="H291" s="346"/>
    </row>
    <row r="292" spans="2:8" ht="15.6">
      <c r="B292" s="345"/>
      <c r="C292" s="346"/>
      <c r="D292" s="346"/>
      <c r="E292" s="346"/>
      <c r="F292" s="346"/>
      <c r="G292" s="346"/>
      <c r="H292" s="346"/>
    </row>
    <row r="293" spans="2:8" ht="15.6">
      <c r="B293" s="345"/>
      <c r="C293" s="346"/>
      <c r="D293" s="346"/>
      <c r="E293" s="346"/>
      <c r="F293" s="346"/>
      <c r="G293" s="346"/>
      <c r="H293" s="346"/>
    </row>
    <row r="294" spans="2:8" ht="15.6">
      <c r="B294" s="345"/>
      <c r="C294" s="346"/>
      <c r="D294" s="346"/>
      <c r="E294" s="346"/>
      <c r="F294" s="346"/>
      <c r="G294" s="346"/>
      <c r="H294" s="346"/>
    </row>
    <row r="295" spans="2:8" ht="15.6">
      <c r="B295" s="345"/>
      <c r="C295" s="346"/>
      <c r="D295" s="346"/>
      <c r="E295" s="346"/>
      <c r="F295" s="346"/>
      <c r="G295" s="346"/>
      <c r="H295" s="346"/>
    </row>
    <row r="296" spans="2:8" ht="15.6">
      <c r="B296" s="345"/>
      <c r="C296" s="346"/>
      <c r="D296" s="346"/>
      <c r="E296" s="346"/>
      <c r="F296" s="346"/>
      <c r="G296" s="346"/>
      <c r="H296" s="346"/>
    </row>
    <row r="297" spans="2:8" ht="15.6">
      <c r="B297" s="345"/>
      <c r="C297" s="346"/>
      <c r="D297" s="346"/>
      <c r="E297" s="346"/>
      <c r="F297" s="346"/>
      <c r="G297" s="346"/>
      <c r="H297" s="346"/>
    </row>
    <row r="298" spans="2:8" ht="15.6">
      <c r="B298" s="345"/>
      <c r="C298" s="346"/>
      <c r="D298" s="346"/>
      <c r="E298" s="346"/>
      <c r="F298" s="346"/>
      <c r="G298" s="346"/>
      <c r="H298" s="346"/>
    </row>
    <row r="299" spans="2:8" ht="15.6">
      <c r="B299" s="345"/>
      <c r="C299" s="346"/>
      <c r="D299" s="346"/>
      <c r="E299" s="346"/>
      <c r="F299" s="346"/>
      <c r="G299" s="346"/>
      <c r="H299" s="346"/>
    </row>
    <row r="300" spans="2:8" ht="15.6">
      <c r="B300" s="345"/>
      <c r="C300" s="346"/>
      <c r="D300" s="346"/>
      <c r="E300" s="346"/>
      <c r="F300" s="346"/>
      <c r="G300" s="346"/>
      <c r="H300" s="346"/>
    </row>
    <row r="301" spans="2:8" ht="15.6">
      <c r="B301" s="345"/>
      <c r="C301" s="346"/>
      <c r="D301" s="346"/>
      <c r="E301" s="346"/>
      <c r="F301" s="346"/>
      <c r="G301" s="346"/>
      <c r="H301" s="346"/>
    </row>
    <row r="302" spans="2:8" ht="15.6">
      <c r="B302" s="345"/>
      <c r="C302" s="346"/>
      <c r="D302" s="346"/>
      <c r="E302" s="346"/>
      <c r="F302" s="346"/>
      <c r="G302" s="346"/>
      <c r="H302" s="346"/>
    </row>
    <row r="303" spans="2:8" ht="15.6">
      <c r="B303" s="345"/>
      <c r="C303" s="346"/>
      <c r="D303" s="346"/>
      <c r="E303" s="346"/>
      <c r="F303" s="346"/>
      <c r="G303" s="346"/>
      <c r="H303" s="346"/>
    </row>
  </sheetData>
  <mergeCells count="13">
    <mergeCell ref="B105:H105"/>
    <mergeCell ref="B3:H3"/>
    <mergeCell ref="B75:H75"/>
    <mergeCell ref="B48:H48"/>
    <mergeCell ref="B49:H49"/>
    <mergeCell ref="B76:H76"/>
    <mergeCell ref="B77:H77"/>
    <mergeCell ref="B102:G102"/>
    <mergeCell ref="B1:H1"/>
    <mergeCell ref="B2:H2"/>
    <mergeCell ref="B41:G41"/>
    <mergeCell ref="B47:H47"/>
    <mergeCell ref="B98:G98"/>
  </mergeCells>
  <phoneticPr fontId="61" type="noConversion"/>
  <printOptions horizontalCentered="1"/>
  <pageMargins left="0.25" right="0.25" top="0.75" bottom="0.75" header="0.3" footer="0.3"/>
  <pageSetup scale="40" fitToHeight="0" orientation="landscape" r:id="rId1"/>
  <headerFooter alignWithMargins="0"/>
  <rowBreaks count="2" manualBreakCount="2">
    <brk id="46" max="7" man="1"/>
    <brk id="74"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M61"/>
  <sheetViews>
    <sheetView topLeftCell="A6" zoomScale="70" zoomScaleNormal="70" zoomScalePageLayoutView="70" workbookViewId="0">
      <selection activeCell="C4" sqref="C4"/>
    </sheetView>
  </sheetViews>
  <sheetFormatPr defaultRowHeight="15"/>
  <cols>
    <col min="1" max="1" width="21.7265625" customWidth="1"/>
    <col min="2" max="2" width="26.08984375" customWidth="1"/>
    <col min="3" max="3" width="2.08984375" customWidth="1"/>
    <col min="4" max="4" width="20.08984375" customWidth="1"/>
    <col min="5" max="5" width="1.7265625" customWidth="1"/>
    <col min="6" max="6" width="18.7265625" customWidth="1"/>
    <col min="7" max="7" width="12.7265625" customWidth="1"/>
    <col min="8" max="8" width="15" customWidth="1"/>
    <col min="9" max="9" width="15.7265625" customWidth="1"/>
    <col min="10" max="10" width="1.453125" customWidth="1"/>
    <col min="11" max="11" width="13.453125" customWidth="1"/>
    <col min="13" max="13" width="8.453125" bestFit="1" customWidth="1"/>
  </cols>
  <sheetData>
    <row r="1" spans="1:12" s="206" customFormat="1" ht="15.6">
      <c r="A1" s="1223"/>
      <c r="B1" s="1223"/>
      <c r="C1" s="1223"/>
      <c r="D1" s="1223"/>
      <c r="E1" s="1223"/>
      <c r="F1" s="1223"/>
      <c r="G1" s="1223"/>
      <c r="H1" s="1223"/>
      <c r="I1" s="1223"/>
      <c r="J1" s="1223"/>
      <c r="K1" s="1223"/>
    </row>
    <row r="2" spans="1:12" s="206" customFormat="1" ht="17.399999999999999">
      <c r="A2" s="1224" t="s">
        <v>914</v>
      </c>
      <c r="B2" s="1224"/>
      <c r="C2" s="1224"/>
      <c r="D2" s="1224"/>
      <c r="E2" s="1224"/>
      <c r="F2" s="1224"/>
      <c r="G2" s="1224"/>
      <c r="H2" s="1224"/>
      <c r="I2" s="1224"/>
      <c r="J2" s="1224"/>
      <c r="K2" s="1224"/>
    </row>
    <row r="3" spans="1:12" s="206" customFormat="1" ht="17.399999999999999">
      <c r="A3" s="1225" t="str">
        <f>'Appendix A'!$E$9</f>
        <v>HURLEY AVENUE PROJECT - SYSTEM DELIVERABILITY UPGRADE</v>
      </c>
      <c r="B3" s="1225"/>
      <c r="C3" s="1225"/>
      <c r="D3" s="1225"/>
      <c r="E3" s="1225"/>
      <c r="F3" s="1225"/>
      <c r="G3" s="1225"/>
      <c r="H3" s="1225"/>
      <c r="I3" s="1225"/>
      <c r="J3" s="1225"/>
      <c r="K3" s="1225"/>
    </row>
    <row r="4" spans="1:12">
      <c r="A4" s="229"/>
      <c r="B4" s="229"/>
      <c r="C4" s="229"/>
      <c r="D4" s="229"/>
      <c r="E4" s="229"/>
      <c r="F4" s="229"/>
      <c r="G4" s="229"/>
      <c r="H4" s="229"/>
      <c r="I4" s="229"/>
      <c r="J4" s="229"/>
      <c r="K4" s="229"/>
    </row>
    <row r="5" spans="1:12">
      <c r="A5" s="229"/>
      <c r="B5" s="229"/>
      <c r="C5" s="229"/>
      <c r="D5" s="229"/>
      <c r="E5" s="229"/>
      <c r="F5" s="229"/>
      <c r="G5" s="229"/>
      <c r="H5" s="229"/>
      <c r="I5" s="229"/>
      <c r="J5" s="229"/>
      <c r="K5" s="229"/>
    </row>
    <row r="6" spans="1:12" ht="16.2" thickBot="1">
      <c r="A6" s="327" t="s">
        <v>908</v>
      </c>
      <c r="B6" s="328"/>
      <c r="C6" s="328"/>
      <c r="D6" s="328" t="str">
        <f>+A6</f>
        <v>June 2023 to May 2024</v>
      </c>
      <c r="E6" s="230"/>
      <c r="F6" s="230"/>
      <c r="G6" s="230"/>
      <c r="H6" s="230"/>
      <c r="J6" s="230"/>
      <c r="K6" s="230"/>
      <c r="L6" s="206"/>
    </row>
    <row r="7" spans="1:12" ht="31.2">
      <c r="A7" s="231" t="s">
        <v>774</v>
      </c>
      <c r="B7" s="230"/>
      <c r="C7" s="230"/>
      <c r="D7" s="231" t="s">
        <v>773</v>
      </c>
      <c r="E7" s="230"/>
      <c r="F7" s="230"/>
      <c r="G7" s="231" t="s">
        <v>245</v>
      </c>
      <c r="J7" s="212"/>
      <c r="K7" s="212"/>
      <c r="L7" s="206"/>
    </row>
    <row r="8" spans="1:12" ht="15.6">
      <c r="A8" s="232"/>
      <c r="B8" s="230"/>
      <c r="C8" s="230"/>
      <c r="D8" s="232"/>
      <c r="E8" s="230"/>
      <c r="F8" s="230"/>
      <c r="G8" s="233"/>
      <c r="J8" s="212"/>
      <c r="K8" s="212"/>
      <c r="L8" s="206"/>
    </row>
    <row r="9" spans="1:12" ht="16.2" thickBot="1">
      <c r="A9" s="982">
        <v>0</v>
      </c>
      <c r="B9" s="215" t="s">
        <v>282</v>
      </c>
      <c r="C9" s="213"/>
      <c r="D9" s="982">
        <v>0</v>
      </c>
      <c r="E9" s="214"/>
      <c r="F9" s="215" t="s">
        <v>283</v>
      </c>
      <c r="G9" s="234">
        <f>IF(D9=0,0,A9-D9)</f>
        <v>0</v>
      </c>
      <c r="J9" s="212"/>
      <c r="K9" s="212"/>
      <c r="L9" s="206"/>
    </row>
    <row r="10" spans="1:12" ht="15.6">
      <c r="A10" s="214"/>
      <c r="B10" s="213"/>
      <c r="C10" s="213"/>
      <c r="D10" s="214"/>
      <c r="E10" s="214"/>
      <c r="F10" s="213"/>
      <c r="G10" s="214"/>
      <c r="H10" s="212"/>
      <c r="I10" s="212"/>
      <c r="J10" s="212"/>
      <c r="K10" s="212"/>
      <c r="L10" s="206"/>
    </row>
    <row r="11" spans="1:12" ht="16.2" thickBot="1">
      <c r="A11" s="216"/>
      <c r="B11" s="217"/>
      <c r="C11" s="217"/>
      <c r="D11" s="216"/>
      <c r="E11" s="216"/>
      <c r="F11" s="217"/>
      <c r="G11" s="216"/>
      <c r="H11" s="218"/>
      <c r="I11" s="218"/>
      <c r="J11" s="218"/>
      <c r="K11" s="218"/>
      <c r="L11" s="206"/>
    </row>
    <row r="12" spans="1:12" ht="8.25" customHeight="1">
      <c r="A12" s="235"/>
      <c r="B12" s="213"/>
      <c r="C12" s="213"/>
      <c r="D12" s="214"/>
      <c r="E12" s="214"/>
      <c r="F12" s="213"/>
      <c r="G12" s="214"/>
      <c r="H12" s="212"/>
      <c r="I12" s="212"/>
      <c r="J12" s="212"/>
      <c r="K12" s="212"/>
      <c r="L12" s="206"/>
    </row>
    <row r="13" spans="1:12" ht="53.25" customHeight="1">
      <c r="A13" s="219" t="s">
        <v>246</v>
      </c>
      <c r="B13" s="213"/>
      <c r="C13" s="213"/>
      <c r="D13" s="220" t="s">
        <v>247</v>
      </c>
      <c r="E13" s="214"/>
      <c r="F13" s="220" t="s">
        <v>391</v>
      </c>
      <c r="G13" s="215" t="s">
        <v>248</v>
      </c>
      <c r="H13" s="221" t="s">
        <v>249</v>
      </c>
      <c r="I13" s="220" t="s">
        <v>250</v>
      </c>
      <c r="J13" s="222"/>
      <c r="K13" s="220" t="s">
        <v>251</v>
      </c>
      <c r="L13" s="206"/>
    </row>
    <row r="14" spans="1:12" ht="15.6">
      <c r="A14" s="219"/>
      <c r="B14" s="213"/>
      <c r="C14" s="213"/>
      <c r="D14" s="228"/>
      <c r="E14" s="223"/>
      <c r="F14" s="330">
        <f>'7a-Interest Rate'!H13</f>
        <v>4.2249999999999996E-3</v>
      </c>
      <c r="G14" s="214"/>
      <c r="H14" s="228"/>
      <c r="I14" s="228"/>
      <c r="J14" s="228"/>
      <c r="K14" s="228"/>
      <c r="L14" s="206"/>
    </row>
    <row r="15" spans="1:12" ht="15.6">
      <c r="A15" s="219"/>
      <c r="B15" s="213"/>
      <c r="C15" s="213"/>
      <c r="D15" s="228"/>
      <c r="E15" s="223"/>
      <c r="F15" s="223"/>
      <c r="G15" s="214"/>
      <c r="H15" s="228"/>
      <c r="I15" s="228"/>
      <c r="J15" s="228"/>
      <c r="K15" s="228"/>
      <c r="L15" s="206"/>
    </row>
    <row r="16" spans="1:12" ht="15.6">
      <c r="A16" s="219" t="s">
        <v>453</v>
      </c>
      <c r="B16" s="213"/>
      <c r="C16" s="213"/>
      <c r="D16" s="228"/>
      <c r="E16" s="223"/>
      <c r="F16" s="223"/>
      <c r="G16" s="214"/>
      <c r="H16" s="228"/>
      <c r="I16" s="228"/>
      <c r="J16" s="228"/>
      <c r="K16" s="228"/>
      <c r="L16" s="206"/>
    </row>
    <row r="17" spans="1:12" ht="15.6">
      <c r="A17" s="242" t="s">
        <v>452</v>
      </c>
      <c r="B17" s="213"/>
      <c r="C17" s="213"/>
      <c r="D17" s="213"/>
      <c r="E17" s="213"/>
      <c r="F17" s="213"/>
      <c r="G17" s="228"/>
      <c r="H17" s="228"/>
      <c r="I17" s="228"/>
      <c r="J17" s="228"/>
      <c r="K17" s="228"/>
      <c r="L17" s="206"/>
    </row>
    <row r="18" spans="1:12" ht="15.6">
      <c r="A18" s="242" t="s">
        <v>454</v>
      </c>
      <c r="B18" s="213"/>
      <c r="C18" s="213"/>
      <c r="D18" s="213"/>
      <c r="E18" s="213"/>
      <c r="F18" s="213"/>
      <c r="G18" s="228"/>
      <c r="H18" s="228"/>
      <c r="I18" s="228"/>
      <c r="J18" s="228"/>
      <c r="K18" s="228"/>
      <c r="L18" s="206"/>
    </row>
    <row r="19" spans="1:12" ht="15.6">
      <c r="A19" s="236"/>
      <c r="B19" s="213"/>
      <c r="C19" s="213"/>
      <c r="D19" s="213"/>
      <c r="E19" s="213"/>
      <c r="F19" s="228"/>
      <c r="G19" s="228"/>
      <c r="H19" s="215"/>
      <c r="I19" s="213"/>
      <c r="J19" s="213"/>
      <c r="K19" s="213"/>
      <c r="L19" s="206"/>
    </row>
    <row r="20" spans="1:12" ht="15.6">
      <c r="A20" s="236" t="s">
        <v>252</v>
      </c>
      <c r="B20" s="213"/>
      <c r="C20" s="213"/>
      <c r="D20" s="213"/>
      <c r="E20" s="213"/>
      <c r="F20" s="228"/>
      <c r="G20" s="228"/>
      <c r="H20" s="215" t="s">
        <v>253</v>
      </c>
      <c r="I20" s="213"/>
      <c r="J20" s="213"/>
      <c r="K20" s="213"/>
      <c r="L20" s="206"/>
    </row>
    <row r="21" spans="1:12" ht="15.6">
      <c r="A21" s="983" t="s">
        <v>254</v>
      </c>
      <c r="B21" s="983" t="s">
        <v>910</v>
      </c>
      <c r="C21" s="230"/>
      <c r="D21" s="237">
        <f>G9/12</f>
        <v>0</v>
      </c>
      <c r="E21" s="237"/>
      <c r="F21" s="238">
        <f>+F14</f>
        <v>4.2249999999999996E-3</v>
      </c>
      <c r="G21" s="237">
        <v>12</v>
      </c>
      <c r="H21" s="237">
        <f>F21*D21*G21*-1</f>
        <v>0</v>
      </c>
      <c r="I21" s="237"/>
      <c r="J21" s="237"/>
      <c r="K21" s="237">
        <f>(-H21+D21)*-1</f>
        <v>0</v>
      </c>
      <c r="L21" s="206"/>
    </row>
    <row r="22" spans="1:12" ht="15.6">
      <c r="A22" s="983" t="s">
        <v>155</v>
      </c>
      <c r="B22" s="983" t="s">
        <v>910</v>
      </c>
      <c r="C22" s="230"/>
      <c r="D22" s="237">
        <f>+D21</f>
        <v>0</v>
      </c>
      <c r="E22" s="237"/>
      <c r="F22" s="238">
        <f>+F21</f>
        <v>4.2249999999999996E-3</v>
      </c>
      <c r="G22" s="329">
        <f t="shared" ref="G22:G32" si="0">+G21-1</f>
        <v>11</v>
      </c>
      <c r="H22" s="237">
        <f t="shared" ref="H22:H32" si="1">F22*D22*G22*-1</f>
        <v>0</v>
      </c>
      <c r="I22" s="237"/>
      <c r="J22" s="237"/>
      <c r="K22" s="237">
        <f t="shared" ref="K22:K32" si="2">(-H22+D22)*-1</f>
        <v>0</v>
      </c>
      <c r="L22" s="206"/>
    </row>
    <row r="23" spans="1:12" ht="15.6">
      <c r="A23" s="983" t="s">
        <v>154</v>
      </c>
      <c r="B23" s="983" t="s">
        <v>910</v>
      </c>
      <c r="C23" s="230"/>
      <c r="D23" s="237">
        <f t="shared" ref="D23:D32" si="3">+D22</f>
        <v>0</v>
      </c>
      <c r="E23" s="237"/>
      <c r="F23" s="238">
        <f t="shared" ref="F23:F32" si="4">+F22</f>
        <v>4.2249999999999996E-3</v>
      </c>
      <c r="G23" s="329">
        <f t="shared" si="0"/>
        <v>10</v>
      </c>
      <c r="H23" s="237">
        <f t="shared" si="1"/>
        <v>0</v>
      </c>
      <c r="I23" s="237"/>
      <c r="J23" s="237"/>
      <c r="K23" s="237">
        <f t="shared" si="2"/>
        <v>0</v>
      </c>
      <c r="L23" s="206"/>
    </row>
    <row r="24" spans="1:12" ht="15.6">
      <c r="A24" s="983" t="s">
        <v>153</v>
      </c>
      <c r="B24" s="983" t="s">
        <v>910</v>
      </c>
      <c r="C24" s="230"/>
      <c r="D24" s="237">
        <f t="shared" si="3"/>
        <v>0</v>
      </c>
      <c r="E24" s="237"/>
      <c r="F24" s="238">
        <f t="shared" si="4"/>
        <v>4.2249999999999996E-3</v>
      </c>
      <c r="G24" s="329">
        <f t="shared" si="0"/>
        <v>9</v>
      </c>
      <c r="H24" s="237">
        <f t="shared" si="1"/>
        <v>0</v>
      </c>
      <c r="I24" s="237"/>
      <c r="J24" s="237"/>
      <c r="K24" s="237">
        <f t="shared" si="2"/>
        <v>0</v>
      </c>
      <c r="L24" s="206"/>
    </row>
    <row r="25" spans="1:12" ht="15.6">
      <c r="A25" s="983" t="s">
        <v>164</v>
      </c>
      <c r="B25" s="983" t="s">
        <v>910</v>
      </c>
      <c r="C25" s="230"/>
      <c r="D25" s="237">
        <f t="shared" si="3"/>
        <v>0</v>
      </c>
      <c r="E25" s="237"/>
      <c r="F25" s="238">
        <f t="shared" si="4"/>
        <v>4.2249999999999996E-3</v>
      </c>
      <c r="G25" s="329">
        <f t="shared" si="0"/>
        <v>8</v>
      </c>
      <c r="H25" s="237">
        <f t="shared" si="1"/>
        <v>0</v>
      </c>
      <c r="I25" s="237"/>
      <c r="J25" s="237"/>
      <c r="K25" s="237">
        <f t="shared" si="2"/>
        <v>0</v>
      </c>
      <c r="L25" s="206"/>
    </row>
    <row r="26" spans="1:12" ht="15.6">
      <c r="A26" s="983" t="s">
        <v>151</v>
      </c>
      <c r="B26" s="983" t="s">
        <v>910</v>
      </c>
      <c r="C26" s="230"/>
      <c r="D26" s="237">
        <f t="shared" si="3"/>
        <v>0</v>
      </c>
      <c r="E26" s="237"/>
      <c r="F26" s="238">
        <f t="shared" si="4"/>
        <v>4.2249999999999996E-3</v>
      </c>
      <c r="G26" s="329">
        <f t="shared" si="0"/>
        <v>7</v>
      </c>
      <c r="H26" s="237">
        <f t="shared" si="1"/>
        <v>0</v>
      </c>
      <c r="I26" s="237"/>
      <c r="J26" s="237"/>
      <c r="K26" s="237">
        <f t="shared" si="2"/>
        <v>0</v>
      </c>
      <c r="L26" s="206"/>
    </row>
    <row r="27" spans="1:12" ht="15.6">
      <c r="A27" s="983" t="s">
        <v>149</v>
      </c>
      <c r="B27" s="983" t="s">
        <v>910</v>
      </c>
      <c r="C27" s="230"/>
      <c r="D27" s="237">
        <f t="shared" si="3"/>
        <v>0</v>
      </c>
      <c r="E27" s="237"/>
      <c r="F27" s="238">
        <f t="shared" si="4"/>
        <v>4.2249999999999996E-3</v>
      </c>
      <c r="G27" s="329">
        <f t="shared" si="0"/>
        <v>6</v>
      </c>
      <c r="H27" s="237">
        <f t="shared" si="1"/>
        <v>0</v>
      </c>
      <c r="I27" s="237"/>
      <c r="J27" s="237"/>
      <c r="K27" s="237">
        <f t="shared" si="2"/>
        <v>0</v>
      </c>
      <c r="L27" s="206"/>
    </row>
    <row r="28" spans="1:12" ht="15.6">
      <c r="A28" s="983" t="s">
        <v>158</v>
      </c>
      <c r="B28" s="983" t="s">
        <v>911</v>
      </c>
      <c r="C28" s="230"/>
      <c r="D28" s="237">
        <f t="shared" si="3"/>
        <v>0</v>
      </c>
      <c r="E28" s="237"/>
      <c r="F28" s="238">
        <f t="shared" si="4"/>
        <v>4.2249999999999996E-3</v>
      </c>
      <c r="G28" s="329">
        <f t="shared" si="0"/>
        <v>5</v>
      </c>
      <c r="H28" s="237">
        <f t="shared" si="1"/>
        <v>0</v>
      </c>
      <c r="I28" s="237"/>
      <c r="J28" s="237"/>
      <c r="K28" s="237">
        <f t="shared" si="2"/>
        <v>0</v>
      </c>
      <c r="L28" s="206"/>
    </row>
    <row r="29" spans="1:12" ht="15.6">
      <c r="A29" s="983" t="s">
        <v>157</v>
      </c>
      <c r="B29" s="983" t="s">
        <v>911</v>
      </c>
      <c r="C29" s="230"/>
      <c r="D29" s="237">
        <f t="shared" si="3"/>
        <v>0</v>
      </c>
      <c r="E29" s="237"/>
      <c r="F29" s="238">
        <f t="shared" si="4"/>
        <v>4.2249999999999996E-3</v>
      </c>
      <c r="G29" s="329">
        <f t="shared" si="0"/>
        <v>4</v>
      </c>
      <c r="H29" s="237">
        <f t="shared" si="1"/>
        <v>0</v>
      </c>
      <c r="I29" s="237"/>
      <c r="J29" s="237"/>
      <c r="K29" s="237">
        <f t="shared" si="2"/>
        <v>0</v>
      </c>
      <c r="L29" s="206"/>
    </row>
    <row r="30" spans="1:12" ht="15.6">
      <c r="A30" s="983" t="s">
        <v>871</v>
      </c>
      <c r="B30" s="983" t="s">
        <v>911</v>
      </c>
      <c r="C30" s="230"/>
      <c r="D30" s="237">
        <f t="shared" si="3"/>
        <v>0</v>
      </c>
      <c r="E30" s="237"/>
      <c r="F30" s="238">
        <f t="shared" si="4"/>
        <v>4.2249999999999996E-3</v>
      </c>
      <c r="G30" s="329">
        <f t="shared" si="0"/>
        <v>3</v>
      </c>
      <c r="H30" s="237">
        <f t="shared" si="1"/>
        <v>0</v>
      </c>
      <c r="I30" s="237"/>
      <c r="J30" s="237"/>
      <c r="K30" s="237">
        <f t="shared" si="2"/>
        <v>0</v>
      </c>
      <c r="L30" s="206"/>
    </row>
    <row r="31" spans="1:12" ht="15.6">
      <c r="A31" s="983" t="s">
        <v>141</v>
      </c>
      <c r="B31" s="983" t="s">
        <v>911</v>
      </c>
      <c r="C31" s="230"/>
      <c r="D31" s="237">
        <f t="shared" si="3"/>
        <v>0</v>
      </c>
      <c r="E31" s="237"/>
      <c r="F31" s="238">
        <f t="shared" si="4"/>
        <v>4.2249999999999996E-3</v>
      </c>
      <c r="G31" s="329">
        <f t="shared" si="0"/>
        <v>2</v>
      </c>
      <c r="H31" s="237">
        <f t="shared" si="1"/>
        <v>0</v>
      </c>
      <c r="I31" s="237"/>
      <c r="J31" s="237"/>
      <c r="K31" s="237">
        <f t="shared" si="2"/>
        <v>0</v>
      </c>
      <c r="L31" s="206"/>
    </row>
    <row r="32" spans="1:12" ht="15.6">
      <c r="A32" s="983" t="s">
        <v>138</v>
      </c>
      <c r="B32" s="983" t="s">
        <v>911</v>
      </c>
      <c r="C32" s="230"/>
      <c r="D32" s="237">
        <f t="shared" si="3"/>
        <v>0</v>
      </c>
      <c r="E32" s="237"/>
      <c r="F32" s="238">
        <f t="shared" si="4"/>
        <v>4.2249999999999996E-3</v>
      </c>
      <c r="G32" s="329">
        <f t="shared" si="0"/>
        <v>1</v>
      </c>
      <c r="H32" s="224">
        <f t="shared" si="1"/>
        <v>0</v>
      </c>
      <c r="I32" s="237"/>
      <c r="J32" s="237"/>
      <c r="K32" s="237">
        <f t="shared" si="2"/>
        <v>0</v>
      </c>
      <c r="L32" s="206"/>
    </row>
    <row r="33" spans="1:13" ht="15.6">
      <c r="A33" s="230"/>
      <c r="B33" s="984"/>
      <c r="C33" s="230"/>
      <c r="D33" s="237"/>
      <c r="E33" s="237"/>
      <c r="F33" s="238"/>
      <c r="G33" s="329"/>
      <c r="H33" s="237">
        <f>SUM(H21:H32)</f>
        <v>0</v>
      </c>
      <c r="I33" s="237"/>
      <c r="J33" s="237"/>
      <c r="K33" s="239">
        <f>SUM(K21:K32)</f>
        <v>0</v>
      </c>
      <c r="L33" s="206"/>
    </row>
    <row r="34" spans="1:13" ht="15.6">
      <c r="A34" s="230"/>
      <c r="B34" s="984"/>
      <c r="C34" s="230"/>
      <c r="D34" s="237"/>
      <c r="E34" s="237"/>
      <c r="F34" s="238"/>
      <c r="G34" s="237"/>
      <c r="H34" s="237"/>
      <c r="I34" s="237" t="s">
        <v>28</v>
      </c>
      <c r="J34" s="237"/>
      <c r="K34" s="206"/>
      <c r="L34" s="206"/>
    </row>
    <row r="35" spans="1:13" ht="15.6">
      <c r="A35" s="230"/>
      <c r="B35" s="984"/>
      <c r="C35" s="230"/>
      <c r="D35" s="214"/>
      <c r="E35" s="214"/>
      <c r="F35" s="238"/>
      <c r="G35" s="237"/>
      <c r="H35" s="240" t="s">
        <v>255</v>
      </c>
      <c r="I35" s="237"/>
      <c r="J35" s="237"/>
      <c r="K35" s="237"/>
      <c r="L35" s="206"/>
    </row>
    <row r="36" spans="1:13" ht="15.6">
      <c r="A36" s="985" t="s">
        <v>909</v>
      </c>
      <c r="B36" s="984"/>
      <c r="C36" s="230"/>
      <c r="D36" s="214">
        <f>K33</f>
        <v>0</v>
      </c>
      <c r="E36" s="214"/>
      <c r="F36" s="238">
        <f>+F32</f>
        <v>4.2249999999999996E-3</v>
      </c>
      <c r="G36" s="237">
        <v>12</v>
      </c>
      <c r="H36" s="237">
        <f>+G36*F36*D36</f>
        <v>0</v>
      </c>
      <c r="I36" s="237"/>
      <c r="J36" s="237"/>
      <c r="K36" s="239">
        <f>+D36+H36</f>
        <v>0</v>
      </c>
      <c r="L36" s="206"/>
    </row>
    <row r="37" spans="1:13" ht="15.6">
      <c r="A37" s="230"/>
      <c r="B37" s="230"/>
      <c r="C37" s="230"/>
      <c r="D37" s="214"/>
      <c r="E37" s="214"/>
      <c r="F37" s="238"/>
      <c r="G37" s="230"/>
      <c r="H37" s="237"/>
      <c r="I37" s="237"/>
      <c r="J37" s="237"/>
      <c r="K37" s="237"/>
      <c r="L37" s="206"/>
    </row>
    <row r="38" spans="1:13" ht="15.6">
      <c r="A38" s="241" t="s">
        <v>256</v>
      </c>
      <c r="B38" s="230"/>
      <c r="C38" s="230"/>
      <c r="D38" s="237"/>
      <c r="E38" s="237"/>
      <c r="F38" s="238"/>
      <c r="G38" s="230"/>
      <c r="H38" s="240" t="s">
        <v>253</v>
      </c>
      <c r="I38" s="237"/>
      <c r="J38" s="237"/>
      <c r="K38" s="237"/>
      <c r="L38" s="206"/>
    </row>
    <row r="39" spans="1:13" ht="15.6">
      <c r="A39" s="230" t="s">
        <v>254</v>
      </c>
      <c r="B39" s="983">
        <v>2025</v>
      </c>
      <c r="C39" s="230"/>
      <c r="D39" s="242">
        <f>-K36</f>
        <v>0</v>
      </c>
      <c r="E39" s="214"/>
      <c r="F39" s="238">
        <f>+F32</f>
        <v>4.2249999999999996E-3</v>
      </c>
      <c r="G39" s="230"/>
      <c r="H39" s="237">
        <f xml:space="preserve"> -F39*D39</f>
        <v>0</v>
      </c>
      <c r="I39" s="237">
        <f>PMT(F39,12,K$36)</f>
        <v>0</v>
      </c>
      <c r="J39" s="237"/>
      <c r="K39" s="237">
        <f>(+D39+D39*F39-I39)*-1</f>
        <v>0</v>
      </c>
      <c r="L39" s="207"/>
      <c r="M39" s="208"/>
    </row>
    <row r="40" spans="1:13" ht="15.6">
      <c r="A40" s="230" t="s">
        <v>155</v>
      </c>
      <c r="B40" s="983">
        <f>+B39</f>
        <v>2025</v>
      </c>
      <c r="C40" s="230"/>
      <c r="D40" s="214">
        <f>-K39</f>
        <v>0</v>
      </c>
      <c r="E40" s="214"/>
      <c r="F40" s="238">
        <f>+F39</f>
        <v>4.2249999999999996E-3</v>
      </c>
      <c r="G40" s="230"/>
      <c r="H40" s="237">
        <f t="shared" ref="H40:H50" si="5" xml:space="preserve"> -F40*D40</f>
        <v>0</v>
      </c>
      <c r="I40" s="237">
        <f>I39</f>
        <v>0</v>
      </c>
      <c r="J40" s="237"/>
      <c r="K40" s="237">
        <f t="shared" ref="K40:K50" si="6">(+D40+D40*F40-I40)*-1</f>
        <v>0</v>
      </c>
      <c r="L40" s="207"/>
      <c r="M40" s="208"/>
    </row>
    <row r="41" spans="1:13" ht="15.6">
      <c r="A41" s="230" t="s">
        <v>154</v>
      </c>
      <c r="B41" s="983">
        <f>+B40</f>
        <v>2025</v>
      </c>
      <c r="C41" s="230"/>
      <c r="D41" s="214">
        <f t="shared" ref="D41:D50" si="7">-K40</f>
        <v>0</v>
      </c>
      <c r="E41" s="214"/>
      <c r="F41" s="238">
        <f t="shared" ref="F41:F50" si="8">+F40</f>
        <v>4.2249999999999996E-3</v>
      </c>
      <c r="G41" s="230"/>
      <c r="H41" s="237">
        <f t="shared" si="5"/>
        <v>0</v>
      </c>
      <c r="I41" s="237">
        <f t="shared" ref="I41:I50" si="9">I40</f>
        <v>0</v>
      </c>
      <c r="J41" s="237"/>
      <c r="K41" s="237">
        <f t="shared" si="6"/>
        <v>0</v>
      </c>
      <c r="L41" s="207"/>
      <c r="M41" s="208"/>
    </row>
    <row r="42" spans="1:13" ht="15.6">
      <c r="A42" s="230" t="s">
        <v>153</v>
      </c>
      <c r="B42" s="983">
        <f>+B41</f>
        <v>2025</v>
      </c>
      <c r="C42" s="230"/>
      <c r="D42" s="214">
        <f t="shared" si="7"/>
        <v>0</v>
      </c>
      <c r="E42" s="214"/>
      <c r="F42" s="238">
        <f t="shared" si="8"/>
        <v>4.2249999999999996E-3</v>
      </c>
      <c r="G42" s="230"/>
      <c r="H42" s="237">
        <f t="shared" si="5"/>
        <v>0</v>
      </c>
      <c r="I42" s="237">
        <f t="shared" si="9"/>
        <v>0</v>
      </c>
      <c r="J42" s="237"/>
      <c r="K42" s="237">
        <f t="shared" si="6"/>
        <v>0</v>
      </c>
      <c r="L42" s="207"/>
      <c r="M42" s="208"/>
    </row>
    <row r="43" spans="1:13" ht="15.6">
      <c r="A43" s="230" t="s">
        <v>164</v>
      </c>
      <c r="B43" s="983">
        <f>+B42</f>
        <v>2025</v>
      </c>
      <c r="C43" s="230"/>
      <c r="D43" s="214">
        <f t="shared" si="7"/>
        <v>0</v>
      </c>
      <c r="E43" s="214"/>
      <c r="F43" s="238">
        <f t="shared" si="8"/>
        <v>4.2249999999999996E-3</v>
      </c>
      <c r="G43" s="230"/>
      <c r="H43" s="237">
        <f t="shared" si="5"/>
        <v>0</v>
      </c>
      <c r="I43" s="237">
        <f t="shared" si="9"/>
        <v>0</v>
      </c>
      <c r="J43" s="237"/>
      <c r="K43" s="237">
        <f t="shared" si="6"/>
        <v>0</v>
      </c>
      <c r="L43" s="207"/>
      <c r="M43" s="208"/>
    </row>
    <row r="44" spans="1:13" ht="15.6">
      <c r="A44" s="230" t="s">
        <v>151</v>
      </c>
      <c r="B44" s="983">
        <f>B43</f>
        <v>2025</v>
      </c>
      <c r="C44" s="228"/>
      <c r="D44" s="214">
        <f t="shared" si="7"/>
        <v>0</v>
      </c>
      <c r="E44" s="214"/>
      <c r="F44" s="238">
        <f t="shared" si="8"/>
        <v>4.2249999999999996E-3</v>
      </c>
      <c r="G44" s="230"/>
      <c r="H44" s="237">
        <f t="shared" si="5"/>
        <v>0</v>
      </c>
      <c r="I44" s="237">
        <f t="shared" si="9"/>
        <v>0</v>
      </c>
      <c r="J44" s="237"/>
      <c r="K44" s="237">
        <f t="shared" si="6"/>
        <v>0</v>
      </c>
      <c r="L44" s="207"/>
      <c r="M44" s="208"/>
    </row>
    <row r="45" spans="1:13" ht="15.6">
      <c r="A45" s="230" t="s">
        <v>149</v>
      </c>
      <c r="B45" s="983">
        <f t="shared" ref="B45:B50" si="10">+B44</f>
        <v>2025</v>
      </c>
      <c r="C45" s="230"/>
      <c r="D45" s="214">
        <f t="shared" si="7"/>
        <v>0</v>
      </c>
      <c r="E45" s="214"/>
      <c r="F45" s="238">
        <f t="shared" si="8"/>
        <v>4.2249999999999996E-3</v>
      </c>
      <c r="G45" s="230"/>
      <c r="H45" s="237">
        <f t="shared" si="5"/>
        <v>0</v>
      </c>
      <c r="I45" s="237">
        <f t="shared" si="9"/>
        <v>0</v>
      </c>
      <c r="J45" s="237"/>
      <c r="K45" s="237">
        <f t="shared" si="6"/>
        <v>0</v>
      </c>
      <c r="L45" s="207"/>
      <c r="M45" s="208"/>
    </row>
    <row r="46" spans="1:13" ht="15.6">
      <c r="A46" s="230" t="s">
        <v>907</v>
      </c>
      <c r="B46" s="983" t="s">
        <v>912</v>
      </c>
      <c r="C46" s="230"/>
      <c r="D46" s="214">
        <f t="shared" si="7"/>
        <v>0</v>
      </c>
      <c r="E46" s="214"/>
      <c r="F46" s="238">
        <f t="shared" si="8"/>
        <v>4.2249999999999996E-3</v>
      </c>
      <c r="G46" s="230"/>
      <c r="H46" s="237">
        <f t="shared" si="5"/>
        <v>0</v>
      </c>
      <c r="I46" s="237">
        <f t="shared" si="9"/>
        <v>0</v>
      </c>
      <c r="J46" s="237"/>
      <c r="K46" s="237">
        <f t="shared" si="6"/>
        <v>0</v>
      </c>
      <c r="L46" s="207"/>
      <c r="M46" s="208"/>
    </row>
    <row r="47" spans="1:13" ht="15.6">
      <c r="A47" s="230" t="s">
        <v>157</v>
      </c>
      <c r="B47" s="983" t="str">
        <f t="shared" si="10"/>
        <v>2026</v>
      </c>
      <c r="C47" s="230"/>
      <c r="D47" s="214">
        <f t="shared" si="7"/>
        <v>0</v>
      </c>
      <c r="E47" s="214"/>
      <c r="F47" s="238">
        <f t="shared" si="8"/>
        <v>4.2249999999999996E-3</v>
      </c>
      <c r="G47" s="230"/>
      <c r="H47" s="237">
        <f t="shared" si="5"/>
        <v>0</v>
      </c>
      <c r="I47" s="237">
        <f t="shared" si="9"/>
        <v>0</v>
      </c>
      <c r="J47" s="237"/>
      <c r="K47" s="237">
        <f t="shared" si="6"/>
        <v>0</v>
      </c>
      <c r="L47" s="207"/>
      <c r="M47" s="208"/>
    </row>
    <row r="48" spans="1:13" ht="15.6">
      <c r="A48" s="230" t="s">
        <v>156</v>
      </c>
      <c r="B48" s="983" t="str">
        <f t="shared" si="10"/>
        <v>2026</v>
      </c>
      <c r="C48" s="230"/>
      <c r="D48" s="214">
        <f t="shared" si="7"/>
        <v>0</v>
      </c>
      <c r="E48" s="214"/>
      <c r="F48" s="238">
        <f t="shared" si="8"/>
        <v>4.2249999999999996E-3</v>
      </c>
      <c r="G48" s="230"/>
      <c r="H48" s="237">
        <f t="shared" si="5"/>
        <v>0</v>
      </c>
      <c r="I48" s="237">
        <f t="shared" si="9"/>
        <v>0</v>
      </c>
      <c r="J48" s="237"/>
      <c r="K48" s="237">
        <f t="shared" si="6"/>
        <v>0</v>
      </c>
      <c r="L48" s="207"/>
      <c r="M48" s="208"/>
    </row>
    <row r="49" spans="1:13" ht="15.6">
      <c r="A49" s="230" t="s">
        <v>141</v>
      </c>
      <c r="B49" s="983" t="str">
        <f t="shared" si="10"/>
        <v>2026</v>
      </c>
      <c r="C49" s="230"/>
      <c r="D49" s="214">
        <f t="shared" si="7"/>
        <v>0</v>
      </c>
      <c r="E49" s="214"/>
      <c r="F49" s="238">
        <f t="shared" si="8"/>
        <v>4.2249999999999996E-3</v>
      </c>
      <c r="G49" s="230"/>
      <c r="H49" s="237">
        <f t="shared" si="5"/>
        <v>0</v>
      </c>
      <c r="I49" s="237">
        <f t="shared" si="9"/>
        <v>0</v>
      </c>
      <c r="J49" s="237"/>
      <c r="K49" s="237">
        <f t="shared" si="6"/>
        <v>0</v>
      </c>
      <c r="L49" s="207"/>
      <c r="M49" s="208"/>
    </row>
    <row r="50" spans="1:13" ht="15.6">
      <c r="A50" s="230" t="s">
        <v>138</v>
      </c>
      <c r="B50" s="983" t="str">
        <f t="shared" si="10"/>
        <v>2026</v>
      </c>
      <c r="C50" s="230"/>
      <c r="D50" s="214">
        <f t="shared" si="7"/>
        <v>0</v>
      </c>
      <c r="E50" s="214"/>
      <c r="F50" s="238">
        <f t="shared" si="8"/>
        <v>4.2249999999999996E-3</v>
      </c>
      <c r="G50" s="230"/>
      <c r="H50" s="224">
        <f t="shared" si="5"/>
        <v>0</v>
      </c>
      <c r="I50" s="237">
        <f t="shared" si="9"/>
        <v>0</v>
      </c>
      <c r="J50" s="237"/>
      <c r="K50" s="237">
        <f t="shared" si="6"/>
        <v>0</v>
      </c>
      <c r="L50" s="207"/>
      <c r="M50" s="208"/>
    </row>
    <row r="51" spans="1:13" ht="15.6">
      <c r="A51" s="230"/>
      <c r="B51" s="230"/>
      <c r="C51" s="230"/>
      <c r="D51" s="214"/>
      <c r="E51" s="214"/>
      <c r="F51" s="238"/>
      <c r="G51" s="230"/>
      <c r="H51" s="237">
        <f>SUM(H39:H50)</f>
        <v>0</v>
      </c>
      <c r="I51" s="237"/>
      <c r="J51" s="237"/>
      <c r="K51" s="237"/>
      <c r="L51" s="207"/>
      <c r="M51" s="208"/>
    </row>
    <row r="52" spans="1:13">
      <c r="A52" s="206"/>
      <c r="B52" s="206"/>
      <c r="C52" s="206"/>
      <c r="D52" s="206"/>
      <c r="E52" s="206"/>
      <c r="F52" s="206"/>
      <c r="G52" s="206"/>
      <c r="H52" s="206"/>
      <c r="I52" s="206"/>
      <c r="J52" s="206"/>
      <c r="K52" s="206"/>
      <c r="L52" s="206"/>
    </row>
    <row r="53" spans="1:13" ht="15.6">
      <c r="A53" s="230" t="s">
        <v>257</v>
      </c>
      <c r="B53" s="206"/>
      <c r="C53" s="206"/>
      <c r="D53" s="206"/>
      <c r="E53" s="206"/>
      <c r="F53" s="206"/>
      <c r="G53" s="206"/>
      <c r="H53" s="206"/>
      <c r="I53" s="243">
        <f>SUM(I39:I50)*-1</f>
        <v>0</v>
      </c>
      <c r="J53" s="206"/>
      <c r="K53" s="206"/>
      <c r="L53" s="206"/>
    </row>
    <row r="54" spans="1:13" ht="15.6">
      <c r="A54" s="230" t="s">
        <v>258</v>
      </c>
      <c r="B54" s="206"/>
      <c r="C54" s="206"/>
      <c r="D54" s="206"/>
      <c r="E54" s="206"/>
      <c r="F54" s="206"/>
      <c r="G54" s="206"/>
      <c r="H54" s="206"/>
      <c r="I54" s="243">
        <f>+G9</f>
        <v>0</v>
      </c>
      <c r="J54" s="206"/>
      <c r="K54" s="206"/>
      <c r="L54" s="206"/>
    </row>
    <row r="55" spans="1:13" ht="15.6">
      <c r="A55" s="230" t="s">
        <v>259</v>
      </c>
      <c r="B55" s="206"/>
      <c r="C55" s="206"/>
      <c r="D55" s="206"/>
      <c r="E55" s="206"/>
      <c r="F55" s="206"/>
      <c r="G55" s="206"/>
      <c r="H55" s="206"/>
      <c r="I55" s="243">
        <f>(I53+I54)</f>
        <v>0</v>
      </c>
      <c r="J55" s="206"/>
      <c r="K55" s="206"/>
      <c r="L55" s="206"/>
    </row>
    <row r="57" spans="1:13" ht="15.6">
      <c r="A57" s="230" t="s">
        <v>772</v>
      </c>
      <c r="F57" s="209"/>
      <c r="I57" s="445"/>
    </row>
    <row r="58" spans="1:13" ht="15.6">
      <c r="A58" s="986" t="s">
        <v>913</v>
      </c>
      <c r="B58" s="987"/>
      <c r="C58" s="987"/>
      <c r="D58" s="987"/>
      <c r="E58" s="987"/>
      <c r="F58" s="987"/>
      <c r="G58" s="987"/>
      <c r="H58" s="987"/>
      <c r="I58" s="987"/>
    </row>
    <row r="59" spans="1:13" ht="15.6">
      <c r="A59" s="230"/>
      <c r="F59" s="209"/>
      <c r="I59" s="210"/>
    </row>
    <row r="60" spans="1:13">
      <c r="D60" s="211"/>
      <c r="F60" s="209"/>
      <c r="I60" s="210"/>
    </row>
    <row r="61" spans="1:13">
      <c r="I61" s="211"/>
    </row>
  </sheetData>
  <mergeCells count="3">
    <mergeCell ref="A1:K1"/>
    <mergeCell ref="A2:K2"/>
    <mergeCell ref="A3:K3"/>
  </mergeCells>
  <phoneticPr fontId="61" type="noConversion"/>
  <pageMargins left="0.75" right="0.75" top="1" bottom="1" header="0.5" footer="0.5"/>
  <pageSetup scale="5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L22"/>
  <sheetViews>
    <sheetView zoomScaleNormal="100" zoomScaleSheetLayoutView="80" workbookViewId="0">
      <selection activeCell="C4" sqref="C4"/>
    </sheetView>
  </sheetViews>
  <sheetFormatPr defaultRowHeight="15"/>
  <cols>
    <col min="5" max="5" width="27.7265625" customWidth="1"/>
    <col min="6" max="6" width="12.81640625" customWidth="1"/>
    <col min="8" max="8" width="13.81640625" customWidth="1"/>
    <col min="10" max="10" width="2.54296875" customWidth="1"/>
  </cols>
  <sheetData>
    <row r="1" spans="1:12">
      <c r="K1" t="s">
        <v>436</v>
      </c>
    </row>
    <row r="2" spans="1:12">
      <c r="A2" s="533" t="s">
        <v>390</v>
      </c>
      <c r="B2" s="533"/>
      <c r="C2" s="532"/>
      <c r="D2" s="534"/>
      <c r="E2" s="532"/>
      <c r="F2" s="535"/>
      <c r="G2" s="535"/>
      <c r="H2" s="535"/>
      <c r="I2" s="535"/>
      <c r="J2" s="535"/>
      <c r="K2" s="535" t="s">
        <v>392</v>
      </c>
      <c r="L2" s="535"/>
    </row>
    <row r="3" spans="1:12">
      <c r="A3" s="532"/>
      <c r="B3" s="532"/>
      <c r="C3" s="532"/>
      <c r="D3" s="534"/>
      <c r="E3" s="532"/>
      <c r="F3" s="535"/>
      <c r="G3" s="536"/>
      <c r="H3" s="879" t="s">
        <v>776</v>
      </c>
      <c r="I3" s="535"/>
      <c r="J3" s="535"/>
      <c r="K3" s="535"/>
      <c r="L3" s="535"/>
    </row>
    <row r="4" spans="1:12">
      <c r="A4" s="532"/>
      <c r="B4" s="532"/>
      <c r="C4" s="532"/>
      <c r="D4" s="535"/>
      <c r="E4" s="535"/>
      <c r="F4" s="535"/>
      <c r="G4" s="536"/>
      <c r="H4" s="879" t="s">
        <v>777</v>
      </c>
      <c r="I4" s="535"/>
      <c r="J4" s="535"/>
      <c r="K4" s="535"/>
      <c r="L4" s="535"/>
    </row>
    <row r="5" spans="1:12">
      <c r="A5" s="532"/>
      <c r="B5" s="532"/>
      <c r="C5" s="532"/>
      <c r="D5" s="546" t="s">
        <v>384</v>
      </c>
      <c r="E5" s="537"/>
      <c r="F5" s="547"/>
      <c r="G5" s="536"/>
      <c r="H5" s="988" t="s">
        <v>775</v>
      </c>
      <c r="I5" s="536"/>
      <c r="J5" s="538"/>
      <c r="K5" s="538"/>
      <c r="L5" s="538"/>
    </row>
    <row r="6" spans="1:12">
      <c r="A6" s="532">
        <v>1</v>
      </c>
      <c r="B6" s="532"/>
      <c r="C6" s="532"/>
      <c r="D6" s="534" t="s">
        <v>890</v>
      </c>
      <c r="E6" s="536"/>
      <c r="F6" s="535"/>
      <c r="G6" s="536"/>
      <c r="H6" s="1014">
        <v>4.6899999999999997E-2</v>
      </c>
      <c r="I6" s="536"/>
      <c r="J6" s="538"/>
      <c r="K6" s="538"/>
      <c r="L6" s="538"/>
    </row>
    <row r="7" spans="1:12">
      <c r="A7" s="532">
        <f>A6+1</f>
        <v>2</v>
      </c>
      <c r="B7" s="532"/>
      <c r="C7" s="532"/>
      <c r="D7" s="534" t="s">
        <v>385</v>
      </c>
      <c r="E7" s="535"/>
      <c r="F7" s="535"/>
      <c r="G7" s="536"/>
      <c r="H7" s="1015">
        <v>4.9599999999999998E-2</v>
      </c>
      <c r="I7" s="536"/>
      <c r="J7" s="539"/>
      <c r="K7" s="539"/>
      <c r="L7" s="539"/>
    </row>
    <row r="8" spans="1:12">
      <c r="A8" s="532">
        <f>A7+1</f>
        <v>3</v>
      </c>
      <c r="B8" s="532"/>
      <c r="C8" s="532"/>
      <c r="D8" s="534" t="s">
        <v>386</v>
      </c>
      <c r="E8" s="535"/>
      <c r="F8" s="535"/>
      <c r="G8" s="536"/>
      <c r="H8" s="1015">
        <v>5.1799999999999999E-2</v>
      </c>
      <c r="I8" s="536"/>
      <c r="J8" s="539"/>
      <c r="K8" s="539"/>
      <c r="L8" s="539"/>
    </row>
    <row r="9" spans="1:12">
      <c r="A9" s="532">
        <f>A8+1</f>
        <v>4</v>
      </c>
      <c r="B9" s="532"/>
      <c r="C9" s="532"/>
      <c r="D9" s="534" t="s">
        <v>387</v>
      </c>
      <c r="E9" s="535"/>
      <c r="F9" s="535"/>
      <c r="G9" s="536"/>
      <c r="H9" s="1015">
        <v>5.45E-2</v>
      </c>
      <c r="I9" s="536"/>
      <c r="J9" s="539"/>
      <c r="K9" s="539"/>
      <c r="L9" s="539"/>
    </row>
    <row r="10" spans="1:12">
      <c r="A10" s="532">
        <f>A9+1</f>
        <v>5</v>
      </c>
      <c r="B10" s="532"/>
      <c r="C10" s="532"/>
      <c r="D10" s="534" t="s">
        <v>388</v>
      </c>
      <c r="E10" s="535"/>
      <c r="F10" s="535" t="s">
        <v>406</v>
      </c>
      <c r="G10" s="536"/>
      <c r="H10" s="942">
        <f>IF(SUM(H6:H9)=0,0,AVERAGE(H6:H9))</f>
        <v>5.0699999999999995E-2</v>
      </c>
      <c r="I10" s="536"/>
      <c r="J10" s="540"/>
      <c r="K10" s="540"/>
      <c r="L10" s="540"/>
    </row>
    <row r="11" spans="1:12">
      <c r="A11" s="532"/>
      <c r="B11" s="532"/>
      <c r="C11" s="532"/>
      <c r="D11" s="534"/>
      <c r="E11" s="535"/>
      <c r="F11" s="535"/>
      <c r="G11" s="536"/>
      <c r="H11" s="540"/>
      <c r="I11" s="536"/>
      <c r="J11" s="540"/>
      <c r="K11" s="540"/>
      <c r="L11" s="540"/>
    </row>
    <row r="12" spans="1:12">
      <c r="A12" s="532">
        <f>A10+1</f>
        <v>6</v>
      </c>
      <c r="B12" s="532"/>
      <c r="C12" s="532"/>
      <c r="D12" s="534" t="s">
        <v>389</v>
      </c>
      <c r="E12" s="535"/>
      <c r="F12" s="535"/>
      <c r="H12" s="942">
        <f>+H10</f>
        <v>5.0699999999999995E-2</v>
      </c>
      <c r="I12" s="544"/>
      <c r="J12" s="544"/>
      <c r="K12" s="544"/>
      <c r="L12" s="541"/>
    </row>
    <row r="13" spans="1:12">
      <c r="A13" s="532">
        <f>+A12+1</f>
        <v>7</v>
      </c>
      <c r="B13" s="532"/>
      <c r="C13" s="532"/>
      <c r="D13" s="534" t="s">
        <v>437</v>
      </c>
      <c r="E13" s="535"/>
      <c r="F13" s="535" t="s">
        <v>407</v>
      </c>
      <c r="G13" s="536"/>
      <c r="H13" s="942">
        <f>+H12/12</f>
        <v>4.2249999999999996E-3</v>
      </c>
      <c r="I13" s="535"/>
      <c r="J13" s="535"/>
      <c r="K13" s="535"/>
      <c r="L13" s="535"/>
    </row>
    <row r="14" spans="1:12">
      <c r="A14" s="532"/>
      <c r="B14" s="532"/>
      <c r="C14" s="536"/>
      <c r="D14" s="536"/>
      <c r="E14" s="536"/>
      <c r="F14" s="536"/>
      <c r="G14" s="536"/>
      <c r="H14" s="536"/>
      <c r="I14" s="536"/>
      <c r="J14" s="536"/>
      <c r="K14" s="536"/>
      <c r="L14" s="536"/>
    </row>
    <row r="15" spans="1:12">
      <c r="A15" s="532"/>
      <c r="B15" s="532"/>
      <c r="C15" s="542"/>
      <c r="D15" s="536"/>
      <c r="E15" s="536"/>
      <c r="F15" s="536"/>
      <c r="G15" s="536"/>
      <c r="H15" s="536"/>
      <c r="I15" s="536"/>
      <c r="J15" s="536"/>
      <c r="K15" s="536"/>
      <c r="L15" s="536"/>
    </row>
    <row r="16" spans="1:12" ht="30.75" customHeight="1">
      <c r="A16" s="543"/>
      <c r="B16" s="532"/>
      <c r="C16" s="545"/>
      <c r="D16" s="1226"/>
      <c r="E16" s="1227"/>
      <c r="F16" s="1227"/>
      <c r="G16" s="1227"/>
      <c r="H16" s="1227"/>
      <c r="I16" s="1227"/>
      <c r="J16" s="1227"/>
      <c r="K16" s="1227"/>
      <c r="L16" s="1227"/>
    </row>
    <row r="17" spans="1:12" ht="30" customHeight="1">
      <c r="A17" s="532"/>
      <c r="B17" s="532"/>
      <c r="C17" s="545"/>
      <c r="D17" s="1228"/>
      <c r="E17" s="1228"/>
      <c r="F17" s="1228"/>
      <c r="G17" s="1228"/>
      <c r="H17" s="1228"/>
      <c r="I17" s="1228"/>
      <c r="J17" s="1228"/>
      <c r="K17" s="1228"/>
      <c r="L17" s="1228"/>
    </row>
    <row r="18" spans="1:12">
      <c r="A18" s="532"/>
      <c r="B18" s="532"/>
      <c r="C18" s="532"/>
      <c r="D18" s="536"/>
      <c r="E18" s="536"/>
      <c r="F18" s="536"/>
      <c r="G18" s="536"/>
      <c r="H18" s="536"/>
      <c r="I18" s="536"/>
      <c r="J18" s="536"/>
      <c r="K18" s="536"/>
      <c r="L18" s="536"/>
    </row>
    <row r="19" spans="1:12">
      <c r="A19" s="532"/>
      <c r="B19" s="532"/>
      <c r="C19" s="532"/>
      <c r="E19" s="536"/>
      <c r="F19" s="536"/>
      <c r="G19" s="536"/>
      <c r="H19" s="536"/>
      <c r="I19" s="536"/>
      <c r="J19" s="536"/>
      <c r="K19" s="536"/>
      <c r="L19" s="536"/>
    </row>
    <row r="20" spans="1:12">
      <c r="A20" s="532"/>
      <c r="B20" s="532"/>
      <c r="C20" s="532"/>
      <c r="D20" s="536"/>
      <c r="E20" s="536"/>
      <c r="F20" s="536"/>
      <c r="G20" s="536"/>
      <c r="H20" s="536"/>
      <c r="I20" s="536"/>
      <c r="J20" s="536"/>
      <c r="K20" s="536"/>
      <c r="L20" s="536"/>
    </row>
    <row r="21" spans="1:12">
      <c r="A21" s="532"/>
      <c r="B21" s="532"/>
      <c r="C21" s="532"/>
      <c r="E21" s="536"/>
      <c r="F21" s="536"/>
      <c r="G21" s="536"/>
      <c r="H21" s="536"/>
      <c r="I21" s="536"/>
      <c r="J21" s="536"/>
      <c r="K21" s="536"/>
      <c r="L21" s="536"/>
    </row>
    <row r="22" spans="1:12">
      <c r="A22" s="532"/>
      <c r="B22" s="532"/>
      <c r="C22" s="532"/>
      <c r="D22" s="536"/>
      <c r="E22" s="536"/>
      <c r="F22" s="536"/>
      <c r="G22" s="536"/>
      <c r="H22" s="536"/>
      <c r="I22" s="536"/>
      <c r="J22" s="536"/>
      <c r="K22" s="536"/>
      <c r="L22" s="536"/>
    </row>
  </sheetData>
  <mergeCells count="2">
    <mergeCell ref="D16:L16"/>
    <mergeCell ref="D17:L17"/>
  </mergeCells>
  <pageMargins left="0.7" right="0.7" top="0.75" bottom="0.75" header="0.3" footer="0.3"/>
  <pageSetup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R112"/>
  <sheetViews>
    <sheetView zoomScaleNormal="100" workbookViewId="0">
      <selection activeCell="C4" sqref="C4"/>
    </sheetView>
  </sheetViews>
  <sheetFormatPr defaultRowHeight="15"/>
  <cols>
    <col min="1" max="1" width="7.54296875" customWidth="1"/>
    <col min="2" max="2" width="23.08984375" customWidth="1"/>
    <col min="3" max="3" width="50.81640625" customWidth="1"/>
    <col min="4" max="4" width="14.81640625" customWidth="1"/>
    <col min="8" max="8" width="23" style="87" customWidth="1"/>
    <col min="9" max="9" width="25.7265625" style="87" customWidth="1"/>
    <col min="10" max="10" width="13.7265625" style="87" customWidth="1"/>
  </cols>
  <sheetData>
    <row r="1" spans="1:18" ht="15.6">
      <c r="H1" s="430"/>
      <c r="I1" s="8"/>
      <c r="J1" s="431"/>
    </row>
    <row r="2" spans="1:18" ht="15.6">
      <c r="H2" s="430"/>
      <c r="I2" s="434"/>
      <c r="J2" s="432"/>
    </row>
    <row r="3" spans="1:18">
      <c r="H3" s="433"/>
      <c r="I3" s="434"/>
      <c r="J3" s="432"/>
    </row>
    <row r="4" spans="1:18">
      <c r="H4" s="433"/>
      <c r="I4" s="434"/>
      <c r="J4" s="432"/>
    </row>
    <row r="5" spans="1:18" ht="17.399999999999999">
      <c r="A5" s="1229" t="s">
        <v>896</v>
      </c>
      <c r="B5" s="1229"/>
      <c r="C5" s="1229"/>
      <c r="D5" s="1229"/>
      <c r="E5" s="1229"/>
      <c r="H5" s="433"/>
      <c r="I5" s="434"/>
      <c r="J5" s="432"/>
    </row>
    <row r="6" spans="1:18" ht="15.6">
      <c r="A6" s="1230" t="str">
        <f>'Appendix A'!$E$9</f>
        <v>HURLEY AVENUE PROJECT - SYSTEM DELIVERABILITY UPGRADE</v>
      </c>
      <c r="B6" s="1230"/>
      <c r="C6" s="1230"/>
      <c r="D6" s="1230"/>
      <c r="E6" s="1230"/>
      <c r="F6" s="337"/>
      <c r="G6" s="337"/>
      <c r="H6" s="433"/>
      <c r="I6" s="434"/>
      <c r="J6" s="432"/>
      <c r="K6" s="337"/>
      <c r="L6" s="337"/>
      <c r="M6" s="337"/>
      <c r="N6" s="337"/>
      <c r="O6" s="337"/>
    </row>
    <row r="7" spans="1:18">
      <c r="A7" s="132"/>
      <c r="B7" s="132"/>
      <c r="C7" s="132"/>
      <c r="D7" s="132"/>
      <c r="E7" s="132"/>
      <c r="H7" s="433"/>
      <c r="I7" s="434"/>
      <c r="J7" s="432"/>
    </row>
    <row r="8" spans="1:18">
      <c r="A8" s="132"/>
      <c r="B8" s="132"/>
      <c r="C8" s="336"/>
      <c r="D8" s="132"/>
      <c r="E8" s="132"/>
      <c r="H8" s="433"/>
      <c r="I8" s="434"/>
      <c r="J8" s="432"/>
    </row>
    <row r="9" spans="1:18" ht="30">
      <c r="A9" s="448"/>
      <c r="B9" s="336" t="s">
        <v>19</v>
      </c>
      <c r="C9" s="331" t="s">
        <v>285</v>
      </c>
      <c r="D9" s="431" t="s">
        <v>21</v>
      </c>
      <c r="E9" s="132"/>
      <c r="H9" s="433"/>
      <c r="I9" s="434"/>
      <c r="J9" s="432"/>
    </row>
    <row r="10" spans="1:18">
      <c r="A10" s="132"/>
      <c r="E10" s="132"/>
      <c r="H10" s="433"/>
      <c r="I10" s="434"/>
      <c r="J10" s="432"/>
    </row>
    <row r="11" spans="1:18" ht="15.6">
      <c r="A11" s="87"/>
      <c r="B11" s="430" t="s">
        <v>20</v>
      </c>
      <c r="E11" s="132"/>
      <c r="H11" s="574"/>
      <c r="I11"/>
      <c r="J11"/>
      <c r="K11" s="564"/>
      <c r="L11" s="564"/>
      <c r="M11" s="564"/>
      <c r="N11" s="564"/>
      <c r="O11" s="564"/>
      <c r="P11" s="564"/>
    </row>
    <row r="12" spans="1:18">
      <c r="A12" s="87"/>
      <c r="B12" s="331"/>
      <c r="C12" s="331"/>
      <c r="D12" s="331"/>
      <c r="E12" s="132"/>
      <c r="H12" s="574"/>
      <c r="M12" s="565"/>
      <c r="N12" s="565"/>
      <c r="O12" s="565"/>
      <c r="P12" s="565"/>
      <c r="Q12" s="565"/>
      <c r="R12" s="564"/>
    </row>
    <row r="13" spans="1:18">
      <c r="A13" s="87">
        <v>1</v>
      </c>
      <c r="B13" s="449">
        <v>350.1</v>
      </c>
      <c r="C13" s="449" t="s">
        <v>365</v>
      </c>
      <c r="D13" s="1017">
        <v>1.11E-2</v>
      </c>
      <c r="E13" s="132"/>
      <c r="H13" s="574"/>
      <c r="M13" s="565"/>
      <c r="N13" s="565"/>
      <c r="O13" s="565"/>
      <c r="P13" s="565"/>
      <c r="Q13" s="565"/>
      <c r="R13" s="564"/>
    </row>
    <row r="14" spans="1:18">
      <c r="A14" s="87"/>
      <c r="B14" s="331"/>
      <c r="C14" s="331"/>
      <c r="D14" s="1016"/>
      <c r="E14" s="132"/>
      <c r="H14" s="574"/>
      <c r="M14" s="565"/>
      <c r="N14" s="565"/>
      <c r="O14" s="565"/>
      <c r="P14" s="565"/>
      <c r="Q14" s="565"/>
      <c r="R14" s="564"/>
    </row>
    <row r="15" spans="1:18">
      <c r="A15" s="87">
        <f>+A13+1</f>
        <v>2</v>
      </c>
      <c r="B15" s="449">
        <v>352</v>
      </c>
      <c r="C15" t="s">
        <v>13</v>
      </c>
      <c r="D15" s="1017">
        <v>1.44E-2</v>
      </c>
      <c r="E15" s="132"/>
      <c r="H15" s="574"/>
      <c r="M15" s="565"/>
      <c r="N15" s="565"/>
      <c r="O15" s="565"/>
      <c r="P15" s="565"/>
      <c r="Q15" s="565"/>
      <c r="R15" s="564"/>
    </row>
    <row r="16" spans="1:18">
      <c r="D16" s="1018"/>
      <c r="E16" s="132"/>
      <c r="H16" s="574"/>
      <c r="I16"/>
      <c r="J16"/>
      <c r="M16" s="564"/>
      <c r="N16" s="564"/>
      <c r="O16" s="564"/>
      <c r="P16" s="564"/>
      <c r="Q16" s="564"/>
      <c r="R16" s="564"/>
    </row>
    <row r="17" spans="1:18">
      <c r="A17" s="87">
        <f>+A15+1</f>
        <v>3</v>
      </c>
      <c r="B17" s="449">
        <v>353</v>
      </c>
      <c r="C17" t="s">
        <v>14</v>
      </c>
      <c r="D17" s="1017">
        <v>2.3E-2</v>
      </c>
      <c r="E17" s="132"/>
      <c r="H17" s="574"/>
      <c r="I17"/>
      <c r="J17"/>
      <c r="M17" s="564"/>
      <c r="N17" s="564"/>
      <c r="O17" s="564"/>
      <c r="P17" s="564"/>
      <c r="Q17" s="564"/>
      <c r="R17" s="564"/>
    </row>
    <row r="18" spans="1:18" ht="15.6">
      <c r="D18" s="1018"/>
      <c r="E18" s="132"/>
      <c r="H18" s="574"/>
      <c r="I18"/>
      <c r="J18"/>
      <c r="M18" s="564"/>
      <c r="N18" s="567"/>
      <c r="O18" s="564"/>
      <c r="P18" s="564"/>
      <c r="Q18" s="565"/>
      <c r="R18" s="564"/>
    </row>
    <row r="19" spans="1:18">
      <c r="A19" s="87">
        <f>+A17+1</f>
        <v>4</v>
      </c>
      <c r="B19" s="449">
        <v>354</v>
      </c>
      <c r="C19" t="s">
        <v>15</v>
      </c>
      <c r="D19" s="1017">
        <v>1.6299999999999999E-2</v>
      </c>
      <c r="E19" s="132"/>
      <c r="H19" s="574"/>
      <c r="I19"/>
      <c r="J19"/>
      <c r="M19" s="564"/>
      <c r="N19" s="564"/>
      <c r="O19" s="564"/>
      <c r="P19" s="564"/>
      <c r="Q19" s="565"/>
    </row>
    <row r="20" spans="1:18">
      <c r="D20" s="1018"/>
      <c r="E20" s="132"/>
      <c r="H20" s="574"/>
      <c r="I20"/>
      <c r="J20"/>
      <c r="M20" s="564"/>
      <c r="N20" s="564"/>
      <c r="O20" s="564"/>
      <c r="P20" s="564"/>
      <c r="Q20" s="565"/>
    </row>
    <row r="21" spans="1:18" ht="15.6">
      <c r="A21" s="87">
        <f>+A19+1</f>
        <v>5</v>
      </c>
      <c r="B21" s="449">
        <v>355</v>
      </c>
      <c r="C21" t="s">
        <v>16</v>
      </c>
      <c r="D21" s="1017">
        <v>2.8799999999999999E-2</v>
      </c>
      <c r="E21" s="132"/>
      <c r="H21" s="574"/>
      <c r="I21"/>
      <c r="J21"/>
      <c r="M21" s="564"/>
      <c r="N21" s="567"/>
      <c r="O21" s="564"/>
      <c r="P21" s="564"/>
      <c r="Q21" s="565"/>
    </row>
    <row r="22" spans="1:18" ht="15.6">
      <c r="D22" s="1018"/>
      <c r="E22" s="132"/>
      <c r="H22" s="574"/>
      <c r="I22" s="568"/>
      <c r="J22"/>
      <c r="M22" s="564"/>
      <c r="N22" s="567"/>
      <c r="O22" s="564"/>
      <c r="P22" s="564"/>
      <c r="Q22" s="565"/>
    </row>
    <row r="23" spans="1:18" ht="15.6">
      <c r="A23" s="87">
        <f>+A21+1</f>
        <v>6</v>
      </c>
      <c r="B23" s="449">
        <v>356</v>
      </c>
      <c r="C23" t="s">
        <v>17</v>
      </c>
      <c r="D23" s="1017">
        <v>1.9300000000000001E-2</v>
      </c>
      <c r="E23" s="132"/>
      <c r="H23" s="574"/>
      <c r="I23"/>
      <c r="J23"/>
      <c r="M23" s="564"/>
      <c r="N23" s="567"/>
      <c r="O23" s="564"/>
      <c r="P23" s="564"/>
      <c r="Q23" s="565"/>
    </row>
    <row r="24" spans="1:18">
      <c r="D24" s="1018"/>
      <c r="E24" s="132"/>
      <c r="H24" s="574"/>
      <c r="J24"/>
      <c r="M24" s="564"/>
      <c r="N24" s="564"/>
      <c r="O24" s="564"/>
      <c r="P24" s="564"/>
      <c r="Q24" s="565"/>
    </row>
    <row r="25" spans="1:18">
      <c r="A25" s="87">
        <f>+A23+1</f>
        <v>7</v>
      </c>
      <c r="B25" s="449">
        <v>357</v>
      </c>
      <c r="C25" t="s">
        <v>409</v>
      </c>
      <c r="D25" s="1017">
        <v>2.4400000000000002E-2</v>
      </c>
      <c r="E25" s="132"/>
      <c r="H25" s="574"/>
      <c r="I25"/>
      <c r="J25"/>
      <c r="K25" s="566"/>
      <c r="M25" s="564"/>
      <c r="N25" s="564"/>
      <c r="O25" s="564"/>
      <c r="P25" s="564"/>
      <c r="Q25" s="565"/>
    </row>
    <row r="26" spans="1:18">
      <c r="D26" s="1018"/>
      <c r="E26" s="132"/>
      <c r="H26" s="574"/>
      <c r="I26"/>
      <c r="J26"/>
      <c r="K26" s="566"/>
      <c r="M26" s="564"/>
      <c r="N26" s="564"/>
      <c r="O26" s="564"/>
      <c r="P26" s="564"/>
      <c r="Q26" s="565"/>
    </row>
    <row r="27" spans="1:18">
      <c r="A27" s="87">
        <f>+A25+1</f>
        <v>8</v>
      </c>
      <c r="B27" s="449">
        <v>358</v>
      </c>
      <c r="C27" t="s">
        <v>18</v>
      </c>
      <c r="D27" s="1017">
        <v>1.9099999999999999E-2</v>
      </c>
      <c r="E27" s="132"/>
      <c r="H27" s="574"/>
      <c r="I27"/>
      <c r="J27"/>
      <c r="M27" s="564"/>
      <c r="N27" s="564"/>
      <c r="O27" s="564"/>
      <c r="P27" s="564"/>
      <c r="Q27" s="565"/>
    </row>
    <row r="28" spans="1:18">
      <c r="A28" s="87"/>
      <c r="B28" s="87"/>
      <c r="C28" s="450"/>
      <c r="D28" s="1018"/>
      <c r="E28" s="132"/>
      <c r="H28" s="574"/>
      <c r="I28"/>
      <c r="J28"/>
      <c r="M28" s="564"/>
      <c r="N28" s="564"/>
      <c r="O28" s="564"/>
      <c r="P28" s="564"/>
      <c r="Q28" s="565"/>
    </row>
    <row r="29" spans="1:18">
      <c r="A29" s="87">
        <f>+A27+1</f>
        <v>9</v>
      </c>
      <c r="B29" s="449">
        <v>356.3</v>
      </c>
      <c r="C29" t="s">
        <v>864</v>
      </c>
      <c r="D29" s="1123">
        <v>2.75E-2</v>
      </c>
      <c r="E29" s="132"/>
      <c r="H29" s="574"/>
      <c r="I29"/>
      <c r="J29"/>
      <c r="K29" s="566"/>
      <c r="M29" s="564"/>
      <c r="N29" s="564"/>
      <c r="O29" s="564"/>
      <c r="P29" s="564"/>
      <c r="Q29" s="565"/>
    </row>
    <row r="30" spans="1:18">
      <c r="A30" s="87"/>
      <c r="B30" s="87"/>
      <c r="C30" s="450"/>
      <c r="D30" s="1018"/>
      <c r="E30" s="132"/>
      <c r="H30" s="574"/>
      <c r="I30"/>
      <c r="J30"/>
      <c r="K30" s="566"/>
      <c r="M30" s="564"/>
      <c r="N30" s="564"/>
      <c r="O30" s="564"/>
      <c r="P30" s="564"/>
      <c r="Q30" s="565"/>
    </row>
    <row r="31" spans="1:18" ht="15.6">
      <c r="A31" s="87">
        <f>+A29+1</f>
        <v>10</v>
      </c>
      <c r="B31" s="917" t="s">
        <v>804</v>
      </c>
      <c r="C31" s="450" t="s">
        <v>803</v>
      </c>
      <c r="D31" s="1019">
        <v>3.2000000000000001E-2</v>
      </c>
      <c r="E31" s="132"/>
      <c r="H31" s="574"/>
      <c r="I31"/>
      <c r="J31"/>
      <c r="K31" s="566"/>
      <c r="M31" s="564"/>
      <c r="N31" s="564"/>
      <c r="O31" s="564"/>
      <c r="P31" s="564"/>
      <c r="Q31" s="565"/>
    </row>
    <row r="32" spans="1:18" ht="15.6">
      <c r="A32" s="87"/>
      <c r="B32" s="917"/>
      <c r="C32" s="450"/>
      <c r="D32" s="1019"/>
      <c r="E32" s="132"/>
      <c r="H32" s="574"/>
      <c r="I32"/>
      <c r="J32"/>
      <c r="K32" s="566"/>
      <c r="M32" s="564"/>
      <c r="N32" s="564"/>
      <c r="O32" s="564"/>
      <c r="P32" s="564"/>
      <c r="Q32" s="565"/>
    </row>
    <row r="33" spans="1:18" ht="15.6">
      <c r="A33" s="87">
        <f>+A31+1</f>
        <v>11</v>
      </c>
      <c r="B33" s="917" t="s">
        <v>805</v>
      </c>
      <c r="C33" s="8" t="s">
        <v>803</v>
      </c>
      <c r="D33" s="1019">
        <v>2.2100000000000002E-2</v>
      </c>
      <c r="E33" s="132"/>
      <c r="H33" s="574"/>
      <c r="I33"/>
      <c r="J33"/>
      <c r="K33" s="566"/>
      <c r="M33" s="564"/>
      <c r="N33" s="564"/>
      <c r="O33" s="564"/>
      <c r="P33" s="564"/>
      <c r="Q33" s="565"/>
    </row>
    <row r="34" spans="1:18">
      <c r="A34" s="87"/>
      <c r="B34" s="87"/>
      <c r="C34" s="450"/>
      <c r="D34" s="1018"/>
      <c r="E34" s="132"/>
      <c r="H34" s="574"/>
      <c r="I34"/>
      <c r="J34"/>
      <c r="K34" s="566"/>
      <c r="M34" s="564"/>
      <c r="N34" s="564"/>
      <c r="O34" s="564"/>
      <c r="P34" s="564"/>
      <c r="Q34" s="565"/>
    </row>
    <row r="35" spans="1:18" ht="15.6">
      <c r="A35" s="87"/>
      <c r="B35" s="430" t="s">
        <v>1</v>
      </c>
      <c r="D35" s="1022">
        <v>3.2500000000000001E-2</v>
      </c>
      <c r="E35" s="132"/>
      <c r="M35" s="564"/>
      <c r="N35" s="564"/>
      <c r="O35" s="564"/>
      <c r="P35" s="564"/>
      <c r="Q35" s="565"/>
    </row>
    <row r="36" spans="1:18" ht="15.6">
      <c r="A36" s="87"/>
      <c r="B36" s="430"/>
      <c r="C36" s="434"/>
      <c r="D36" s="1021"/>
      <c r="E36" s="132"/>
      <c r="M36" s="564"/>
      <c r="N36" s="567"/>
      <c r="O36" s="564"/>
      <c r="P36" s="564"/>
      <c r="Q36" s="565"/>
    </row>
    <row r="37" spans="1:18">
      <c r="A37" s="87">
        <v>12</v>
      </c>
      <c r="B37" s="433">
        <v>390</v>
      </c>
      <c r="C37" s="434" t="s">
        <v>3</v>
      </c>
      <c r="D37" s="1017">
        <v>3.1000000000000003E-2</v>
      </c>
      <c r="E37" s="132"/>
      <c r="H37" s="574"/>
      <c r="I37"/>
      <c r="J37"/>
      <c r="M37" s="564"/>
      <c r="N37" s="564"/>
      <c r="O37" s="564"/>
      <c r="P37" s="564"/>
      <c r="Q37" s="565"/>
    </row>
    <row r="38" spans="1:18">
      <c r="A38" s="87"/>
      <c r="B38" s="433"/>
      <c r="C38" s="434"/>
      <c r="D38" s="1021"/>
      <c r="E38" s="132"/>
      <c r="H38" s="574"/>
      <c r="I38"/>
      <c r="J38"/>
      <c r="M38" s="564"/>
      <c r="N38" s="564"/>
      <c r="O38" s="564"/>
      <c r="P38" s="564"/>
      <c r="Q38" s="565"/>
    </row>
    <row r="39" spans="1:18">
      <c r="A39" s="87">
        <f>+A37+1</f>
        <v>13</v>
      </c>
      <c r="B39" s="433">
        <v>391</v>
      </c>
      <c r="C39" s="434" t="s">
        <v>4</v>
      </c>
      <c r="D39" s="1017">
        <v>0.05</v>
      </c>
      <c r="E39" s="132"/>
      <c r="H39" s="574"/>
      <c r="I39"/>
      <c r="J39"/>
      <c r="M39" s="564"/>
      <c r="N39" s="564"/>
      <c r="O39" s="564"/>
      <c r="P39" s="564"/>
      <c r="Q39" s="565"/>
    </row>
    <row r="40" spans="1:18">
      <c r="A40" s="87"/>
      <c r="B40" s="433"/>
      <c r="C40" s="434"/>
      <c r="D40" s="1021"/>
      <c r="E40" s="132"/>
      <c r="M40" s="564"/>
      <c r="N40" s="564"/>
      <c r="O40" s="564"/>
      <c r="P40" s="564"/>
      <c r="Q40" s="565"/>
    </row>
    <row r="41" spans="1:18" ht="15.6">
      <c r="A41" s="87">
        <f>+A39+1</f>
        <v>14</v>
      </c>
      <c r="B41" s="433">
        <v>392</v>
      </c>
      <c r="C41" s="434" t="s">
        <v>5</v>
      </c>
      <c r="D41" s="1017">
        <v>0.09</v>
      </c>
      <c r="E41" s="132"/>
      <c r="M41" s="564"/>
      <c r="N41" s="567"/>
      <c r="O41" s="564"/>
      <c r="P41" s="564"/>
      <c r="Q41" s="565"/>
    </row>
    <row r="42" spans="1:18" ht="15.6">
      <c r="A42" s="87"/>
      <c r="B42" s="433"/>
      <c r="C42" s="434"/>
      <c r="D42" s="1021"/>
      <c r="E42" s="132"/>
      <c r="H42" s="574"/>
      <c r="I42"/>
      <c r="J42"/>
      <c r="M42" s="564"/>
      <c r="N42" s="567"/>
      <c r="O42" s="564"/>
      <c r="P42" s="564"/>
      <c r="Q42" s="564"/>
    </row>
    <row r="43" spans="1:18">
      <c r="A43" s="87">
        <f>+A41+1</f>
        <v>15</v>
      </c>
      <c r="B43" s="433">
        <v>393</v>
      </c>
      <c r="C43" s="434" t="s">
        <v>6</v>
      </c>
      <c r="D43" s="1017">
        <v>2.86E-2</v>
      </c>
      <c r="E43" s="132"/>
      <c r="H43" s="574"/>
      <c r="I43"/>
      <c r="J43"/>
      <c r="M43" s="564"/>
      <c r="N43" s="564"/>
      <c r="O43" s="564"/>
      <c r="P43" s="564"/>
      <c r="Q43" s="564"/>
    </row>
    <row r="44" spans="1:18">
      <c r="A44" s="87"/>
      <c r="B44" s="433"/>
      <c r="C44" s="87"/>
      <c r="D44" s="1021"/>
      <c r="E44" s="132"/>
      <c r="H44" s="574"/>
      <c r="I44"/>
      <c r="J44"/>
      <c r="M44" s="569"/>
      <c r="N44" s="564"/>
      <c r="O44" s="564"/>
      <c r="P44" s="564"/>
      <c r="Q44" s="565"/>
      <c r="R44" s="564"/>
    </row>
    <row r="45" spans="1:18">
      <c r="A45" s="87">
        <f>+A43+1</f>
        <v>16</v>
      </c>
      <c r="B45" s="433">
        <v>394</v>
      </c>
      <c r="C45" s="434" t="s">
        <v>7</v>
      </c>
      <c r="D45" s="1017">
        <v>3.3300000000000003E-2</v>
      </c>
      <c r="E45" s="132"/>
      <c r="H45" s="574"/>
      <c r="I45"/>
      <c r="J45"/>
      <c r="K45" t="s">
        <v>28</v>
      </c>
      <c r="M45" s="570"/>
      <c r="N45" s="564"/>
      <c r="O45" s="564"/>
      <c r="P45" s="564"/>
      <c r="Q45" s="565"/>
      <c r="R45" s="564"/>
    </row>
    <row r="46" spans="1:18">
      <c r="A46" s="87"/>
      <c r="B46" s="433"/>
      <c r="C46" s="434"/>
      <c r="D46" s="1021"/>
      <c r="E46" s="132"/>
      <c r="H46" s="574"/>
      <c r="I46"/>
      <c r="J46"/>
      <c r="K46" s="566"/>
      <c r="M46" s="571"/>
      <c r="N46" s="564"/>
      <c r="O46" s="564"/>
      <c r="P46" s="565"/>
      <c r="Q46" s="565"/>
      <c r="R46" s="564"/>
    </row>
    <row r="47" spans="1:18">
      <c r="A47" s="87">
        <f>+A45+1</f>
        <v>17</v>
      </c>
      <c r="B47" s="433">
        <v>395</v>
      </c>
      <c r="C47" s="434" t="s">
        <v>8</v>
      </c>
      <c r="D47" s="1017">
        <v>2.86E-2</v>
      </c>
      <c r="E47" s="132"/>
      <c r="H47" s="574"/>
      <c r="I47"/>
      <c r="J47"/>
      <c r="K47" s="566"/>
      <c r="M47" s="571"/>
      <c r="N47" s="564"/>
      <c r="O47" s="564"/>
      <c r="P47" s="565"/>
      <c r="Q47" s="565"/>
      <c r="R47" s="564"/>
    </row>
    <row r="48" spans="1:18">
      <c r="A48" s="87"/>
      <c r="B48" s="433"/>
      <c r="C48" s="434"/>
      <c r="D48" s="1021"/>
      <c r="E48" s="132"/>
      <c r="H48" s="574"/>
      <c r="I48"/>
      <c r="J48"/>
      <c r="K48" s="566"/>
      <c r="M48" s="571"/>
      <c r="N48" s="564"/>
      <c r="O48" s="564"/>
      <c r="P48" s="565"/>
      <c r="Q48" s="565"/>
      <c r="R48" s="564"/>
    </row>
    <row r="49" spans="1:18">
      <c r="A49" s="87">
        <f>+A47+1</f>
        <v>18</v>
      </c>
      <c r="B49" s="433">
        <v>396</v>
      </c>
      <c r="C49" s="434" t="s">
        <v>9</v>
      </c>
      <c r="D49" s="1017">
        <v>7.4999999999999997E-2</v>
      </c>
      <c r="E49" s="132"/>
      <c r="H49" s="574"/>
      <c r="I49"/>
      <c r="J49"/>
      <c r="M49" s="569"/>
      <c r="N49" s="564"/>
      <c r="O49" s="564"/>
      <c r="P49" s="565"/>
      <c r="Q49" s="565"/>
      <c r="R49" s="564"/>
    </row>
    <row r="50" spans="1:18">
      <c r="A50" s="87"/>
      <c r="B50" s="433"/>
      <c r="C50" s="434"/>
      <c r="D50" s="1021"/>
      <c r="E50" s="132"/>
      <c r="H50" s="574"/>
      <c r="I50"/>
      <c r="J50"/>
      <c r="M50" s="569"/>
      <c r="N50" s="564"/>
      <c r="O50" s="564"/>
      <c r="P50" s="565"/>
      <c r="Q50" s="565"/>
      <c r="R50" s="564"/>
    </row>
    <row r="51" spans="1:18">
      <c r="A51" s="87">
        <f>+A49+1</f>
        <v>19</v>
      </c>
      <c r="B51" s="433">
        <v>397</v>
      </c>
      <c r="C51" s="434" t="s">
        <v>10</v>
      </c>
      <c r="D51" s="1017">
        <v>0.05</v>
      </c>
      <c r="E51" s="132"/>
      <c r="H51" s="574"/>
      <c r="I51"/>
      <c r="J51"/>
      <c r="M51" s="569"/>
      <c r="N51" s="564"/>
      <c r="O51" s="564"/>
      <c r="P51" s="565"/>
      <c r="Q51" s="565"/>
      <c r="R51" s="564"/>
    </row>
    <row r="52" spans="1:18">
      <c r="A52" s="87"/>
      <c r="B52" s="433"/>
      <c r="C52" s="434"/>
      <c r="D52" s="1017"/>
      <c r="E52" s="132"/>
      <c r="H52" s="574"/>
      <c r="I52"/>
      <c r="J52"/>
      <c r="M52" s="569"/>
      <c r="N52" s="564"/>
      <c r="O52" s="564"/>
      <c r="P52" s="565"/>
      <c r="Q52" s="565"/>
      <c r="R52" s="564"/>
    </row>
    <row r="53" spans="1:18">
      <c r="A53" s="87">
        <f>+A51+1</f>
        <v>20</v>
      </c>
      <c r="B53" s="433">
        <v>398</v>
      </c>
      <c r="C53" s="434" t="s">
        <v>11</v>
      </c>
      <c r="D53" s="1017">
        <v>3.3300000000000003E-2</v>
      </c>
      <c r="H53" s="574"/>
      <c r="I53"/>
      <c r="J53"/>
      <c r="M53" s="569"/>
      <c r="N53" s="564"/>
      <c r="O53" s="564"/>
      <c r="P53" s="565"/>
      <c r="Q53" s="565"/>
      <c r="R53" s="564"/>
    </row>
    <row r="54" spans="1:18" ht="15.6">
      <c r="A54" s="87"/>
      <c r="D54" s="1017"/>
      <c r="H54" s="574"/>
      <c r="I54"/>
      <c r="J54"/>
      <c r="M54" s="569"/>
      <c r="N54" s="564"/>
      <c r="O54" s="567"/>
      <c r="P54" s="565"/>
      <c r="Q54" s="573"/>
      <c r="R54" s="567"/>
    </row>
    <row r="55" spans="1:18" ht="15.6">
      <c r="A55" s="87"/>
      <c r="B55" s="430" t="s">
        <v>2</v>
      </c>
      <c r="C55" s="434"/>
      <c r="D55" s="1020"/>
      <c r="H55" s="574"/>
      <c r="I55"/>
      <c r="J55"/>
      <c r="M55" s="569"/>
      <c r="N55" s="564"/>
      <c r="O55" s="572"/>
      <c r="P55" s="565"/>
      <c r="Q55" s="573"/>
      <c r="R55" s="567"/>
    </row>
    <row r="56" spans="1:18" ht="15.6">
      <c r="A56" s="87"/>
      <c r="B56" s="433"/>
      <c r="C56" s="434"/>
      <c r="D56" s="1021"/>
      <c r="H56" s="574"/>
      <c r="I56" s="568"/>
      <c r="J56"/>
      <c r="K56" s="568"/>
      <c r="M56" s="569"/>
      <c r="N56" s="564"/>
      <c r="O56" s="567"/>
      <c r="P56" s="573"/>
      <c r="Q56" s="573"/>
      <c r="R56" s="567"/>
    </row>
    <row r="57" spans="1:18" ht="15.6">
      <c r="A57" s="87">
        <f>+A53+1</f>
        <v>21</v>
      </c>
      <c r="B57" s="433">
        <v>303</v>
      </c>
      <c r="C57" s="434" t="s">
        <v>12</v>
      </c>
      <c r="D57" s="1017">
        <v>2.8570999999999999E-2</v>
      </c>
      <c r="H57" s="574"/>
      <c r="I57" s="568"/>
      <c r="J57"/>
      <c r="K57" s="568"/>
      <c r="M57" s="569"/>
      <c r="N57" s="564"/>
      <c r="O57" s="567"/>
      <c r="P57" s="573"/>
      <c r="Q57" s="573"/>
      <c r="R57" s="567"/>
    </row>
    <row r="58" spans="1:18" ht="15.6">
      <c r="A58" s="87"/>
      <c r="C58" t="s">
        <v>564</v>
      </c>
      <c r="D58" s="1017">
        <v>0.33333300000000005</v>
      </c>
      <c r="F58" s="618"/>
      <c r="H58" s="574"/>
      <c r="I58" s="568"/>
      <c r="J58"/>
      <c r="K58" s="568"/>
      <c r="M58" s="569"/>
      <c r="N58" s="564"/>
      <c r="O58" s="567"/>
      <c r="P58" s="573"/>
      <c r="Q58" s="573"/>
      <c r="R58" s="567"/>
    </row>
    <row r="59" spans="1:18" ht="15.6">
      <c r="A59" s="87"/>
      <c r="C59" t="s">
        <v>565</v>
      </c>
      <c r="D59" s="1017">
        <v>0.2</v>
      </c>
      <c r="H59" s="574"/>
      <c r="I59" s="568"/>
      <c r="J59"/>
      <c r="K59" s="568"/>
      <c r="M59" s="569"/>
      <c r="N59" s="564"/>
      <c r="O59" s="567"/>
      <c r="P59" s="573"/>
      <c r="Q59" s="573"/>
      <c r="R59" s="567"/>
    </row>
    <row r="60" spans="1:18" ht="15.6">
      <c r="A60" s="87"/>
      <c r="C60" t="s">
        <v>566</v>
      </c>
      <c r="D60" s="1017">
        <v>0.1</v>
      </c>
      <c r="H60" s="574"/>
      <c r="I60" s="568"/>
      <c r="J60"/>
      <c r="K60" s="568"/>
      <c r="M60" s="569"/>
      <c r="N60" s="564"/>
      <c r="O60" s="567"/>
      <c r="P60" s="573"/>
      <c r="Q60" s="573"/>
      <c r="R60" s="567"/>
    </row>
    <row r="61" spans="1:18" ht="15.6">
      <c r="A61" s="87"/>
      <c r="C61" t="s">
        <v>567</v>
      </c>
      <c r="D61" s="1017">
        <v>6.6666000000000003E-2</v>
      </c>
      <c r="H61" s="574"/>
      <c r="I61" s="568"/>
      <c r="J61"/>
      <c r="K61" s="568"/>
      <c r="M61" s="569"/>
      <c r="N61" s="564"/>
      <c r="O61" s="567"/>
      <c r="P61" s="573"/>
      <c r="Q61" s="573"/>
      <c r="R61" s="567"/>
    </row>
    <row r="62" spans="1:18" ht="15.6">
      <c r="A62" s="87"/>
      <c r="C62" t="s">
        <v>929</v>
      </c>
      <c r="D62" s="1017">
        <v>0.2</v>
      </c>
      <c r="H62" s="574"/>
      <c r="I62" s="568"/>
      <c r="J62"/>
      <c r="K62" s="568"/>
      <c r="M62" s="569"/>
      <c r="N62" s="564"/>
      <c r="O62" s="567"/>
      <c r="P62" s="573"/>
      <c r="Q62" s="573"/>
      <c r="R62" s="567"/>
    </row>
    <row r="63" spans="1:18" ht="15.6">
      <c r="A63" s="87"/>
      <c r="C63" t="s">
        <v>930</v>
      </c>
      <c r="D63" s="1017">
        <v>0.05</v>
      </c>
      <c r="H63" s="574"/>
      <c r="I63" s="568"/>
      <c r="J63"/>
      <c r="K63" s="568"/>
      <c r="M63" s="569"/>
      <c r="N63" s="564"/>
      <c r="O63" s="567"/>
      <c r="P63" s="573"/>
      <c r="Q63" s="573"/>
      <c r="R63" s="567"/>
    </row>
    <row r="64" spans="1:18" ht="15.6">
      <c r="C64" t="s">
        <v>366</v>
      </c>
      <c r="D64" s="526" t="s">
        <v>183</v>
      </c>
      <c r="H64" s="574"/>
      <c r="I64" s="568"/>
      <c r="J64"/>
      <c r="K64" s="568"/>
      <c r="M64" s="569"/>
      <c r="N64" s="564"/>
      <c r="O64" s="567"/>
      <c r="P64" s="573"/>
      <c r="Q64" s="573"/>
      <c r="R64" s="567"/>
    </row>
    <row r="65" spans="1:18" ht="15.6">
      <c r="H65" s="574"/>
      <c r="I65" s="568"/>
      <c r="J65"/>
      <c r="K65" s="568"/>
      <c r="M65" s="569"/>
      <c r="N65" s="564"/>
      <c r="O65" s="567"/>
      <c r="P65" s="573"/>
      <c r="Q65" s="573"/>
      <c r="R65" s="567"/>
    </row>
    <row r="66" spans="1:18" ht="15.6">
      <c r="A66" s="87" t="s">
        <v>671</v>
      </c>
      <c r="H66" s="574"/>
      <c r="I66" s="568"/>
      <c r="J66"/>
      <c r="K66" s="568"/>
      <c r="M66" s="569"/>
      <c r="N66" s="564"/>
      <c r="O66" s="570"/>
      <c r="P66" s="573"/>
      <c r="Q66" s="573"/>
      <c r="R66" s="567"/>
    </row>
    <row r="67" spans="1:18" ht="15.6">
      <c r="H67" s="574"/>
      <c r="I67" s="568"/>
      <c r="J67"/>
      <c r="K67" s="568"/>
      <c r="M67" s="569"/>
      <c r="N67" s="564"/>
      <c r="O67" s="570"/>
      <c r="P67" s="573"/>
      <c r="Q67" s="573"/>
      <c r="R67" s="567"/>
    </row>
    <row r="68" spans="1:18" ht="15.6">
      <c r="A68" t="s">
        <v>865</v>
      </c>
      <c r="H68" s="574"/>
      <c r="I68"/>
      <c r="J68"/>
      <c r="M68" s="569"/>
      <c r="N68" s="564"/>
      <c r="O68" s="567"/>
      <c r="P68" s="565"/>
      <c r="Q68" s="573"/>
      <c r="R68" s="567"/>
    </row>
    <row r="69" spans="1:18" ht="15.6">
      <c r="A69" t="s">
        <v>1005</v>
      </c>
      <c r="H69"/>
      <c r="I69"/>
      <c r="J69"/>
      <c r="M69" s="564"/>
      <c r="N69" s="564"/>
      <c r="O69" s="567"/>
      <c r="P69" s="567"/>
      <c r="Q69" s="567"/>
      <c r="R69" s="567"/>
    </row>
    <row r="70" spans="1:18">
      <c r="A70" t="s">
        <v>866</v>
      </c>
      <c r="H70"/>
      <c r="I70"/>
      <c r="J70"/>
      <c r="M70" s="564"/>
      <c r="N70" s="564"/>
      <c r="O70" s="564"/>
      <c r="P70" s="564"/>
    </row>
    <row r="71" spans="1:18">
      <c r="H71"/>
      <c r="I71"/>
      <c r="J71"/>
      <c r="M71" s="574"/>
      <c r="N71" s="576"/>
      <c r="O71" s="576"/>
      <c r="P71" s="564"/>
      <c r="Q71" s="577"/>
    </row>
    <row r="72" spans="1:18" ht="15.6">
      <c r="H72"/>
      <c r="I72"/>
      <c r="J72"/>
      <c r="K72" s="574"/>
      <c r="L72" s="575"/>
      <c r="M72" s="574"/>
      <c r="N72" s="576"/>
      <c r="O72" s="576"/>
      <c r="P72" s="578"/>
      <c r="Q72" s="577"/>
    </row>
    <row r="73" spans="1:18" ht="15.6">
      <c r="H73"/>
      <c r="I73"/>
      <c r="J73"/>
      <c r="K73" s="579"/>
      <c r="L73" s="579"/>
      <c r="M73" s="579"/>
      <c r="N73" s="579"/>
      <c r="O73" s="579"/>
      <c r="P73" s="578"/>
      <c r="Q73" s="577"/>
    </row>
    <row r="74" spans="1:18">
      <c r="J74" s="435"/>
    </row>
    <row r="75" spans="1:18">
      <c r="J75" s="435"/>
    </row>
    <row r="76" spans="1:18">
      <c r="J76" s="435"/>
    </row>
    <row r="77" spans="1:18">
      <c r="J77" s="435"/>
    </row>
    <row r="78" spans="1:18">
      <c r="J78" s="435"/>
    </row>
    <row r="79" spans="1:18">
      <c r="J79" s="435"/>
    </row>
    <row r="80" spans="1:18">
      <c r="J80" s="435"/>
    </row>
    <row r="81" spans="10:10">
      <c r="J81" s="435"/>
    </row>
    <row r="82" spans="10:10">
      <c r="J82" s="435"/>
    </row>
    <row r="83" spans="10:10">
      <c r="J83" s="435"/>
    </row>
    <row r="84" spans="10:10">
      <c r="J84" s="435"/>
    </row>
    <row r="85" spans="10:10">
      <c r="J85" s="435"/>
    </row>
    <row r="86" spans="10:10">
      <c r="J86" s="435"/>
    </row>
    <row r="87" spans="10:10">
      <c r="J87" s="435"/>
    </row>
    <row r="88" spans="10:10">
      <c r="J88" s="435"/>
    </row>
    <row r="89" spans="10:10">
      <c r="J89" s="435"/>
    </row>
    <row r="90" spans="10:10">
      <c r="J90" s="435"/>
    </row>
    <row r="91" spans="10:10">
      <c r="J91" s="435"/>
    </row>
    <row r="92" spans="10:10">
      <c r="J92" s="435"/>
    </row>
    <row r="93" spans="10:10">
      <c r="J93" s="435"/>
    </row>
    <row r="94" spans="10:10">
      <c r="J94" s="435"/>
    </row>
    <row r="95" spans="10:10">
      <c r="J95" s="435"/>
    </row>
    <row r="96" spans="10:10">
      <c r="J96" s="435"/>
    </row>
    <row r="97" spans="10:10">
      <c r="J97" s="435"/>
    </row>
    <row r="98" spans="10:10">
      <c r="J98" s="435"/>
    </row>
    <row r="99" spans="10:10">
      <c r="J99" s="435"/>
    </row>
    <row r="100" spans="10:10">
      <c r="J100" s="435"/>
    </row>
    <row r="101" spans="10:10">
      <c r="J101" s="435"/>
    </row>
    <row r="102" spans="10:10">
      <c r="J102" s="435"/>
    </row>
    <row r="103" spans="10:10">
      <c r="J103" s="435"/>
    </row>
    <row r="104" spans="10:10">
      <c r="J104" s="435"/>
    </row>
    <row r="105" spans="10:10">
      <c r="J105" s="435"/>
    </row>
    <row r="106" spans="10:10">
      <c r="J106" s="435"/>
    </row>
    <row r="107" spans="10:10">
      <c r="J107" s="435"/>
    </row>
    <row r="108" spans="10:10">
      <c r="J108" s="435"/>
    </row>
    <row r="109" spans="10:10">
      <c r="J109" s="435"/>
    </row>
    <row r="110" spans="10:10">
      <c r="J110" s="435"/>
    </row>
    <row r="111" spans="10:10">
      <c r="J111" s="435"/>
    </row>
    <row r="112" spans="10:10">
      <c r="J112" s="435"/>
    </row>
  </sheetData>
  <mergeCells count="2">
    <mergeCell ref="A5:E5"/>
    <mergeCell ref="A6:E6"/>
  </mergeCells>
  <phoneticPr fontId="61" type="noConversion"/>
  <pageMargins left="0.7" right="0.7" top="0.75" bottom="0.75" header="0.3" footer="0.3"/>
  <pageSetup scale="63" orientation="portrait" r:id="rId1"/>
  <rowBreaks count="1" manualBreakCount="1">
    <brk id="71"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D180"/>
  <sheetViews>
    <sheetView tabSelected="1" zoomScaleNormal="100" zoomScaleSheetLayoutView="80" zoomScalePageLayoutView="90" workbookViewId="0">
      <selection activeCell="C4" sqref="C4"/>
    </sheetView>
  </sheetViews>
  <sheetFormatPr defaultRowHeight="15"/>
  <cols>
    <col min="1" max="1" width="7.7265625" customWidth="1"/>
    <col min="2" max="2" width="12.08984375" customWidth="1"/>
    <col min="3" max="3" width="11.81640625" customWidth="1"/>
    <col min="4" max="4" width="10.7265625" customWidth="1"/>
    <col min="5" max="5" width="10.54296875" customWidth="1"/>
    <col min="6" max="9" width="8.81640625" customWidth="1"/>
    <col min="10" max="10" width="10.08984375" customWidth="1"/>
    <col min="11" max="11" width="10.453125" customWidth="1"/>
    <col min="12" max="12" width="9.7265625" customWidth="1"/>
    <col min="13" max="19" width="8.81640625" customWidth="1"/>
    <col min="20" max="20" width="9.7265625" customWidth="1"/>
    <col min="21" max="22" width="8.81640625" customWidth="1"/>
    <col min="23" max="23" width="10.54296875" customWidth="1"/>
    <col min="24" max="24" width="8.81640625" customWidth="1"/>
    <col min="25" max="25" width="10.81640625" customWidth="1"/>
    <col min="26" max="30" width="8.81640625" customWidth="1"/>
  </cols>
  <sheetData>
    <row r="1" spans="1:30" ht="18">
      <c r="A1" s="1231" t="s">
        <v>895</v>
      </c>
      <c r="B1" s="1231"/>
      <c r="C1" s="1231"/>
      <c r="D1" s="1231"/>
      <c r="E1" s="1231"/>
      <c r="F1" s="1231"/>
      <c r="G1" s="1231"/>
      <c r="H1" s="1231"/>
      <c r="I1" s="1231"/>
      <c r="J1" s="1231"/>
      <c r="K1" s="1231"/>
      <c r="L1" s="1231"/>
      <c r="M1" s="1231"/>
      <c r="N1" s="1231"/>
      <c r="O1" s="1231"/>
      <c r="P1" s="1231"/>
      <c r="Q1" s="1231"/>
      <c r="R1" s="1231"/>
      <c r="S1" s="1231"/>
      <c r="T1" s="1231"/>
      <c r="U1" s="1231"/>
      <c r="V1" s="1231"/>
      <c r="W1" s="1231"/>
      <c r="X1" s="1231"/>
      <c r="Y1" s="1231"/>
      <c r="Z1" s="1231"/>
      <c r="AA1" s="1231"/>
      <c r="AB1" s="1231"/>
      <c r="AC1" s="642"/>
      <c r="AD1" s="642"/>
    </row>
    <row r="2" spans="1:30" ht="15.6">
      <c r="A2" s="1230" t="str">
        <f>'Appendix A'!$E$9</f>
        <v>HURLEY AVENUE PROJECT - SYSTEM DELIVERABILITY UPGRADE</v>
      </c>
      <c r="B2" s="1230"/>
      <c r="C2" s="1230"/>
      <c r="D2" s="1230"/>
      <c r="E2" s="1230"/>
      <c r="F2" s="1230"/>
      <c r="G2" s="1230"/>
      <c r="H2" s="1230"/>
      <c r="I2" s="1230"/>
      <c r="J2" s="1230"/>
      <c r="K2" s="1230"/>
      <c r="L2" s="1230"/>
      <c r="M2" s="1230"/>
      <c r="N2" s="1230"/>
      <c r="O2" s="1230"/>
      <c r="P2" s="1230"/>
      <c r="Q2" s="1230"/>
      <c r="R2" s="1230"/>
      <c r="S2" s="1230"/>
      <c r="T2" s="1230"/>
      <c r="U2" s="1230"/>
      <c r="V2" s="1230"/>
      <c r="W2" s="1230"/>
      <c r="X2" s="1230"/>
      <c r="Y2" s="1230"/>
      <c r="Z2" s="1230"/>
      <c r="AA2" s="1230"/>
      <c r="AB2" s="1230"/>
      <c r="AC2" s="642"/>
      <c r="AD2" s="642"/>
    </row>
    <row r="3" spans="1:30" ht="15.6">
      <c r="A3" s="643"/>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2"/>
      <c r="AD3" s="642"/>
    </row>
    <row r="4" spans="1:30" ht="15.6">
      <c r="A4" s="642"/>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2"/>
      <c r="AD4" s="642"/>
    </row>
    <row r="5" spans="1:30" ht="15.6">
      <c r="A5" s="644" t="s">
        <v>872</v>
      </c>
      <c r="B5" s="643"/>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2"/>
      <c r="AD5" s="642"/>
    </row>
    <row r="6" spans="1:30" ht="15.6">
      <c r="A6" s="643"/>
      <c r="B6" s="645" t="s">
        <v>394</v>
      </c>
      <c r="C6" s="645" t="s">
        <v>395</v>
      </c>
      <c r="D6" s="646" t="s">
        <v>416</v>
      </c>
      <c r="E6" s="645" t="s">
        <v>424</v>
      </c>
      <c r="F6" s="646" t="s">
        <v>425</v>
      </c>
      <c r="G6" s="645" t="s">
        <v>426</v>
      </c>
      <c r="H6" s="646" t="s">
        <v>427</v>
      </c>
      <c r="I6" s="645" t="s">
        <v>428</v>
      </c>
      <c r="J6" s="646" t="s">
        <v>443</v>
      </c>
      <c r="K6" s="645" t="s">
        <v>444</v>
      </c>
      <c r="L6" s="646" t="s">
        <v>492</v>
      </c>
      <c r="M6" s="645" t="s">
        <v>493</v>
      </c>
      <c r="N6" s="646" t="s">
        <v>494</v>
      </c>
      <c r="O6" s="645" t="s">
        <v>495</v>
      </c>
      <c r="P6" s="646" t="s">
        <v>496</v>
      </c>
      <c r="Q6" s="645" t="s">
        <v>497</v>
      </c>
      <c r="R6" s="645" t="s">
        <v>498</v>
      </c>
      <c r="S6" s="646" t="s">
        <v>499</v>
      </c>
      <c r="T6" s="646" t="s">
        <v>500</v>
      </c>
      <c r="U6" s="646" t="s">
        <v>502</v>
      </c>
      <c r="V6" s="646" t="s">
        <v>504</v>
      </c>
      <c r="W6" s="646" t="s">
        <v>515</v>
      </c>
      <c r="X6" s="646" t="s">
        <v>516</v>
      </c>
      <c r="Y6" s="646" t="s">
        <v>517</v>
      </c>
      <c r="Z6" s="646" t="s">
        <v>520</v>
      </c>
      <c r="AA6" s="646" t="s">
        <v>523</v>
      </c>
      <c r="AB6" s="646" t="s">
        <v>525</v>
      </c>
      <c r="AC6" s="642"/>
      <c r="AD6" s="642"/>
    </row>
    <row r="7" spans="1:30" ht="15.6">
      <c r="A7" s="643"/>
      <c r="B7" s="642"/>
      <c r="C7" s="642"/>
      <c r="D7" s="642"/>
      <c r="E7" s="642"/>
      <c r="F7" s="642"/>
      <c r="G7" s="642"/>
      <c r="H7" s="642"/>
      <c r="I7" s="642"/>
      <c r="J7" s="666" t="s">
        <v>545</v>
      </c>
      <c r="K7" s="667" t="s">
        <v>858</v>
      </c>
      <c r="L7" s="667" t="s">
        <v>859</v>
      </c>
      <c r="M7" s="667" t="s">
        <v>546</v>
      </c>
      <c r="N7" s="667" t="s">
        <v>547</v>
      </c>
      <c r="O7" s="667" t="s">
        <v>548</v>
      </c>
      <c r="P7" s="667" t="s">
        <v>549</v>
      </c>
      <c r="Q7" s="667" t="s">
        <v>544</v>
      </c>
      <c r="R7" s="667" t="s">
        <v>860</v>
      </c>
      <c r="S7" s="667" t="s">
        <v>861</v>
      </c>
      <c r="T7" s="667" t="s">
        <v>862</v>
      </c>
      <c r="U7" s="667" t="s">
        <v>863</v>
      </c>
      <c r="V7" s="667" t="s">
        <v>545</v>
      </c>
      <c r="W7" s="642"/>
      <c r="X7" s="642"/>
      <c r="Y7" s="642"/>
      <c r="Z7" s="642"/>
      <c r="AA7" s="642"/>
      <c r="AB7" s="642"/>
      <c r="AC7" s="642"/>
      <c r="AD7" s="642"/>
    </row>
    <row r="8" spans="1:30" ht="73.5" customHeight="1">
      <c r="A8" s="971" t="s">
        <v>37</v>
      </c>
      <c r="B8" s="965" t="s">
        <v>362</v>
      </c>
      <c r="C8" s="828" t="s">
        <v>512</v>
      </c>
      <c r="D8" s="828" t="s">
        <v>636</v>
      </c>
      <c r="E8" s="828" t="s">
        <v>509</v>
      </c>
      <c r="F8" s="828" t="s">
        <v>510</v>
      </c>
      <c r="G8" s="825" t="s">
        <v>511</v>
      </c>
      <c r="H8" s="825" t="s">
        <v>513</v>
      </c>
      <c r="I8" s="825" t="s">
        <v>668</v>
      </c>
      <c r="J8" s="864" t="s">
        <v>910</v>
      </c>
      <c r="K8" s="864" t="s">
        <v>910</v>
      </c>
      <c r="L8" s="864" t="s">
        <v>910</v>
      </c>
      <c r="M8" s="864" t="s">
        <v>910</v>
      </c>
      <c r="N8" s="864" t="s">
        <v>910</v>
      </c>
      <c r="O8" s="864" t="s">
        <v>910</v>
      </c>
      <c r="P8" s="864" t="s">
        <v>910</v>
      </c>
      <c r="Q8" s="864" t="s">
        <v>910</v>
      </c>
      <c r="R8" s="865" t="s">
        <v>911</v>
      </c>
      <c r="S8" s="865" t="s">
        <v>911</v>
      </c>
      <c r="T8" s="865" t="s">
        <v>911</v>
      </c>
      <c r="U8" s="865" t="s">
        <v>911</v>
      </c>
      <c r="V8" s="865" t="s">
        <v>911</v>
      </c>
      <c r="W8" s="825" t="s">
        <v>518</v>
      </c>
      <c r="X8" s="825" t="s">
        <v>519</v>
      </c>
      <c r="Y8" s="825" t="s">
        <v>521</v>
      </c>
      <c r="Z8" s="825" t="s">
        <v>522</v>
      </c>
      <c r="AA8" s="825" t="s">
        <v>524</v>
      </c>
      <c r="AB8" s="826" t="s">
        <v>526</v>
      </c>
      <c r="AC8" s="642"/>
      <c r="AD8" s="642"/>
    </row>
    <row r="9" spans="1:30" ht="15.6">
      <c r="A9" s="970" t="s">
        <v>296</v>
      </c>
      <c r="B9" s="655"/>
      <c r="C9" s="650"/>
      <c r="D9" s="650">
        <v>0</v>
      </c>
      <c r="E9" s="857">
        <f>IF(D9=0,0,C9/D9)</f>
        <v>0</v>
      </c>
      <c r="F9" s="650">
        <v>12</v>
      </c>
      <c r="G9" s="857">
        <f>+E9*F9</f>
        <v>0</v>
      </c>
      <c r="H9" s="650">
        <v>1</v>
      </c>
      <c r="I9" s="857">
        <f>+G9*H9</f>
        <v>0</v>
      </c>
      <c r="J9" s="934">
        <f t="shared" ref="J9:P9" si="0">I9-$E$9</f>
        <v>0</v>
      </c>
      <c r="K9" s="934">
        <f t="shared" si="0"/>
        <v>0</v>
      </c>
      <c r="L9" s="934">
        <f t="shared" si="0"/>
        <v>0</v>
      </c>
      <c r="M9" s="934">
        <f>L9-$E$9</f>
        <v>0</v>
      </c>
      <c r="N9" s="934">
        <f t="shared" si="0"/>
        <v>0</v>
      </c>
      <c r="O9" s="934">
        <f t="shared" si="0"/>
        <v>0</v>
      </c>
      <c r="P9" s="934">
        <f t="shared" si="0"/>
        <v>0</v>
      </c>
      <c r="Q9" s="934">
        <f t="shared" ref="Q9:V9" si="1">P9-$E$9</f>
        <v>0</v>
      </c>
      <c r="R9" s="934">
        <f t="shared" si="1"/>
        <v>0</v>
      </c>
      <c r="S9" s="934">
        <f t="shared" si="1"/>
        <v>0</v>
      </c>
      <c r="T9" s="934">
        <f t="shared" si="1"/>
        <v>0</v>
      </c>
      <c r="U9" s="934">
        <f t="shared" si="1"/>
        <v>0</v>
      </c>
      <c r="V9" s="934">
        <f t="shared" si="1"/>
        <v>0</v>
      </c>
      <c r="W9" s="860">
        <f t="shared" ref="W9:W19" si="2">SUM(J9:V9)/13</f>
        <v>0</v>
      </c>
      <c r="X9" s="652">
        <v>1</v>
      </c>
      <c r="Y9" s="860">
        <f t="shared" ref="Y9:Y19" si="3">+H9</f>
        <v>1</v>
      </c>
      <c r="Z9" s="862">
        <f>+W9*X9*Y9</f>
        <v>0</v>
      </c>
      <c r="AA9" s="650"/>
      <c r="AB9" s="653"/>
      <c r="AC9" s="642"/>
      <c r="AD9" s="642"/>
    </row>
    <row r="10" spans="1:30" ht="15.6">
      <c r="A10" s="648" t="s">
        <v>506</v>
      </c>
      <c r="B10" s="654"/>
      <c r="C10" s="655"/>
      <c r="D10" s="655"/>
      <c r="E10" s="858">
        <f t="shared" ref="E10:E19" si="4">IF(D10=0,0,C10/D10)</f>
        <v>0</v>
      </c>
      <c r="F10" s="655"/>
      <c r="G10" s="858">
        <f t="shared" ref="G10:G19" si="5">+E10*F10</f>
        <v>0</v>
      </c>
      <c r="H10" s="655"/>
      <c r="I10" s="858">
        <f t="shared" ref="I10:I19" si="6">+G10*H10</f>
        <v>0</v>
      </c>
      <c r="J10" s="655"/>
      <c r="K10" s="655"/>
      <c r="L10" s="655"/>
      <c r="M10" s="655"/>
      <c r="N10" s="655"/>
      <c r="O10" s="655"/>
      <c r="P10" s="655"/>
      <c r="Q10" s="655"/>
      <c r="R10" s="655"/>
      <c r="S10" s="655"/>
      <c r="T10" s="655"/>
      <c r="U10" s="655"/>
      <c r="V10" s="655"/>
      <c r="W10" s="861">
        <f t="shared" si="2"/>
        <v>0</v>
      </c>
      <c r="X10" s="656"/>
      <c r="Y10" s="861">
        <f t="shared" si="3"/>
        <v>0</v>
      </c>
      <c r="Z10" s="863">
        <f t="shared" ref="Z10:Z19" si="7">+W10+X10+Y10</f>
        <v>0</v>
      </c>
      <c r="AA10" s="655"/>
      <c r="AB10" s="657"/>
      <c r="AC10" s="642"/>
      <c r="AD10" s="642"/>
    </row>
    <row r="11" spans="1:30" ht="15.6">
      <c r="A11" s="648" t="s">
        <v>507</v>
      </c>
      <c r="B11" s="654"/>
      <c r="C11" s="655"/>
      <c r="D11" s="655"/>
      <c r="E11" s="858">
        <f t="shared" si="4"/>
        <v>0</v>
      </c>
      <c r="F11" s="655"/>
      <c r="G11" s="858">
        <f t="shared" si="5"/>
        <v>0</v>
      </c>
      <c r="H11" s="655"/>
      <c r="I11" s="858">
        <f t="shared" si="6"/>
        <v>0</v>
      </c>
      <c r="J11" s="655"/>
      <c r="K11" s="655"/>
      <c r="L11" s="655"/>
      <c r="M11" s="655"/>
      <c r="N11" s="655"/>
      <c r="O11" s="655"/>
      <c r="P11" s="655"/>
      <c r="Q11" s="655"/>
      <c r="R11" s="655"/>
      <c r="S11" s="655"/>
      <c r="T11" s="655"/>
      <c r="U11" s="655"/>
      <c r="V11" s="655"/>
      <c r="W11" s="861">
        <f t="shared" si="2"/>
        <v>0</v>
      </c>
      <c r="X11" s="656"/>
      <c r="Y11" s="861">
        <f t="shared" si="3"/>
        <v>0</v>
      </c>
      <c r="Z11" s="863">
        <f t="shared" si="7"/>
        <v>0</v>
      </c>
      <c r="AA11" s="655"/>
      <c r="AB11" s="657"/>
      <c r="AC11" s="642"/>
      <c r="AD11" s="642"/>
    </row>
    <row r="12" spans="1:30" ht="15.6">
      <c r="A12" s="648"/>
      <c r="B12" s="654"/>
      <c r="C12" s="655"/>
      <c r="D12" s="655"/>
      <c r="E12" s="858">
        <f t="shared" si="4"/>
        <v>0</v>
      </c>
      <c r="F12" s="655"/>
      <c r="G12" s="858">
        <f t="shared" si="5"/>
        <v>0</v>
      </c>
      <c r="H12" s="655"/>
      <c r="I12" s="858">
        <f t="shared" si="6"/>
        <v>0</v>
      </c>
      <c r="J12" s="655"/>
      <c r="K12" s="655"/>
      <c r="L12" s="655"/>
      <c r="M12" s="655"/>
      <c r="N12" s="655"/>
      <c r="O12" s="655"/>
      <c r="P12" s="655"/>
      <c r="Q12" s="655"/>
      <c r="R12" s="655"/>
      <c r="S12" s="655"/>
      <c r="T12" s="655"/>
      <c r="U12" s="655"/>
      <c r="V12" s="655"/>
      <c r="W12" s="861">
        <f t="shared" si="2"/>
        <v>0</v>
      </c>
      <c r="X12" s="656"/>
      <c r="Y12" s="861">
        <f t="shared" si="3"/>
        <v>0</v>
      </c>
      <c r="Z12" s="863">
        <f t="shared" si="7"/>
        <v>0</v>
      </c>
      <c r="AA12" s="655"/>
      <c r="AB12" s="657"/>
      <c r="AC12" s="642"/>
      <c r="AD12" s="642"/>
    </row>
    <row r="13" spans="1:30" ht="15.6">
      <c r="A13" s="648" t="s">
        <v>358</v>
      </c>
      <c r="B13" s="654"/>
      <c r="C13" s="655"/>
      <c r="D13" s="655"/>
      <c r="E13" s="858">
        <f t="shared" si="4"/>
        <v>0</v>
      </c>
      <c r="F13" s="655"/>
      <c r="G13" s="858">
        <f t="shared" si="5"/>
        <v>0</v>
      </c>
      <c r="H13" s="655"/>
      <c r="I13" s="858">
        <f t="shared" si="6"/>
        <v>0</v>
      </c>
      <c r="J13" s="655"/>
      <c r="K13" s="655"/>
      <c r="L13" s="655"/>
      <c r="M13" s="655"/>
      <c r="N13" s="655"/>
      <c r="O13" s="655"/>
      <c r="P13" s="655"/>
      <c r="Q13" s="655"/>
      <c r="R13" s="655"/>
      <c r="S13" s="655"/>
      <c r="T13" s="655"/>
      <c r="U13" s="655"/>
      <c r="V13" s="655"/>
      <c r="W13" s="861">
        <f t="shared" si="2"/>
        <v>0</v>
      </c>
      <c r="X13" s="656"/>
      <c r="Y13" s="861">
        <f t="shared" si="3"/>
        <v>0</v>
      </c>
      <c r="Z13" s="863">
        <f t="shared" si="7"/>
        <v>0</v>
      </c>
      <c r="AA13" s="655"/>
      <c r="AB13" s="657"/>
      <c r="AC13" s="642"/>
      <c r="AD13" s="642"/>
    </row>
    <row r="14" spans="1:30" ht="15.6">
      <c r="A14" s="648"/>
      <c r="B14" s="654"/>
      <c r="C14" s="655"/>
      <c r="D14" s="655"/>
      <c r="E14" s="858">
        <f t="shared" si="4"/>
        <v>0</v>
      </c>
      <c r="F14" s="655"/>
      <c r="G14" s="858">
        <f t="shared" si="5"/>
        <v>0</v>
      </c>
      <c r="H14" s="655"/>
      <c r="I14" s="858">
        <f t="shared" si="6"/>
        <v>0</v>
      </c>
      <c r="J14" s="655"/>
      <c r="K14" s="655"/>
      <c r="L14" s="655"/>
      <c r="M14" s="655"/>
      <c r="N14" s="655"/>
      <c r="O14" s="655"/>
      <c r="P14" s="655"/>
      <c r="Q14" s="655"/>
      <c r="R14" s="655"/>
      <c r="S14" s="655"/>
      <c r="T14" s="655"/>
      <c r="U14" s="655"/>
      <c r="V14" s="655"/>
      <c r="W14" s="861">
        <f t="shared" si="2"/>
        <v>0</v>
      </c>
      <c r="X14" s="656"/>
      <c r="Y14" s="861">
        <f t="shared" si="3"/>
        <v>0</v>
      </c>
      <c r="Z14" s="863">
        <f t="shared" si="7"/>
        <v>0</v>
      </c>
      <c r="AA14" s="655"/>
      <c r="AB14" s="657"/>
      <c r="AC14" s="642"/>
      <c r="AD14" s="642"/>
    </row>
    <row r="15" spans="1:30" ht="15.6">
      <c r="A15" s="648" t="s">
        <v>299</v>
      </c>
      <c r="B15" s="654"/>
      <c r="C15" s="655"/>
      <c r="D15" s="655"/>
      <c r="E15" s="858">
        <f t="shared" si="4"/>
        <v>0</v>
      </c>
      <c r="F15" s="655"/>
      <c r="G15" s="858">
        <f t="shared" si="5"/>
        <v>0</v>
      </c>
      <c r="H15" s="655"/>
      <c r="I15" s="858">
        <f t="shared" si="6"/>
        <v>0</v>
      </c>
      <c r="J15" s="655"/>
      <c r="K15" s="655"/>
      <c r="L15" s="655"/>
      <c r="M15" s="655"/>
      <c r="N15" s="655"/>
      <c r="O15" s="655"/>
      <c r="P15" s="655"/>
      <c r="Q15" s="655"/>
      <c r="R15" s="655"/>
      <c r="S15" s="655"/>
      <c r="T15" s="655"/>
      <c r="U15" s="655"/>
      <c r="V15" s="655"/>
      <c r="W15" s="861">
        <f t="shared" si="2"/>
        <v>0</v>
      </c>
      <c r="X15" s="656"/>
      <c r="Y15" s="861">
        <f t="shared" si="3"/>
        <v>0</v>
      </c>
      <c r="Z15" s="863">
        <f t="shared" si="7"/>
        <v>0</v>
      </c>
      <c r="AA15" s="655"/>
      <c r="AB15" s="657"/>
      <c r="AC15" s="642"/>
      <c r="AD15" s="642"/>
    </row>
    <row r="16" spans="1:30" ht="15.6">
      <c r="A16" s="648"/>
      <c r="B16" s="654"/>
      <c r="C16" s="655"/>
      <c r="D16" s="655"/>
      <c r="E16" s="858">
        <f t="shared" si="4"/>
        <v>0</v>
      </c>
      <c r="F16" s="655"/>
      <c r="G16" s="858">
        <f t="shared" si="5"/>
        <v>0</v>
      </c>
      <c r="H16" s="655"/>
      <c r="I16" s="858">
        <f t="shared" si="6"/>
        <v>0</v>
      </c>
      <c r="J16" s="655"/>
      <c r="K16" s="655"/>
      <c r="L16" s="655"/>
      <c r="M16" s="655"/>
      <c r="N16" s="655"/>
      <c r="O16" s="655"/>
      <c r="P16" s="655"/>
      <c r="Q16" s="655"/>
      <c r="R16" s="655"/>
      <c r="S16" s="655"/>
      <c r="T16" s="655"/>
      <c r="U16" s="655"/>
      <c r="V16" s="655"/>
      <c r="W16" s="861">
        <f t="shared" si="2"/>
        <v>0</v>
      </c>
      <c r="X16" s="656"/>
      <c r="Y16" s="861">
        <f t="shared" si="3"/>
        <v>0</v>
      </c>
      <c r="Z16" s="863">
        <f t="shared" si="7"/>
        <v>0</v>
      </c>
      <c r="AA16" s="655"/>
      <c r="AB16" s="657"/>
      <c r="AC16" s="642"/>
      <c r="AD16" s="642"/>
    </row>
    <row r="17" spans="1:30" ht="15.6">
      <c r="A17" s="648" t="s">
        <v>358</v>
      </c>
      <c r="B17" s="654"/>
      <c r="C17" s="655"/>
      <c r="D17" s="655"/>
      <c r="E17" s="858">
        <f t="shared" si="4"/>
        <v>0</v>
      </c>
      <c r="F17" s="655"/>
      <c r="G17" s="858">
        <f t="shared" si="5"/>
        <v>0</v>
      </c>
      <c r="H17" s="655"/>
      <c r="I17" s="858">
        <f t="shared" si="6"/>
        <v>0</v>
      </c>
      <c r="J17" s="655"/>
      <c r="K17" s="655"/>
      <c r="L17" s="655"/>
      <c r="M17" s="655"/>
      <c r="N17" s="655"/>
      <c r="O17" s="655"/>
      <c r="P17" s="655"/>
      <c r="Q17" s="655"/>
      <c r="R17" s="655"/>
      <c r="S17" s="655"/>
      <c r="T17" s="655"/>
      <c r="U17" s="655"/>
      <c r="V17" s="655"/>
      <c r="W17" s="861">
        <f t="shared" si="2"/>
        <v>0</v>
      </c>
      <c r="X17" s="656"/>
      <c r="Y17" s="861">
        <f t="shared" si="3"/>
        <v>0</v>
      </c>
      <c r="Z17" s="863">
        <f t="shared" si="7"/>
        <v>0</v>
      </c>
      <c r="AA17" s="655"/>
      <c r="AB17" s="657"/>
      <c r="AC17" s="642"/>
      <c r="AD17" s="642"/>
    </row>
    <row r="18" spans="1:30" ht="15.6">
      <c r="A18" s="648"/>
      <c r="B18" s="654"/>
      <c r="C18" s="655"/>
      <c r="D18" s="655"/>
      <c r="E18" s="858">
        <f t="shared" si="4"/>
        <v>0</v>
      </c>
      <c r="F18" s="655"/>
      <c r="G18" s="858">
        <f t="shared" si="5"/>
        <v>0</v>
      </c>
      <c r="H18" s="655"/>
      <c r="I18" s="858">
        <f t="shared" si="6"/>
        <v>0</v>
      </c>
      <c r="J18" s="655"/>
      <c r="K18" s="655"/>
      <c r="L18" s="655"/>
      <c r="M18" s="655"/>
      <c r="N18" s="655"/>
      <c r="O18" s="655"/>
      <c r="P18" s="655"/>
      <c r="Q18" s="655"/>
      <c r="R18" s="655"/>
      <c r="S18" s="655"/>
      <c r="T18" s="655"/>
      <c r="U18" s="655"/>
      <c r="V18" s="655"/>
      <c r="W18" s="861">
        <f t="shared" si="2"/>
        <v>0</v>
      </c>
      <c r="X18" s="656"/>
      <c r="Y18" s="861">
        <f t="shared" si="3"/>
        <v>0</v>
      </c>
      <c r="Z18" s="863">
        <f t="shared" si="7"/>
        <v>0</v>
      </c>
      <c r="AA18" s="655"/>
      <c r="AB18" s="657"/>
      <c r="AC18" s="642"/>
      <c r="AD18" s="642"/>
    </row>
    <row r="19" spans="1:30" ht="15.6">
      <c r="A19" s="648" t="s">
        <v>299</v>
      </c>
      <c r="B19" s="659"/>
      <c r="C19" s="660"/>
      <c r="D19" s="660"/>
      <c r="E19" s="866">
        <f t="shared" si="4"/>
        <v>0</v>
      </c>
      <c r="F19" s="660"/>
      <c r="G19" s="866">
        <f t="shared" si="5"/>
        <v>0</v>
      </c>
      <c r="H19" s="660"/>
      <c r="I19" s="866">
        <f t="shared" si="6"/>
        <v>0</v>
      </c>
      <c r="J19" s="660"/>
      <c r="K19" s="660"/>
      <c r="L19" s="660"/>
      <c r="M19" s="660"/>
      <c r="N19" s="660"/>
      <c r="O19" s="660"/>
      <c r="P19" s="660"/>
      <c r="Q19" s="660"/>
      <c r="R19" s="660"/>
      <c r="S19" s="660"/>
      <c r="T19" s="660"/>
      <c r="U19" s="660"/>
      <c r="V19" s="660"/>
      <c r="W19" s="867">
        <f t="shared" si="2"/>
        <v>0</v>
      </c>
      <c r="X19" s="661"/>
      <c r="Y19" s="867">
        <f t="shared" si="3"/>
        <v>0</v>
      </c>
      <c r="Z19" s="868">
        <f t="shared" si="7"/>
        <v>0</v>
      </c>
      <c r="AA19" s="661"/>
      <c r="AB19" s="662"/>
      <c r="AC19" s="642"/>
      <c r="AD19" s="642"/>
    </row>
    <row r="20" spans="1:30" ht="15.6">
      <c r="A20" s="663">
        <v>2</v>
      </c>
      <c r="B20" s="643" t="s">
        <v>756</v>
      </c>
      <c r="C20" s="643"/>
      <c r="D20" s="643"/>
      <c r="E20" s="643"/>
      <c r="F20" s="643"/>
      <c r="G20" s="643"/>
      <c r="H20" s="643"/>
      <c r="I20" s="859">
        <f>SUM(I9:I19)</f>
        <v>0</v>
      </c>
      <c r="J20" s="643"/>
      <c r="K20" s="643"/>
      <c r="L20" s="643"/>
      <c r="M20" s="643"/>
      <c r="N20" s="643"/>
      <c r="O20" s="643"/>
      <c r="P20" s="643"/>
      <c r="Q20" s="643"/>
      <c r="R20" s="643"/>
      <c r="S20" s="643"/>
      <c r="T20" s="643"/>
      <c r="U20" s="642"/>
      <c r="V20" s="643"/>
      <c r="W20" s="643"/>
      <c r="X20" s="643"/>
      <c r="Y20" s="645"/>
      <c r="Z20" s="861">
        <f>SUM(Z9:Z19)</f>
        <v>0</v>
      </c>
      <c r="AA20" s="645"/>
      <c r="AB20" s="645"/>
      <c r="AC20" s="642"/>
      <c r="AD20" s="642"/>
    </row>
    <row r="21" spans="1:30" ht="15.6">
      <c r="A21" s="643"/>
      <c r="B21" s="643"/>
      <c r="C21" s="643"/>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2"/>
      <c r="AD21" s="642"/>
    </row>
    <row r="22" spans="1:30" ht="15.6">
      <c r="A22" s="643" t="s">
        <v>527</v>
      </c>
      <c r="B22" s="643"/>
      <c r="C22" s="643"/>
      <c r="D22" s="643"/>
      <c r="E22" s="643"/>
      <c r="F22" s="643"/>
      <c r="L22" s="642"/>
      <c r="M22" s="642"/>
      <c r="N22" s="642"/>
      <c r="O22" s="642"/>
      <c r="P22" s="642"/>
      <c r="Q22" s="642"/>
      <c r="R22" s="642"/>
      <c r="S22" s="642"/>
      <c r="T22" s="642"/>
      <c r="U22" s="642"/>
      <c r="V22" s="642"/>
      <c r="W22" s="643"/>
      <c r="X22" s="643"/>
      <c r="Y22" s="643"/>
      <c r="Z22" s="643"/>
      <c r="AA22" s="643"/>
      <c r="AB22" s="643"/>
      <c r="AC22" s="642"/>
      <c r="AD22" s="642"/>
    </row>
    <row r="23" spans="1:30" ht="15" customHeight="1">
      <c r="A23" s="119" t="s">
        <v>669</v>
      </c>
      <c r="B23" s="119"/>
      <c r="C23" s="119"/>
      <c r="D23" s="119"/>
      <c r="E23" s="823"/>
      <c r="F23" s="643"/>
      <c r="G23" s="643"/>
      <c r="H23" s="643"/>
      <c r="I23" s="643"/>
      <c r="J23" s="642"/>
      <c r="K23" s="642"/>
      <c r="L23" s="642"/>
      <c r="M23" s="642"/>
      <c r="N23" s="642"/>
      <c r="O23" s="642"/>
      <c r="P23" s="642"/>
      <c r="Q23" s="642"/>
      <c r="R23" s="642"/>
      <c r="S23" s="642"/>
      <c r="T23" s="642"/>
      <c r="U23" s="642"/>
      <c r="V23" s="642"/>
      <c r="W23" s="643"/>
      <c r="X23" s="643"/>
      <c r="Y23" s="643"/>
      <c r="Z23" s="643"/>
      <c r="AA23" s="643"/>
      <c r="AB23" s="643"/>
      <c r="AC23" s="642"/>
      <c r="AD23" s="642"/>
    </row>
    <row r="24" spans="1:30" ht="15.6">
      <c r="A24" s="642"/>
      <c r="B24" s="642"/>
      <c r="C24" s="642"/>
      <c r="D24" s="642"/>
      <c r="E24" s="642"/>
      <c r="F24" s="642"/>
      <c r="G24" s="642"/>
      <c r="H24" s="642"/>
      <c r="I24" s="642"/>
      <c r="J24" s="642"/>
      <c r="K24" s="642"/>
      <c r="L24" s="642"/>
      <c r="M24" s="642"/>
      <c r="N24" s="642"/>
      <c r="O24" s="642"/>
      <c r="P24" s="642"/>
      <c r="Q24" s="642"/>
      <c r="R24" s="642"/>
      <c r="S24" s="642"/>
      <c r="T24" s="642"/>
      <c r="U24" s="642"/>
      <c r="V24" s="642"/>
      <c r="W24" s="642"/>
      <c r="X24" s="642"/>
      <c r="Y24" s="642"/>
      <c r="Z24" s="642"/>
      <c r="AA24" s="642"/>
      <c r="AB24" s="642"/>
      <c r="AC24" s="642"/>
      <c r="AD24" s="642"/>
    </row>
    <row r="25" spans="1:30" ht="15.6">
      <c r="A25" s="644" t="s">
        <v>533</v>
      </c>
      <c r="B25" s="643"/>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2"/>
      <c r="AD25" s="642"/>
    </row>
    <row r="26" spans="1:30" ht="15.6">
      <c r="A26" s="643"/>
      <c r="B26" s="645" t="s">
        <v>394</v>
      </c>
      <c r="C26" s="645" t="s">
        <v>395</v>
      </c>
      <c r="D26" s="646" t="s">
        <v>416</v>
      </c>
      <c r="E26" s="645" t="s">
        <v>424</v>
      </c>
      <c r="F26" s="646" t="s">
        <v>425</v>
      </c>
      <c r="G26" s="645" t="s">
        <v>426</v>
      </c>
      <c r="H26" s="646" t="s">
        <v>427</v>
      </c>
      <c r="I26" s="645" t="s">
        <v>428</v>
      </c>
      <c r="J26" s="646" t="s">
        <v>443</v>
      </c>
      <c r="K26" s="645" t="s">
        <v>444</v>
      </c>
      <c r="L26" s="646" t="s">
        <v>492</v>
      </c>
      <c r="M26" s="645" t="s">
        <v>493</v>
      </c>
      <c r="N26" s="646" t="s">
        <v>494</v>
      </c>
      <c r="O26" s="645" t="s">
        <v>495</v>
      </c>
      <c r="P26" s="646" t="s">
        <v>496</v>
      </c>
      <c r="Q26" s="645" t="s">
        <v>497</v>
      </c>
      <c r="R26" s="645" t="s">
        <v>498</v>
      </c>
      <c r="S26" s="646" t="s">
        <v>499</v>
      </c>
      <c r="T26" s="646" t="s">
        <v>500</v>
      </c>
      <c r="U26" s="646" t="s">
        <v>502</v>
      </c>
      <c r="V26" s="646" t="s">
        <v>504</v>
      </c>
      <c r="W26" s="646" t="s">
        <v>515</v>
      </c>
      <c r="X26" s="646" t="s">
        <v>516</v>
      </c>
      <c r="Y26" s="646" t="s">
        <v>517</v>
      </c>
      <c r="Z26" s="646" t="s">
        <v>520</v>
      </c>
      <c r="AA26" s="646" t="s">
        <v>523</v>
      </c>
      <c r="AB26" s="646" t="s">
        <v>525</v>
      </c>
      <c r="AC26" s="642"/>
      <c r="AD26" s="642"/>
    </row>
    <row r="27" spans="1:30" ht="15.6">
      <c r="A27" s="643"/>
      <c r="B27" s="642"/>
      <c r="C27" s="642"/>
      <c r="D27" s="642"/>
      <c r="E27" s="642"/>
      <c r="F27" s="642"/>
      <c r="G27" s="642"/>
      <c r="H27" s="642"/>
      <c r="I27" s="642"/>
      <c r="J27" s="675" t="str">
        <f t="shared" ref="J27:V27" si="8">J7</f>
        <v>May 31</v>
      </c>
      <c r="K27" s="675" t="str">
        <f t="shared" si="8"/>
        <v>June 30</v>
      </c>
      <c r="L27" s="675" t="str">
        <f t="shared" si="8"/>
        <v>July 31</v>
      </c>
      <c r="M27" s="675" t="str">
        <f t="shared" si="8"/>
        <v>Aug. 31</v>
      </c>
      <c r="N27" s="675" t="str">
        <f t="shared" si="8"/>
        <v>Sept. 30</v>
      </c>
      <c r="O27" s="675" t="str">
        <f t="shared" si="8"/>
        <v>Oct. 31</v>
      </c>
      <c r="P27" s="675" t="str">
        <f t="shared" si="8"/>
        <v>Nov. 30</v>
      </c>
      <c r="Q27" s="675" t="str">
        <f t="shared" si="8"/>
        <v>Dec. 31</v>
      </c>
      <c r="R27" s="675" t="str">
        <f t="shared" si="8"/>
        <v>Jan 31</v>
      </c>
      <c r="S27" s="675" t="str">
        <f t="shared" si="8"/>
        <v>Feb 28</v>
      </c>
      <c r="T27" s="675" t="str">
        <f t="shared" si="8"/>
        <v>Mar 31</v>
      </c>
      <c r="U27" s="675" t="str">
        <f t="shared" si="8"/>
        <v>Apr 30</v>
      </c>
      <c r="V27" s="675" t="str">
        <f t="shared" si="8"/>
        <v>May 31</v>
      </c>
      <c r="W27" s="642"/>
      <c r="X27" s="642"/>
      <c r="Y27" s="642"/>
      <c r="Z27" s="642"/>
      <c r="AA27" s="642"/>
      <c r="AB27" s="642"/>
      <c r="AC27" s="642"/>
      <c r="AD27" s="642"/>
    </row>
    <row r="28" spans="1:30" ht="73.5" customHeight="1">
      <c r="A28" s="647" t="s">
        <v>37</v>
      </c>
      <c r="B28" s="827" t="s">
        <v>362</v>
      </c>
      <c r="C28" s="828" t="s">
        <v>512</v>
      </c>
      <c r="D28" s="828" t="s">
        <v>636</v>
      </c>
      <c r="E28" s="828" t="s">
        <v>509</v>
      </c>
      <c r="F28" s="828" t="s">
        <v>510</v>
      </c>
      <c r="G28" s="825" t="s">
        <v>511</v>
      </c>
      <c r="H28" s="825" t="s">
        <v>513</v>
      </c>
      <c r="I28" s="825" t="s">
        <v>514</v>
      </c>
      <c r="J28" s="676" t="str">
        <f t="shared" ref="J28:V28" si="9">J8</f>
        <v>2023</v>
      </c>
      <c r="K28" s="676" t="str">
        <f t="shared" si="9"/>
        <v>2023</v>
      </c>
      <c r="L28" s="676" t="str">
        <f t="shared" si="9"/>
        <v>2023</v>
      </c>
      <c r="M28" s="676" t="str">
        <f t="shared" si="9"/>
        <v>2023</v>
      </c>
      <c r="N28" s="676" t="str">
        <f t="shared" si="9"/>
        <v>2023</v>
      </c>
      <c r="O28" s="676" t="str">
        <f t="shared" si="9"/>
        <v>2023</v>
      </c>
      <c r="P28" s="676" t="str">
        <f t="shared" si="9"/>
        <v>2023</v>
      </c>
      <c r="Q28" s="676" t="str">
        <f t="shared" si="9"/>
        <v>2023</v>
      </c>
      <c r="R28" s="676" t="str">
        <f t="shared" si="9"/>
        <v>2024</v>
      </c>
      <c r="S28" s="676" t="str">
        <f t="shared" si="9"/>
        <v>2024</v>
      </c>
      <c r="T28" s="676" t="str">
        <f t="shared" si="9"/>
        <v>2024</v>
      </c>
      <c r="U28" s="676" t="str">
        <f t="shared" si="9"/>
        <v>2024</v>
      </c>
      <c r="V28" s="676" t="str">
        <f t="shared" si="9"/>
        <v>2024</v>
      </c>
      <c r="W28" s="825" t="s">
        <v>518</v>
      </c>
      <c r="X28" s="825" t="s">
        <v>519</v>
      </c>
      <c r="Y28" s="825" t="s">
        <v>521</v>
      </c>
      <c r="Z28" s="825" t="s">
        <v>522</v>
      </c>
      <c r="AA28" s="825" t="s">
        <v>524</v>
      </c>
      <c r="AB28" s="826" t="s">
        <v>526</v>
      </c>
      <c r="AC28" s="642"/>
      <c r="AD28" s="642"/>
    </row>
    <row r="29" spans="1:30" ht="15.6">
      <c r="A29" s="648" t="s">
        <v>529</v>
      </c>
      <c r="B29" s="649"/>
      <c r="C29" s="650"/>
      <c r="D29" s="650"/>
      <c r="E29" s="857">
        <f t="shared" ref="E29:E39" si="10">IF(D29=0,0,C29/D29)</f>
        <v>0</v>
      </c>
      <c r="F29" s="650"/>
      <c r="G29" s="857">
        <f>+E29*F29</f>
        <v>0</v>
      </c>
      <c r="H29" s="650"/>
      <c r="I29" s="857">
        <f>+G29*H29</f>
        <v>0</v>
      </c>
      <c r="J29" s="650"/>
      <c r="K29" s="650"/>
      <c r="L29" s="650"/>
      <c r="M29" s="650"/>
      <c r="N29" s="650"/>
      <c r="O29" s="650"/>
      <c r="P29" s="650"/>
      <c r="Q29" s="650"/>
      <c r="R29" s="650"/>
      <c r="S29" s="650"/>
      <c r="T29" s="650"/>
      <c r="U29" s="650"/>
      <c r="V29" s="650"/>
      <c r="W29" s="860">
        <f t="shared" ref="W29:W39" si="11">SUM(J29:V29)/13</f>
        <v>0</v>
      </c>
      <c r="X29" s="652"/>
      <c r="Y29" s="860">
        <f t="shared" ref="Y29:Y39" si="12">+H29</f>
        <v>0</v>
      </c>
      <c r="Z29" s="862">
        <f>+W29+X29+Y29</f>
        <v>0</v>
      </c>
      <c r="AA29" s="650"/>
      <c r="AB29" s="653"/>
      <c r="AC29" s="642"/>
      <c r="AD29" s="642"/>
    </row>
    <row r="30" spans="1:30" ht="15.6">
      <c r="A30" s="648" t="s">
        <v>530</v>
      </c>
      <c r="B30" s="654"/>
      <c r="C30" s="655"/>
      <c r="D30" s="655"/>
      <c r="E30" s="858">
        <f t="shared" si="10"/>
        <v>0</v>
      </c>
      <c r="F30" s="655"/>
      <c r="G30" s="858">
        <f t="shared" ref="G30:G39" si="13">+E30*F30</f>
        <v>0</v>
      </c>
      <c r="H30" s="655"/>
      <c r="I30" s="858">
        <f t="shared" ref="I30:I39" si="14">+G30*H30</f>
        <v>0</v>
      </c>
      <c r="J30" s="655"/>
      <c r="K30" s="655"/>
      <c r="L30" s="655"/>
      <c r="M30" s="655"/>
      <c r="N30" s="655"/>
      <c r="O30" s="655"/>
      <c r="P30" s="655"/>
      <c r="Q30" s="655"/>
      <c r="R30" s="655"/>
      <c r="S30" s="655"/>
      <c r="T30" s="655"/>
      <c r="U30" s="655"/>
      <c r="V30" s="655"/>
      <c r="W30" s="861">
        <f t="shared" si="11"/>
        <v>0</v>
      </c>
      <c r="X30" s="656"/>
      <c r="Y30" s="861">
        <f t="shared" si="12"/>
        <v>0</v>
      </c>
      <c r="Z30" s="863">
        <f t="shared" ref="Z30:Z39" si="15">+W30+X30+Y30</f>
        <v>0</v>
      </c>
      <c r="AA30" s="655"/>
      <c r="AB30" s="657"/>
      <c r="AC30" s="642"/>
      <c r="AD30" s="642"/>
    </row>
    <row r="31" spans="1:30" ht="15.6">
      <c r="A31" s="648" t="s">
        <v>531</v>
      </c>
      <c r="B31" s="654"/>
      <c r="C31" s="655"/>
      <c r="D31" s="655"/>
      <c r="E31" s="858">
        <f t="shared" si="10"/>
        <v>0</v>
      </c>
      <c r="F31" s="655"/>
      <c r="G31" s="858">
        <f t="shared" si="13"/>
        <v>0</v>
      </c>
      <c r="H31" s="655"/>
      <c r="I31" s="858">
        <f t="shared" si="14"/>
        <v>0</v>
      </c>
      <c r="J31" s="655"/>
      <c r="K31" s="655"/>
      <c r="L31" s="655"/>
      <c r="M31" s="655"/>
      <c r="N31" s="655"/>
      <c r="O31" s="655"/>
      <c r="P31" s="655"/>
      <c r="Q31" s="655"/>
      <c r="R31" s="655"/>
      <c r="S31" s="655"/>
      <c r="T31" s="655"/>
      <c r="U31" s="655"/>
      <c r="V31" s="655"/>
      <c r="W31" s="861">
        <f t="shared" si="11"/>
        <v>0</v>
      </c>
      <c r="X31" s="656"/>
      <c r="Y31" s="861">
        <f t="shared" si="12"/>
        <v>0</v>
      </c>
      <c r="Z31" s="863">
        <f t="shared" si="15"/>
        <v>0</v>
      </c>
      <c r="AA31" s="655"/>
      <c r="AB31" s="657"/>
      <c r="AC31" s="642"/>
      <c r="AD31" s="642"/>
    </row>
    <row r="32" spans="1:30" ht="15.6">
      <c r="A32" s="648"/>
      <c r="B32" s="654"/>
      <c r="C32" s="655"/>
      <c r="D32" s="655"/>
      <c r="E32" s="858">
        <f t="shared" si="10"/>
        <v>0</v>
      </c>
      <c r="F32" s="655"/>
      <c r="G32" s="858">
        <f t="shared" si="13"/>
        <v>0</v>
      </c>
      <c r="H32" s="655"/>
      <c r="I32" s="858">
        <f t="shared" si="14"/>
        <v>0</v>
      </c>
      <c r="J32" s="655"/>
      <c r="K32" s="655"/>
      <c r="L32" s="655"/>
      <c r="M32" s="655"/>
      <c r="N32" s="655"/>
      <c r="O32" s="655"/>
      <c r="P32" s="655"/>
      <c r="Q32" s="655"/>
      <c r="R32" s="655"/>
      <c r="S32" s="655"/>
      <c r="T32" s="655"/>
      <c r="U32" s="655"/>
      <c r="V32" s="655"/>
      <c r="W32" s="861">
        <f t="shared" si="11"/>
        <v>0</v>
      </c>
      <c r="X32" s="656"/>
      <c r="Y32" s="861">
        <f t="shared" si="12"/>
        <v>0</v>
      </c>
      <c r="Z32" s="863">
        <f t="shared" si="15"/>
        <v>0</v>
      </c>
      <c r="AA32" s="655"/>
      <c r="AB32" s="657"/>
      <c r="AC32" s="642"/>
      <c r="AD32" s="642"/>
    </row>
    <row r="33" spans="1:30" ht="15.6">
      <c r="A33" s="648" t="s">
        <v>358</v>
      </c>
      <c r="B33" s="654"/>
      <c r="C33" s="655"/>
      <c r="D33" s="655"/>
      <c r="E33" s="858">
        <f t="shared" si="10"/>
        <v>0</v>
      </c>
      <c r="F33" s="655"/>
      <c r="G33" s="858">
        <f t="shared" si="13"/>
        <v>0</v>
      </c>
      <c r="H33" s="655"/>
      <c r="I33" s="858">
        <f t="shared" si="14"/>
        <v>0</v>
      </c>
      <c r="J33" s="655"/>
      <c r="K33" s="655"/>
      <c r="L33" s="655"/>
      <c r="M33" s="655"/>
      <c r="N33" s="655"/>
      <c r="O33" s="655"/>
      <c r="P33" s="655"/>
      <c r="Q33" s="655"/>
      <c r="R33" s="655"/>
      <c r="S33" s="655"/>
      <c r="T33" s="655"/>
      <c r="U33" s="655"/>
      <c r="V33" s="655"/>
      <c r="W33" s="861">
        <f t="shared" si="11"/>
        <v>0</v>
      </c>
      <c r="X33" s="656"/>
      <c r="Y33" s="861">
        <f t="shared" si="12"/>
        <v>0</v>
      </c>
      <c r="Z33" s="863">
        <f t="shared" si="15"/>
        <v>0</v>
      </c>
      <c r="AA33" s="655"/>
      <c r="AB33" s="657"/>
      <c r="AC33" s="642"/>
      <c r="AD33" s="642"/>
    </row>
    <row r="34" spans="1:30" ht="15.6">
      <c r="A34" s="648"/>
      <c r="B34" s="654"/>
      <c r="C34" s="655"/>
      <c r="D34" s="655"/>
      <c r="E34" s="858">
        <f t="shared" si="10"/>
        <v>0</v>
      </c>
      <c r="F34" s="655"/>
      <c r="G34" s="858">
        <f t="shared" si="13"/>
        <v>0</v>
      </c>
      <c r="H34" s="655"/>
      <c r="I34" s="858">
        <f t="shared" si="14"/>
        <v>0</v>
      </c>
      <c r="J34" s="655"/>
      <c r="K34" s="655"/>
      <c r="L34" s="655"/>
      <c r="M34" s="655"/>
      <c r="N34" s="655"/>
      <c r="O34" s="655"/>
      <c r="P34" s="655"/>
      <c r="Q34" s="655"/>
      <c r="R34" s="655"/>
      <c r="S34" s="655"/>
      <c r="T34" s="655"/>
      <c r="U34" s="655"/>
      <c r="V34" s="655"/>
      <c r="W34" s="861">
        <f t="shared" si="11"/>
        <v>0</v>
      </c>
      <c r="X34" s="656"/>
      <c r="Y34" s="861">
        <f t="shared" si="12"/>
        <v>0</v>
      </c>
      <c r="Z34" s="863">
        <f t="shared" si="15"/>
        <v>0</v>
      </c>
      <c r="AA34" s="655"/>
      <c r="AB34" s="657"/>
      <c r="AC34" s="642"/>
      <c r="AD34" s="642"/>
    </row>
    <row r="35" spans="1:30" ht="15.6">
      <c r="A35" s="648"/>
      <c r="B35" s="654"/>
      <c r="C35" s="655"/>
      <c r="D35" s="655"/>
      <c r="E35" s="858">
        <f t="shared" si="10"/>
        <v>0</v>
      </c>
      <c r="F35" s="655"/>
      <c r="G35" s="858">
        <f t="shared" si="13"/>
        <v>0</v>
      </c>
      <c r="H35" s="655"/>
      <c r="I35" s="858">
        <f t="shared" si="14"/>
        <v>0</v>
      </c>
      <c r="J35" s="655"/>
      <c r="K35" s="655"/>
      <c r="L35" s="655"/>
      <c r="M35" s="655"/>
      <c r="N35" s="655"/>
      <c r="O35" s="655"/>
      <c r="P35" s="655"/>
      <c r="Q35" s="655"/>
      <c r="R35" s="655"/>
      <c r="S35" s="655"/>
      <c r="T35" s="655"/>
      <c r="U35" s="655"/>
      <c r="V35" s="655"/>
      <c r="W35" s="861">
        <f t="shared" si="11"/>
        <v>0</v>
      </c>
      <c r="X35" s="656"/>
      <c r="Y35" s="861">
        <f t="shared" si="12"/>
        <v>0</v>
      </c>
      <c r="Z35" s="863">
        <f t="shared" si="15"/>
        <v>0</v>
      </c>
      <c r="AA35" s="655"/>
      <c r="AB35" s="657"/>
      <c r="AC35" s="642"/>
      <c r="AD35" s="642"/>
    </row>
    <row r="36" spans="1:30" ht="15.6">
      <c r="A36" s="648"/>
      <c r="B36" s="654"/>
      <c r="C36" s="655"/>
      <c r="D36" s="655"/>
      <c r="E36" s="858">
        <f t="shared" si="10"/>
        <v>0</v>
      </c>
      <c r="F36" s="655"/>
      <c r="G36" s="858">
        <f t="shared" si="13"/>
        <v>0</v>
      </c>
      <c r="H36" s="655"/>
      <c r="I36" s="858">
        <f t="shared" si="14"/>
        <v>0</v>
      </c>
      <c r="J36" s="655"/>
      <c r="K36" s="655"/>
      <c r="L36" s="655"/>
      <c r="M36" s="655"/>
      <c r="N36" s="655"/>
      <c r="O36" s="655"/>
      <c r="P36" s="655"/>
      <c r="Q36" s="655"/>
      <c r="R36" s="655"/>
      <c r="S36" s="655"/>
      <c r="T36" s="655"/>
      <c r="U36" s="655"/>
      <c r="V36" s="655"/>
      <c r="W36" s="861">
        <f t="shared" si="11"/>
        <v>0</v>
      </c>
      <c r="X36" s="656"/>
      <c r="Y36" s="861">
        <f t="shared" si="12"/>
        <v>0</v>
      </c>
      <c r="Z36" s="863">
        <f t="shared" si="15"/>
        <v>0</v>
      </c>
      <c r="AA36" s="655"/>
      <c r="AB36" s="657"/>
      <c r="AC36" s="642"/>
      <c r="AD36" s="642"/>
    </row>
    <row r="37" spans="1:30" ht="15.6">
      <c r="A37" s="648" t="s">
        <v>358</v>
      </c>
      <c r="B37" s="654"/>
      <c r="C37" s="655"/>
      <c r="D37" s="655"/>
      <c r="E37" s="858">
        <f t="shared" si="10"/>
        <v>0</v>
      </c>
      <c r="F37" s="655"/>
      <c r="G37" s="858">
        <f t="shared" si="13"/>
        <v>0</v>
      </c>
      <c r="H37" s="655"/>
      <c r="I37" s="858">
        <f t="shared" si="14"/>
        <v>0</v>
      </c>
      <c r="J37" s="655"/>
      <c r="K37" s="655"/>
      <c r="L37" s="655"/>
      <c r="M37" s="655"/>
      <c r="N37" s="655"/>
      <c r="O37" s="655"/>
      <c r="P37" s="655"/>
      <c r="Q37" s="655"/>
      <c r="R37" s="655"/>
      <c r="S37" s="655"/>
      <c r="T37" s="655"/>
      <c r="U37" s="655"/>
      <c r="V37" s="655"/>
      <c r="W37" s="861">
        <f t="shared" si="11"/>
        <v>0</v>
      </c>
      <c r="X37" s="656"/>
      <c r="Y37" s="861">
        <f t="shared" si="12"/>
        <v>0</v>
      </c>
      <c r="Z37" s="863">
        <f t="shared" si="15"/>
        <v>0</v>
      </c>
      <c r="AA37" s="655"/>
      <c r="AB37" s="657"/>
      <c r="AC37" s="642"/>
      <c r="AD37" s="642"/>
    </row>
    <row r="38" spans="1:30" ht="15.6">
      <c r="A38" s="648"/>
      <c r="B38" s="654"/>
      <c r="C38" s="655"/>
      <c r="D38" s="655"/>
      <c r="E38" s="858">
        <f t="shared" si="10"/>
        <v>0</v>
      </c>
      <c r="F38" s="655"/>
      <c r="G38" s="858">
        <f t="shared" si="13"/>
        <v>0</v>
      </c>
      <c r="H38" s="655"/>
      <c r="I38" s="858">
        <f t="shared" si="14"/>
        <v>0</v>
      </c>
      <c r="J38" s="655"/>
      <c r="K38" s="655"/>
      <c r="L38" s="655"/>
      <c r="M38" s="655"/>
      <c r="N38" s="655"/>
      <c r="O38" s="655"/>
      <c r="P38" s="655"/>
      <c r="Q38" s="655"/>
      <c r="R38" s="655"/>
      <c r="S38" s="655"/>
      <c r="T38" s="655"/>
      <c r="U38" s="655"/>
      <c r="V38" s="655"/>
      <c r="W38" s="861">
        <f t="shared" si="11"/>
        <v>0</v>
      </c>
      <c r="X38" s="656"/>
      <c r="Y38" s="861">
        <f t="shared" si="12"/>
        <v>0</v>
      </c>
      <c r="Z38" s="863">
        <f t="shared" si="15"/>
        <v>0</v>
      </c>
      <c r="AA38" s="655"/>
      <c r="AB38" s="657"/>
      <c r="AC38" s="642"/>
      <c r="AD38" s="642"/>
    </row>
    <row r="39" spans="1:30" ht="15.6">
      <c r="A39" s="648" t="s">
        <v>532</v>
      </c>
      <c r="B39" s="659"/>
      <c r="C39" s="660"/>
      <c r="D39" s="660"/>
      <c r="E39" s="866">
        <f t="shared" si="10"/>
        <v>0</v>
      </c>
      <c r="F39" s="660"/>
      <c r="G39" s="866">
        <f t="shared" si="13"/>
        <v>0</v>
      </c>
      <c r="H39" s="660"/>
      <c r="I39" s="866">
        <f t="shared" si="14"/>
        <v>0</v>
      </c>
      <c r="J39" s="660"/>
      <c r="K39" s="660"/>
      <c r="L39" s="660"/>
      <c r="M39" s="660"/>
      <c r="N39" s="660"/>
      <c r="O39" s="660"/>
      <c r="P39" s="660"/>
      <c r="Q39" s="660"/>
      <c r="R39" s="660"/>
      <c r="S39" s="660"/>
      <c r="T39" s="660"/>
      <c r="U39" s="660"/>
      <c r="V39" s="660"/>
      <c r="W39" s="867">
        <f t="shared" si="11"/>
        <v>0</v>
      </c>
      <c r="X39" s="661"/>
      <c r="Y39" s="867">
        <f t="shared" si="12"/>
        <v>0</v>
      </c>
      <c r="Z39" s="868">
        <f t="shared" si="15"/>
        <v>0</v>
      </c>
      <c r="AA39" s="661"/>
      <c r="AB39" s="662"/>
      <c r="AC39" s="642"/>
      <c r="AD39" s="642"/>
    </row>
    <row r="40" spans="1:30" ht="15.6">
      <c r="A40" s="663">
        <v>4</v>
      </c>
      <c r="B40" s="643" t="s">
        <v>757</v>
      </c>
      <c r="C40" s="643"/>
      <c r="D40" s="643"/>
      <c r="E40" s="643"/>
      <c r="F40" s="643"/>
      <c r="G40" s="643"/>
      <c r="H40" s="643"/>
      <c r="I40" s="643"/>
      <c r="J40" s="643"/>
      <c r="K40" s="643"/>
      <c r="L40" s="643"/>
      <c r="M40" s="643"/>
      <c r="N40" s="643"/>
      <c r="O40" s="643"/>
      <c r="P40" s="643"/>
      <c r="Q40" s="643"/>
      <c r="R40" s="643"/>
      <c r="S40" s="643"/>
      <c r="T40" s="643"/>
      <c r="U40" s="642"/>
      <c r="V40" s="643"/>
      <c r="W40" s="643"/>
      <c r="X40" s="643"/>
      <c r="Y40" s="645"/>
      <c r="Z40" s="869">
        <f>SUM(Z29:Z39)</f>
        <v>0</v>
      </c>
      <c r="AA40" s="645"/>
      <c r="AB40" s="645"/>
      <c r="AC40" s="642"/>
      <c r="AD40" s="642"/>
    </row>
    <row r="41" spans="1:30" ht="15.6">
      <c r="A41" s="643"/>
      <c r="B41" s="643"/>
      <c r="C41" s="643"/>
      <c r="D41" s="643"/>
      <c r="E41" s="643"/>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2"/>
      <c r="AD41" s="642"/>
    </row>
    <row r="42" spans="1:30" ht="15.6">
      <c r="A42" s="643" t="s">
        <v>527</v>
      </c>
      <c r="B42" s="643"/>
      <c r="C42" s="643"/>
      <c r="D42" s="643"/>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c r="AC42" s="642"/>
      <c r="AD42" s="642"/>
    </row>
    <row r="43" spans="1:30" ht="15.6">
      <c r="A43" s="642"/>
      <c r="B43" s="643"/>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2"/>
      <c r="AD43" s="642"/>
    </row>
    <row r="44" spans="1:30" ht="15.6">
      <c r="F44" s="1232"/>
      <c r="G44" s="1232"/>
      <c r="H44" s="1232"/>
      <c r="I44" s="1232"/>
      <c r="J44" s="1232"/>
      <c r="K44" s="1232"/>
      <c r="L44" s="1232"/>
      <c r="M44" s="1232"/>
      <c r="N44" s="1232"/>
      <c r="O44" s="1232"/>
      <c r="P44" s="1232"/>
      <c r="Q44" s="1232"/>
      <c r="R44" s="1232"/>
      <c r="S44" s="642"/>
      <c r="T44" s="642"/>
      <c r="U44" s="642"/>
      <c r="V44" s="642"/>
      <c r="W44" s="642"/>
      <c r="X44" s="642"/>
      <c r="Y44" s="642"/>
      <c r="Z44" s="642"/>
      <c r="AA44" s="642"/>
      <c r="AB44" s="642"/>
      <c r="AC44" s="642"/>
      <c r="AD44" s="642"/>
    </row>
    <row r="45" spans="1:30" ht="15.6">
      <c r="A45" s="683" t="s">
        <v>579</v>
      </c>
      <c r="B45" s="642"/>
      <c r="C45" s="642"/>
      <c r="D45" s="642"/>
      <c r="E45" s="642"/>
      <c r="F45" s="1233"/>
      <c r="G45" s="1233"/>
      <c r="H45" s="1233"/>
      <c r="I45" s="1233"/>
      <c r="J45" s="1233"/>
      <c r="K45" s="1233"/>
      <c r="L45" s="1233"/>
      <c r="M45" s="1233"/>
      <c r="N45" s="1233"/>
      <c r="O45" s="1233"/>
      <c r="P45" s="1233"/>
      <c r="Q45" s="1233"/>
      <c r="R45" s="1233"/>
      <c r="S45" s="642"/>
      <c r="T45" s="642"/>
      <c r="U45" s="642"/>
      <c r="V45" s="642"/>
      <c r="W45" s="642"/>
      <c r="X45" s="642"/>
      <c r="Y45" s="642"/>
      <c r="Z45" s="642"/>
      <c r="AA45" s="642"/>
      <c r="AB45" s="642"/>
      <c r="AC45" s="642"/>
      <c r="AD45" s="642"/>
    </row>
    <row r="46" spans="1:30" ht="15.6">
      <c r="A46" s="668"/>
      <c r="B46" s="669"/>
      <c r="C46" s="669"/>
      <c r="D46" s="669"/>
      <c r="E46" s="670"/>
      <c r="F46" s="669"/>
      <c r="G46" s="670"/>
      <c r="H46" s="670"/>
      <c r="I46" s="670"/>
      <c r="J46" s="670"/>
      <c r="K46" s="670"/>
      <c r="L46" s="670"/>
      <c r="M46" s="670"/>
      <c r="N46" s="670"/>
      <c r="O46" s="670"/>
      <c r="P46" s="670"/>
      <c r="Q46" s="670"/>
      <c r="R46" s="670"/>
      <c r="S46" s="642"/>
      <c r="T46" s="642"/>
      <c r="U46" s="642"/>
      <c r="V46" s="642"/>
      <c r="W46" s="642"/>
      <c r="X46" s="642"/>
      <c r="Y46" s="642"/>
      <c r="Z46" s="642"/>
      <c r="AA46" s="642"/>
      <c r="AB46" s="642"/>
      <c r="AC46" s="642"/>
      <c r="AD46" s="642"/>
    </row>
    <row r="47" spans="1:30" ht="15.6">
      <c r="A47" s="671"/>
      <c r="B47" s="672" t="s">
        <v>394</v>
      </c>
      <c r="C47" s="673" t="s">
        <v>395</v>
      </c>
      <c r="D47" s="674" t="s">
        <v>540</v>
      </c>
      <c r="E47" s="674" t="s">
        <v>424</v>
      </c>
      <c r="F47" s="674" t="s">
        <v>541</v>
      </c>
      <c r="G47" s="674" t="s">
        <v>426</v>
      </c>
      <c r="H47" s="674" t="s">
        <v>427</v>
      </c>
      <c r="I47" s="674" t="s">
        <v>428</v>
      </c>
      <c r="J47" s="674" t="s">
        <v>443</v>
      </c>
      <c r="K47" s="674" t="s">
        <v>444</v>
      </c>
      <c r="L47" s="674" t="s">
        <v>492</v>
      </c>
      <c r="M47" s="674" t="s">
        <v>493</v>
      </c>
      <c r="N47" s="674" t="s">
        <v>494</v>
      </c>
      <c r="O47" s="674" t="s">
        <v>495</v>
      </c>
      <c r="P47" s="674" t="s">
        <v>496</v>
      </c>
      <c r="Q47" s="673" t="s">
        <v>497</v>
      </c>
      <c r="R47" s="671" t="s">
        <v>498</v>
      </c>
      <c r="S47" s="642"/>
      <c r="T47" s="642"/>
      <c r="U47" s="642"/>
      <c r="V47" s="642"/>
      <c r="W47" s="642"/>
      <c r="X47" s="642"/>
      <c r="Y47" s="642"/>
      <c r="Z47" s="642"/>
      <c r="AA47" s="642"/>
      <c r="AB47" s="642"/>
      <c r="AC47" s="642"/>
      <c r="AD47" s="642"/>
    </row>
    <row r="48" spans="1:30" ht="15.6">
      <c r="A48" s="1234" t="s">
        <v>37</v>
      </c>
      <c r="B48" s="1236" t="s">
        <v>542</v>
      </c>
      <c r="C48" s="1237" t="s">
        <v>543</v>
      </c>
      <c r="D48" s="1237" t="s">
        <v>561</v>
      </c>
      <c r="E48" s="675" t="str">
        <f t="shared" ref="E48:Q49" si="16">J27</f>
        <v>May 31</v>
      </c>
      <c r="F48" s="675" t="str">
        <f t="shared" si="16"/>
        <v>June 30</v>
      </c>
      <c r="G48" s="675" t="str">
        <f t="shared" si="16"/>
        <v>July 31</v>
      </c>
      <c r="H48" s="675" t="str">
        <f t="shared" ref="H48:L49" si="17">M27</f>
        <v>Aug. 31</v>
      </c>
      <c r="I48" s="675" t="str">
        <f t="shared" si="17"/>
        <v>Sept. 30</v>
      </c>
      <c r="J48" s="675" t="str">
        <f t="shared" si="17"/>
        <v>Oct. 31</v>
      </c>
      <c r="K48" s="675" t="str">
        <f t="shared" si="17"/>
        <v>Nov. 30</v>
      </c>
      <c r="L48" s="675" t="str">
        <f t="shared" si="17"/>
        <v>Dec. 31</v>
      </c>
      <c r="M48" s="675" t="str">
        <f t="shared" si="16"/>
        <v>Jan 31</v>
      </c>
      <c r="N48" s="675" t="str">
        <f t="shared" si="16"/>
        <v>Feb 28</v>
      </c>
      <c r="O48" s="675" t="str">
        <f t="shared" si="16"/>
        <v>Mar 31</v>
      </c>
      <c r="P48" s="675" t="str">
        <f t="shared" si="16"/>
        <v>Apr 30</v>
      </c>
      <c r="Q48" s="675" t="str">
        <f t="shared" si="16"/>
        <v>May 31</v>
      </c>
      <c r="R48" s="1239" t="s">
        <v>761</v>
      </c>
      <c r="T48" s="642"/>
      <c r="U48" s="642"/>
      <c r="V48" s="642"/>
      <c r="W48" s="642"/>
      <c r="X48" s="642"/>
      <c r="Y48" s="642"/>
      <c r="Z48" s="642"/>
      <c r="AA48" s="642"/>
      <c r="AB48" s="642"/>
      <c r="AC48" s="642"/>
      <c r="AD48" s="642"/>
    </row>
    <row r="49" spans="1:30" ht="24" customHeight="1">
      <c r="A49" s="1235"/>
      <c r="B49" s="1235"/>
      <c r="C49" s="1238"/>
      <c r="D49" s="1238"/>
      <c r="E49" s="676" t="str">
        <f t="shared" si="16"/>
        <v>2023</v>
      </c>
      <c r="F49" s="676" t="str">
        <f t="shared" si="16"/>
        <v>2023</v>
      </c>
      <c r="G49" s="676" t="str">
        <f t="shared" si="16"/>
        <v>2023</v>
      </c>
      <c r="H49" s="676" t="str">
        <f t="shared" si="17"/>
        <v>2023</v>
      </c>
      <c r="I49" s="676" t="str">
        <f t="shared" si="17"/>
        <v>2023</v>
      </c>
      <c r="J49" s="676" t="str">
        <f t="shared" si="17"/>
        <v>2023</v>
      </c>
      <c r="K49" s="676" t="str">
        <f t="shared" si="17"/>
        <v>2023</v>
      </c>
      <c r="L49" s="676" t="str">
        <f t="shared" si="17"/>
        <v>2023</v>
      </c>
      <c r="M49" s="676" t="str">
        <f t="shared" si="16"/>
        <v>2024</v>
      </c>
      <c r="N49" s="676" t="str">
        <f t="shared" si="16"/>
        <v>2024</v>
      </c>
      <c r="O49" s="676" t="str">
        <f t="shared" si="16"/>
        <v>2024</v>
      </c>
      <c r="P49" s="676" t="str">
        <f t="shared" si="16"/>
        <v>2024</v>
      </c>
      <c r="Q49" s="676" t="str">
        <f t="shared" si="16"/>
        <v>2024</v>
      </c>
      <c r="R49" s="1240"/>
      <c r="T49" s="642"/>
      <c r="U49" s="642"/>
      <c r="V49" s="642"/>
      <c r="W49" s="642"/>
      <c r="X49" s="642"/>
      <c r="Y49" s="642"/>
      <c r="Z49" s="642"/>
      <c r="AA49" s="642"/>
      <c r="AB49" s="642"/>
      <c r="AC49" s="642"/>
      <c r="AD49" s="642"/>
    </row>
    <row r="50" spans="1:30" ht="15.6">
      <c r="A50" s="870" t="s">
        <v>568</v>
      </c>
      <c r="B50" s="873"/>
      <c r="C50" s="677"/>
      <c r="D50" s="677"/>
      <c r="E50" s="677"/>
      <c r="F50" s="677"/>
      <c r="G50" s="677"/>
      <c r="H50" s="677"/>
      <c r="I50" s="677"/>
      <c r="J50" s="677"/>
      <c r="K50" s="677"/>
      <c r="L50" s="677"/>
      <c r="M50" s="677"/>
      <c r="N50" s="677"/>
      <c r="O50" s="677"/>
      <c r="P50" s="677"/>
      <c r="Q50" s="677"/>
      <c r="R50" s="874">
        <f t="shared" ref="R50:R59" si="18">IFERROR(SUM(E50:Q50)/13,0)</f>
        <v>0</v>
      </c>
      <c r="T50" s="642"/>
      <c r="U50" s="642"/>
      <c r="V50" s="642"/>
      <c r="W50" s="642"/>
      <c r="X50" s="642"/>
      <c r="Y50" s="642"/>
      <c r="Z50" s="642"/>
      <c r="AA50" s="642"/>
      <c r="AB50" s="642"/>
      <c r="AC50" s="642"/>
      <c r="AD50" s="642"/>
    </row>
    <row r="51" spans="1:30" ht="15.6">
      <c r="A51" s="871" t="s">
        <v>569</v>
      </c>
      <c r="B51" s="875"/>
      <c r="C51" s="677"/>
      <c r="D51" s="677"/>
      <c r="E51" s="677"/>
      <c r="F51" s="677"/>
      <c r="G51" s="677"/>
      <c r="H51" s="677"/>
      <c r="I51" s="677"/>
      <c r="J51" s="677"/>
      <c r="K51" s="677"/>
      <c r="L51" s="677"/>
      <c r="M51" s="677"/>
      <c r="N51" s="677"/>
      <c r="O51" s="677"/>
      <c r="P51" s="677"/>
      <c r="Q51" s="677"/>
      <c r="R51" s="874">
        <f t="shared" si="18"/>
        <v>0</v>
      </c>
      <c r="T51" s="642"/>
      <c r="U51" s="642"/>
      <c r="V51" s="642"/>
      <c r="W51" s="642"/>
      <c r="X51" s="642"/>
      <c r="Y51" s="642"/>
      <c r="Z51" s="642"/>
      <c r="AA51" s="642"/>
      <c r="AB51" s="642"/>
      <c r="AC51" s="642"/>
      <c r="AD51" s="642"/>
    </row>
    <row r="52" spans="1:30" ht="15.6">
      <c r="A52" s="871" t="s">
        <v>570</v>
      </c>
      <c r="B52" s="875"/>
      <c r="C52" s="677"/>
      <c r="D52" s="677"/>
      <c r="E52" s="677"/>
      <c r="F52" s="677"/>
      <c r="G52" s="677"/>
      <c r="H52" s="677"/>
      <c r="I52" s="677"/>
      <c r="J52" s="677"/>
      <c r="K52" s="677"/>
      <c r="L52" s="677"/>
      <c r="M52" s="677"/>
      <c r="N52" s="677"/>
      <c r="O52" s="677"/>
      <c r="P52" s="677"/>
      <c r="Q52" s="677"/>
      <c r="R52" s="874">
        <f t="shared" si="18"/>
        <v>0</v>
      </c>
      <c r="T52" s="642"/>
      <c r="U52" s="642"/>
      <c r="V52" s="642"/>
      <c r="W52" s="642"/>
      <c r="X52" s="642"/>
      <c r="Y52" s="642"/>
      <c r="Z52" s="642"/>
      <c r="AA52" s="642"/>
      <c r="AB52" s="642"/>
      <c r="AC52" s="642"/>
      <c r="AD52" s="642"/>
    </row>
    <row r="53" spans="1:30" ht="15.6">
      <c r="A53" s="871" t="s">
        <v>358</v>
      </c>
      <c r="B53" s="875"/>
      <c r="C53" s="677"/>
      <c r="D53" s="677"/>
      <c r="E53" s="677"/>
      <c r="F53" s="677"/>
      <c r="G53" s="677"/>
      <c r="H53" s="677"/>
      <c r="I53" s="677"/>
      <c r="J53" s="677"/>
      <c r="K53" s="677"/>
      <c r="L53" s="677"/>
      <c r="M53" s="677"/>
      <c r="N53" s="677"/>
      <c r="O53" s="677"/>
      <c r="P53" s="677"/>
      <c r="Q53" s="677"/>
      <c r="R53" s="874">
        <f t="shared" si="18"/>
        <v>0</v>
      </c>
      <c r="T53" s="642"/>
      <c r="U53" s="642"/>
      <c r="V53" s="642"/>
      <c r="W53" s="642"/>
      <c r="X53" s="642"/>
      <c r="Y53" s="642"/>
      <c r="Z53" s="642"/>
      <c r="AA53" s="642"/>
      <c r="AB53" s="642"/>
      <c r="AC53" s="642"/>
      <c r="AD53" s="642"/>
    </row>
    <row r="54" spans="1:30" ht="15.6">
      <c r="A54" s="871" t="s">
        <v>358</v>
      </c>
      <c r="B54" s="875"/>
      <c r="C54" s="677"/>
      <c r="D54" s="677"/>
      <c r="E54" s="677"/>
      <c r="F54" s="677"/>
      <c r="G54" s="677"/>
      <c r="H54" s="677"/>
      <c r="I54" s="677"/>
      <c r="J54" s="677"/>
      <c r="K54" s="677"/>
      <c r="L54" s="677"/>
      <c r="M54" s="677"/>
      <c r="N54" s="677"/>
      <c r="O54" s="677"/>
      <c r="P54" s="677"/>
      <c r="Q54" s="677"/>
      <c r="R54" s="874">
        <f t="shared" si="18"/>
        <v>0</v>
      </c>
      <c r="T54" s="642"/>
      <c r="U54" s="642"/>
      <c r="V54" s="642"/>
      <c r="W54" s="642"/>
      <c r="X54" s="642"/>
      <c r="Y54" s="642"/>
      <c r="Z54" s="642"/>
      <c r="AA54" s="642"/>
      <c r="AB54" s="642"/>
      <c r="AC54" s="642"/>
      <c r="AD54" s="642"/>
    </row>
    <row r="55" spans="1:30" ht="15.6">
      <c r="A55" s="871" t="s">
        <v>358</v>
      </c>
      <c r="B55" s="875"/>
      <c r="C55" s="677"/>
      <c r="D55" s="677"/>
      <c r="E55" s="677"/>
      <c r="F55" s="677"/>
      <c r="G55" s="677"/>
      <c r="H55" s="677"/>
      <c r="I55" s="677"/>
      <c r="J55" s="677"/>
      <c r="K55" s="677"/>
      <c r="L55" s="677"/>
      <c r="M55" s="677"/>
      <c r="N55" s="677"/>
      <c r="O55" s="677"/>
      <c r="P55" s="677"/>
      <c r="Q55" s="677"/>
      <c r="R55" s="874">
        <f t="shared" si="18"/>
        <v>0</v>
      </c>
      <c r="T55" s="642"/>
      <c r="U55" s="642"/>
      <c r="V55" s="642"/>
      <c r="W55" s="642"/>
      <c r="X55" s="642"/>
      <c r="Y55" s="642"/>
      <c r="Z55" s="642"/>
      <c r="AA55" s="642"/>
      <c r="AB55" s="642"/>
      <c r="AC55" s="642"/>
      <c r="AD55" s="642"/>
    </row>
    <row r="56" spans="1:30" ht="15.6">
      <c r="A56" s="871" t="s">
        <v>358</v>
      </c>
      <c r="B56" s="875"/>
      <c r="C56" s="677"/>
      <c r="D56" s="677"/>
      <c r="E56" s="677"/>
      <c r="F56" s="677"/>
      <c r="G56" s="677"/>
      <c r="H56" s="677"/>
      <c r="I56" s="677"/>
      <c r="J56" s="677"/>
      <c r="K56" s="677"/>
      <c r="L56" s="677"/>
      <c r="M56" s="677"/>
      <c r="N56" s="677"/>
      <c r="O56" s="677"/>
      <c r="P56" s="677"/>
      <c r="Q56" s="677"/>
      <c r="R56" s="874">
        <f t="shared" si="18"/>
        <v>0</v>
      </c>
      <c r="T56" s="642"/>
      <c r="U56" s="642"/>
      <c r="V56" s="642"/>
      <c r="W56" s="642"/>
      <c r="X56" s="642"/>
      <c r="Y56" s="642"/>
      <c r="Z56" s="642"/>
      <c r="AA56" s="642"/>
      <c r="AB56" s="642"/>
      <c r="AC56" s="642"/>
      <c r="AD56" s="642"/>
    </row>
    <row r="57" spans="1:30" ht="15.6">
      <c r="A57" s="871" t="s">
        <v>358</v>
      </c>
      <c r="B57" s="875"/>
      <c r="C57" s="677"/>
      <c r="D57" s="677"/>
      <c r="E57" s="677"/>
      <c r="F57" s="677"/>
      <c r="G57" s="677"/>
      <c r="H57" s="677"/>
      <c r="I57" s="677"/>
      <c r="J57" s="677"/>
      <c r="K57" s="677"/>
      <c r="L57" s="677"/>
      <c r="M57" s="677"/>
      <c r="N57" s="677"/>
      <c r="O57" s="677"/>
      <c r="P57" s="677"/>
      <c r="Q57" s="677"/>
      <c r="R57" s="874">
        <f t="shared" si="18"/>
        <v>0</v>
      </c>
      <c r="T57" s="642"/>
      <c r="U57" s="642"/>
      <c r="V57" s="642"/>
      <c r="W57" s="642"/>
      <c r="X57" s="642"/>
      <c r="Y57" s="642"/>
      <c r="Z57" s="642"/>
      <c r="AA57" s="642"/>
      <c r="AB57" s="642"/>
      <c r="AC57" s="642"/>
      <c r="AD57" s="642"/>
    </row>
    <row r="58" spans="1:30" ht="15.6">
      <c r="A58" s="871" t="s">
        <v>358</v>
      </c>
      <c r="B58" s="875"/>
      <c r="C58" s="677"/>
      <c r="D58" s="677"/>
      <c r="E58" s="677"/>
      <c r="F58" s="677"/>
      <c r="G58" s="677"/>
      <c r="H58" s="677"/>
      <c r="I58" s="677"/>
      <c r="J58" s="677"/>
      <c r="K58" s="677"/>
      <c r="L58" s="677"/>
      <c r="M58" s="677"/>
      <c r="N58" s="677"/>
      <c r="O58" s="677"/>
      <c r="P58" s="677"/>
      <c r="Q58" s="677"/>
      <c r="R58" s="874">
        <f t="shared" si="18"/>
        <v>0</v>
      </c>
      <c r="T58" s="642"/>
      <c r="U58" s="642"/>
      <c r="V58" s="642"/>
      <c r="W58" s="642"/>
      <c r="X58" s="642"/>
      <c r="Y58" s="642"/>
      <c r="Z58" s="642"/>
      <c r="AA58" s="642"/>
      <c r="AB58" s="642"/>
      <c r="AC58" s="642"/>
      <c r="AD58" s="642"/>
    </row>
    <row r="59" spans="1:30" ht="15.6">
      <c r="A59" s="872" t="s">
        <v>571</v>
      </c>
      <c r="B59" s="876"/>
      <c r="C59" s="678"/>
      <c r="D59" s="678"/>
      <c r="E59" s="678"/>
      <c r="F59" s="678"/>
      <c r="G59" s="678"/>
      <c r="H59" s="678"/>
      <c r="I59" s="678"/>
      <c r="J59" s="678"/>
      <c r="K59" s="678"/>
      <c r="L59" s="678"/>
      <c r="M59" s="678"/>
      <c r="N59" s="678"/>
      <c r="O59" s="678"/>
      <c r="P59" s="678"/>
      <c r="Q59" s="678"/>
      <c r="R59" s="877">
        <f t="shared" si="18"/>
        <v>0</v>
      </c>
      <c r="T59" s="642"/>
      <c r="U59" s="642"/>
      <c r="V59" s="642"/>
      <c r="W59" s="642"/>
      <c r="X59" s="642"/>
      <c r="Y59" s="642"/>
      <c r="Z59" s="642"/>
      <c r="AA59" s="642"/>
      <c r="AB59" s="642"/>
      <c r="AC59" s="642"/>
      <c r="AD59" s="642"/>
    </row>
    <row r="60" spans="1:30" ht="15.6">
      <c r="A60" s="688">
        <v>6</v>
      </c>
      <c r="B60" s="692"/>
      <c r="C60" s="679"/>
      <c r="D60" s="679" t="s">
        <v>758</v>
      </c>
      <c r="F60" s="680"/>
      <c r="G60" s="680"/>
      <c r="H60" s="680"/>
      <c r="I60" s="680"/>
      <c r="J60" s="680"/>
      <c r="K60" s="680"/>
      <c r="L60" s="680"/>
      <c r="M60" s="680"/>
      <c r="N60" s="668"/>
      <c r="O60" s="668"/>
      <c r="P60" s="668"/>
      <c r="Q60" s="668"/>
      <c r="R60" s="668"/>
      <c r="S60" s="824">
        <f>SUM(R50:R59)</f>
        <v>0</v>
      </c>
      <c r="T60" s="642"/>
      <c r="U60" s="642"/>
      <c r="V60" s="642"/>
      <c r="W60" s="642"/>
      <c r="X60" s="642"/>
      <c r="Y60" s="642"/>
      <c r="Z60" s="642"/>
      <c r="AA60" s="642"/>
      <c r="AB60" s="642"/>
      <c r="AC60" s="642"/>
      <c r="AD60" s="642"/>
    </row>
    <row r="61" spans="1:30" ht="15.6">
      <c r="A61" s="642"/>
      <c r="B61" s="642"/>
      <c r="C61" s="642"/>
      <c r="D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c r="AD61" s="642"/>
    </row>
    <row r="62" spans="1:30" ht="15.6">
      <c r="A62" s="643"/>
      <c r="B62" s="643"/>
      <c r="C62" s="643"/>
      <c r="D62" s="643"/>
      <c r="E62" s="643"/>
      <c r="F62" s="643"/>
      <c r="G62" s="643"/>
      <c r="H62" s="643"/>
      <c r="I62" s="643"/>
      <c r="J62" s="643"/>
      <c r="K62" s="643"/>
      <c r="L62" s="643"/>
      <c r="M62" s="643"/>
      <c r="N62" s="643"/>
      <c r="O62" s="643"/>
      <c r="P62" s="643"/>
      <c r="Q62" s="643"/>
      <c r="R62" s="643"/>
      <c r="S62" s="643"/>
      <c r="T62" s="643"/>
      <c r="U62" s="643"/>
      <c r="V62" s="643"/>
      <c r="W62" s="642"/>
      <c r="X62" s="642"/>
      <c r="Y62" s="642"/>
      <c r="Z62" s="642"/>
      <c r="AA62" s="642"/>
      <c r="AB62" s="642"/>
      <c r="AC62" s="642"/>
      <c r="AD62" s="642"/>
    </row>
    <row r="63" spans="1:30" ht="15.6">
      <c r="A63" s="643"/>
      <c r="B63" s="643"/>
      <c r="C63" s="643"/>
      <c r="D63" s="643"/>
      <c r="E63" s="643"/>
      <c r="F63" s="643"/>
      <c r="G63" s="643"/>
      <c r="H63" s="643"/>
      <c r="I63" s="643"/>
      <c r="J63" s="643"/>
      <c r="K63" s="643"/>
      <c r="L63" s="643"/>
      <c r="M63" s="643"/>
      <c r="N63" s="643"/>
      <c r="O63" s="643"/>
      <c r="P63" s="643"/>
      <c r="Q63" s="643"/>
      <c r="R63" s="643"/>
      <c r="S63" s="643"/>
      <c r="T63" s="643"/>
      <c r="U63" s="643"/>
      <c r="V63" s="643"/>
      <c r="W63" s="642"/>
      <c r="X63" s="642"/>
      <c r="Y63" s="642"/>
      <c r="Z63" s="642"/>
      <c r="AA63" s="642"/>
      <c r="AB63" s="642"/>
      <c r="AC63" s="642"/>
      <c r="AD63" s="642"/>
    </row>
    <row r="64" spans="1:30" ht="15.6">
      <c r="A64" s="644" t="s">
        <v>438</v>
      </c>
      <c r="B64" s="643"/>
      <c r="C64" s="643"/>
      <c r="D64" s="643"/>
      <c r="E64" s="643"/>
      <c r="F64" s="643"/>
      <c r="G64" s="642"/>
      <c r="H64" s="642"/>
      <c r="I64" s="642"/>
      <c r="J64" s="642"/>
      <c r="K64" s="642"/>
      <c r="L64" s="642"/>
      <c r="M64" s="642"/>
      <c r="N64" s="642"/>
      <c r="O64" s="642"/>
      <c r="P64" s="642"/>
      <c r="Q64" s="642"/>
      <c r="R64" s="642"/>
      <c r="S64" s="642"/>
      <c r="T64" s="643"/>
      <c r="U64" s="643"/>
      <c r="V64" s="643"/>
      <c r="W64" s="642"/>
      <c r="X64" s="642"/>
      <c r="Y64" s="642"/>
      <c r="Z64" s="642"/>
      <c r="AA64" s="642"/>
      <c r="AB64" s="642"/>
      <c r="AC64" s="642"/>
      <c r="AD64" s="642"/>
    </row>
    <row r="65" spans="1:30" ht="15.6">
      <c r="A65" s="643"/>
      <c r="B65" s="643"/>
      <c r="C65" s="643"/>
      <c r="D65" s="643"/>
      <c r="E65" s="643"/>
      <c r="F65" s="643"/>
      <c r="G65" s="642"/>
      <c r="H65" s="642"/>
      <c r="I65" s="642"/>
      <c r="J65" s="642"/>
      <c r="K65" s="642"/>
      <c r="L65" s="642"/>
      <c r="M65" s="642"/>
      <c r="N65" s="642"/>
      <c r="O65" s="642"/>
      <c r="P65" s="642"/>
      <c r="Q65" s="642"/>
      <c r="R65" s="642"/>
      <c r="S65" s="642"/>
      <c r="T65" s="643"/>
      <c r="U65" s="643"/>
      <c r="V65" s="643"/>
      <c r="W65" s="642"/>
      <c r="X65" s="642"/>
      <c r="Y65" s="642"/>
      <c r="Z65" s="642"/>
      <c r="AA65" s="642"/>
      <c r="AB65" s="642"/>
      <c r="AC65" s="642"/>
      <c r="AD65" s="642"/>
    </row>
    <row r="66" spans="1:30" ht="15.6">
      <c r="A66" s="643"/>
      <c r="B66" s="645" t="s">
        <v>394</v>
      </c>
      <c r="C66" s="645" t="s">
        <v>395</v>
      </c>
      <c r="D66" s="646" t="s">
        <v>416</v>
      </c>
      <c r="E66" s="645" t="s">
        <v>424</v>
      </c>
      <c r="F66" s="646" t="s">
        <v>425</v>
      </c>
      <c r="G66" s="645" t="s">
        <v>426</v>
      </c>
      <c r="H66" s="646" t="s">
        <v>427</v>
      </c>
      <c r="I66" s="645" t="s">
        <v>428</v>
      </c>
      <c r="J66" s="646" t="s">
        <v>443</v>
      </c>
      <c r="K66" s="645" t="s">
        <v>444</v>
      </c>
      <c r="L66" s="646" t="s">
        <v>492</v>
      </c>
      <c r="M66" s="645" t="s">
        <v>493</v>
      </c>
      <c r="N66" s="646" t="s">
        <v>494</v>
      </c>
      <c r="O66" s="645" t="s">
        <v>495</v>
      </c>
      <c r="P66" s="646" t="s">
        <v>496</v>
      </c>
      <c r="Q66" s="645" t="s">
        <v>497</v>
      </c>
      <c r="R66" s="645" t="s">
        <v>498</v>
      </c>
      <c r="S66" s="646" t="s">
        <v>499</v>
      </c>
      <c r="T66" s="646" t="s">
        <v>500</v>
      </c>
      <c r="U66" s="646" t="s">
        <v>502</v>
      </c>
      <c r="V66" s="646" t="s">
        <v>504</v>
      </c>
      <c r="W66" s="642"/>
      <c r="X66" s="642"/>
      <c r="Y66" s="642"/>
      <c r="Z66" s="642"/>
      <c r="AA66" s="642"/>
      <c r="AB66" s="642"/>
      <c r="AC66" s="642"/>
      <c r="AD66" s="642"/>
    </row>
    <row r="67" spans="1:30" ht="15.6">
      <c r="A67" s="681"/>
      <c r="B67" s="1245" t="s">
        <v>362</v>
      </c>
      <c r="C67" s="1247" t="s">
        <v>488</v>
      </c>
      <c r="D67" s="1247" t="s">
        <v>489</v>
      </c>
      <c r="E67" s="1247" t="s">
        <v>490</v>
      </c>
      <c r="F67" s="1247" t="s">
        <v>491</v>
      </c>
      <c r="G67" s="675" t="str">
        <f t="shared" ref="G67:S68" si="19">E48</f>
        <v>May 31</v>
      </c>
      <c r="H67" s="675" t="str">
        <f t="shared" si="19"/>
        <v>June 30</v>
      </c>
      <c r="I67" s="675" t="str">
        <f t="shared" si="19"/>
        <v>July 31</v>
      </c>
      <c r="J67" s="675" t="str">
        <f t="shared" si="19"/>
        <v>Aug. 31</v>
      </c>
      <c r="K67" s="675" t="str">
        <f t="shared" si="19"/>
        <v>Sept. 30</v>
      </c>
      <c r="L67" s="675" t="str">
        <f t="shared" si="19"/>
        <v>Oct. 31</v>
      </c>
      <c r="M67" s="675" t="str">
        <f>K48</f>
        <v>Nov. 30</v>
      </c>
      <c r="N67" s="675" t="str">
        <f>L48</f>
        <v>Dec. 31</v>
      </c>
      <c r="O67" s="675" t="str">
        <f t="shared" si="19"/>
        <v>Jan 31</v>
      </c>
      <c r="P67" s="675" t="str">
        <f t="shared" si="19"/>
        <v>Feb 28</v>
      </c>
      <c r="Q67" s="675" t="str">
        <f t="shared" si="19"/>
        <v>Mar 31</v>
      </c>
      <c r="R67" s="675" t="str">
        <f t="shared" si="19"/>
        <v>Apr 30</v>
      </c>
      <c r="S67" s="675" t="str">
        <f t="shared" si="19"/>
        <v>May 31</v>
      </c>
      <c r="T67" s="1241" t="s">
        <v>501</v>
      </c>
      <c r="U67" s="1241" t="s">
        <v>503</v>
      </c>
      <c r="V67" s="1243" t="s">
        <v>505</v>
      </c>
      <c r="W67" s="642"/>
      <c r="X67" s="642"/>
      <c r="Y67" s="642"/>
      <c r="Z67" s="642"/>
      <c r="AA67" s="642"/>
      <c r="AB67" s="642"/>
      <c r="AC67" s="642"/>
      <c r="AD67" s="642"/>
    </row>
    <row r="68" spans="1:30" ht="25.5" customHeight="1">
      <c r="A68" s="682" t="s">
        <v>37</v>
      </c>
      <c r="B68" s="1246"/>
      <c r="C68" s="1248"/>
      <c r="D68" s="1248"/>
      <c r="E68" s="1248"/>
      <c r="F68" s="1248"/>
      <c r="G68" s="676" t="str">
        <f t="shared" si="19"/>
        <v>2023</v>
      </c>
      <c r="H68" s="676" t="str">
        <f t="shared" si="19"/>
        <v>2023</v>
      </c>
      <c r="I68" s="676" t="str">
        <f t="shared" si="19"/>
        <v>2023</v>
      </c>
      <c r="J68" s="676" t="str">
        <f t="shared" si="19"/>
        <v>2023</v>
      </c>
      <c r="K68" s="676" t="str">
        <f t="shared" si="19"/>
        <v>2023</v>
      </c>
      <c r="L68" s="676" t="str">
        <f t="shared" si="19"/>
        <v>2023</v>
      </c>
      <c r="M68" s="676" t="str">
        <f>K49</f>
        <v>2023</v>
      </c>
      <c r="N68" s="676" t="str">
        <f>L49</f>
        <v>2023</v>
      </c>
      <c r="O68" s="676" t="str">
        <f t="shared" si="19"/>
        <v>2024</v>
      </c>
      <c r="P68" s="676" t="str">
        <f t="shared" si="19"/>
        <v>2024</v>
      </c>
      <c r="Q68" s="676" t="str">
        <f t="shared" si="19"/>
        <v>2024</v>
      </c>
      <c r="R68" s="676" t="str">
        <f t="shared" si="19"/>
        <v>2024</v>
      </c>
      <c r="S68" s="676" t="str">
        <f t="shared" si="19"/>
        <v>2024</v>
      </c>
      <c r="T68" s="1242"/>
      <c r="U68" s="1242"/>
      <c r="V68" s="1244"/>
      <c r="W68" s="642"/>
      <c r="X68" s="642"/>
      <c r="Y68" s="642"/>
      <c r="Z68" s="642"/>
      <c r="AA68" s="642"/>
      <c r="AB68" s="642"/>
      <c r="AC68" s="642"/>
      <c r="AD68" s="642"/>
    </row>
    <row r="69" spans="1:30" ht="15.6">
      <c r="A69" s="648" t="s">
        <v>572</v>
      </c>
      <c r="B69" s="650"/>
      <c r="C69" s="650"/>
      <c r="D69" s="650"/>
      <c r="E69" s="650"/>
      <c r="F69" s="650"/>
      <c r="G69" s="650"/>
      <c r="H69" s="650"/>
      <c r="I69" s="650"/>
      <c r="J69" s="650"/>
      <c r="K69" s="650"/>
      <c r="L69" s="934"/>
      <c r="M69" s="650"/>
      <c r="N69" s="650"/>
      <c r="O69" s="650"/>
      <c r="P69" s="650"/>
      <c r="Q69" s="650"/>
      <c r="R69" s="650"/>
      <c r="S69" s="650"/>
      <c r="T69" s="922">
        <f t="shared" ref="T69:T79" si="20">SUM(G69:S69)/13</f>
        <v>0</v>
      </c>
      <c r="U69" s="925">
        <v>0</v>
      </c>
      <c r="V69" s="928">
        <f>T69*U69</f>
        <v>0</v>
      </c>
      <c r="W69" s="642"/>
      <c r="X69" s="642"/>
      <c r="Y69" s="642"/>
      <c r="Z69" s="642"/>
      <c r="AA69" s="642"/>
      <c r="AB69" s="642"/>
      <c r="AC69" s="642"/>
      <c r="AD69" s="642"/>
    </row>
    <row r="70" spans="1:30" ht="15.6">
      <c r="A70" s="648" t="s">
        <v>573</v>
      </c>
      <c r="B70" s="655"/>
      <c r="C70" s="655"/>
      <c r="D70" s="655"/>
      <c r="E70" s="655"/>
      <c r="F70" s="655"/>
      <c r="G70" s="655"/>
      <c r="H70" s="655"/>
      <c r="I70" s="655"/>
      <c r="J70" s="655"/>
      <c r="K70" s="655"/>
      <c r="L70" s="655"/>
      <c r="M70" s="655"/>
      <c r="N70" s="655"/>
      <c r="O70" s="655"/>
      <c r="P70" s="655"/>
      <c r="Q70" s="655"/>
      <c r="R70" s="655"/>
      <c r="S70" s="655"/>
      <c r="T70" s="923">
        <f t="shared" si="20"/>
        <v>0</v>
      </c>
      <c r="U70" s="926">
        <v>0</v>
      </c>
      <c r="V70" s="929">
        <f t="shared" ref="V70:V79" si="21">T70*U70</f>
        <v>0</v>
      </c>
      <c r="W70" s="642"/>
      <c r="X70" s="642"/>
      <c r="Y70" s="642"/>
      <c r="Z70" s="642"/>
      <c r="AA70" s="642"/>
      <c r="AB70" s="642"/>
      <c r="AC70" s="642"/>
      <c r="AD70" s="642"/>
    </row>
    <row r="71" spans="1:30" ht="15.6">
      <c r="A71" s="648" t="s">
        <v>574</v>
      </c>
      <c r="B71" s="655"/>
      <c r="C71" s="655"/>
      <c r="D71" s="655"/>
      <c r="E71" s="655"/>
      <c r="F71" s="655"/>
      <c r="G71" s="655"/>
      <c r="H71" s="655"/>
      <c r="I71" s="655"/>
      <c r="J71" s="655"/>
      <c r="K71" s="655"/>
      <c r="L71" s="655"/>
      <c r="M71" s="655"/>
      <c r="N71" s="655"/>
      <c r="O71" s="655"/>
      <c r="P71" s="655"/>
      <c r="Q71" s="655"/>
      <c r="R71" s="655"/>
      <c r="S71" s="655"/>
      <c r="T71" s="923">
        <f t="shared" si="20"/>
        <v>0</v>
      </c>
      <c r="U71" s="926">
        <v>0</v>
      </c>
      <c r="V71" s="929">
        <f t="shared" si="21"/>
        <v>0</v>
      </c>
      <c r="W71" s="642"/>
      <c r="X71" s="642"/>
      <c r="Y71" s="642"/>
      <c r="Z71" s="642"/>
      <c r="AA71" s="642"/>
      <c r="AB71" s="642"/>
      <c r="AC71" s="642"/>
      <c r="AD71" s="642"/>
    </row>
    <row r="72" spans="1:30" ht="15.6">
      <c r="A72" s="648"/>
      <c r="B72" s="655"/>
      <c r="C72" s="655"/>
      <c r="D72" s="655"/>
      <c r="E72" s="655"/>
      <c r="F72" s="655"/>
      <c r="G72" s="655"/>
      <c r="H72" s="655"/>
      <c r="I72" s="655"/>
      <c r="J72" s="655"/>
      <c r="K72" s="655"/>
      <c r="L72" s="655"/>
      <c r="M72" s="655"/>
      <c r="N72" s="655"/>
      <c r="O72" s="655"/>
      <c r="P72" s="655"/>
      <c r="Q72" s="655"/>
      <c r="R72" s="655"/>
      <c r="S72" s="655"/>
      <c r="T72" s="923">
        <f t="shared" si="20"/>
        <v>0</v>
      </c>
      <c r="U72" s="926">
        <v>0</v>
      </c>
      <c r="V72" s="929">
        <f t="shared" si="21"/>
        <v>0</v>
      </c>
      <c r="W72" s="642"/>
      <c r="X72" s="642"/>
      <c r="Y72" s="642"/>
      <c r="Z72" s="642"/>
      <c r="AA72" s="642"/>
      <c r="AB72" s="642"/>
      <c r="AC72" s="642"/>
      <c r="AD72" s="642"/>
    </row>
    <row r="73" spans="1:30" ht="15.6">
      <c r="A73" s="648" t="s">
        <v>358</v>
      </c>
      <c r="B73" s="655"/>
      <c r="C73" s="655"/>
      <c r="D73" s="655"/>
      <c r="E73" s="655"/>
      <c r="F73" s="655"/>
      <c r="G73" s="655"/>
      <c r="H73" s="655"/>
      <c r="I73" s="655"/>
      <c r="J73" s="655"/>
      <c r="K73" s="655"/>
      <c r="L73" s="655"/>
      <c r="M73" s="655"/>
      <c r="N73" s="655"/>
      <c r="O73" s="655"/>
      <c r="P73" s="655"/>
      <c r="Q73" s="655"/>
      <c r="R73" s="655"/>
      <c r="S73" s="655"/>
      <c r="T73" s="923">
        <f t="shared" si="20"/>
        <v>0</v>
      </c>
      <c r="U73" s="926">
        <v>0</v>
      </c>
      <c r="V73" s="929">
        <f t="shared" si="21"/>
        <v>0</v>
      </c>
      <c r="W73" s="642"/>
      <c r="X73" s="642"/>
      <c r="Y73" s="642"/>
      <c r="Z73" s="642"/>
      <c r="AA73" s="642"/>
      <c r="AB73" s="642"/>
      <c r="AC73" s="642"/>
      <c r="AD73" s="642"/>
    </row>
    <row r="74" spans="1:30" ht="15.6">
      <c r="A74" s="648"/>
      <c r="B74" s="655"/>
      <c r="C74" s="655"/>
      <c r="D74" s="655"/>
      <c r="E74" s="655"/>
      <c r="F74" s="655"/>
      <c r="G74" s="655"/>
      <c r="H74" s="655"/>
      <c r="I74" s="655"/>
      <c r="J74" s="655"/>
      <c r="K74" s="655"/>
      <c r="L74" s="655"/>
      <c r="M74" s="655"/>
      <c r="N74" s="655"/>
      <c r="O74" s="655"/>
      <c r="P74" s="655"/>
      <c r="Q74" s="655"/>
      <c r="R74" s="655"/>
      <c r="S74" s="655"/>
      <c r="T74" s="923">
        <f t="shared" si="20"/>
        <v>0</v>
      </c>
      <c r="U74" s="926">
        <v>0</v>
      </c>
      <c r="V74" s="929">
        <f t="shared" si="21"/>
        <v>0</v>
      </c>
      <c r="W74" s="642"/>
      <c r="X74" s="642"/>
      <c r="Y74" s="642"/>
      <c r="Z74" s="642"/>
      <c r="AA74" s="642"/>
      <c r="AB74" s="642"/>
      <c r="AC74" s="642"/>
      <c r="AD74" s="642"/>
    </row>
    <row r="75" spans="1:30" ht="15.6">
      <c r="A75" s="648"/>
      <c r="B75" s="655"/>
      <c r="C75" s="655"/>
      <c r="D75" s="655"/>
      <c r="E75" s="655"/>
      <c r="F75" s="655"/>
      <c r="G75" s="655"/>
      <c r="H75" s="655"/>
      <c r="I75" s="655"/>
      <c r="J75" s="655"/>
      <c r="K75" s="655"/>
      <c r="L75" s="655"/>
      <c r="M75" s="655"/>
      <c r="N75" s="655"/>
      <c r="O75" s="655"/>
      <c r="P75" s="655"/>
      <c r="Q75" s="655"/>
      <c r="R75" s="655"/>
      <c r="S75" s="655"/>
      <c r="T75" s="923">
        <f t="shared" si="20"/>
        <v>0</v>
      </c>
      <c r="U75" s="926">
        <v>0</v>
      </c>
      <c r="V75" s="929">
        <f t="shared" si="21"/>
        <v>0</v>
      </c>
      <c r="W75" s="642"/>
      <c r="X75" s="642"/>
      <c r="Y75" s="642"/>
      <c r="Z75" s="642"/>
      <c r="AA75" s="642"/>
      <c r="AB75" s="642"/>
      <c r="AC75" s="642"/>
      <c r="AD75" s="642"/>
    </row>
    <row r="76" spans="1:30" ht="15.6">
      <c r="A76" s="648"/>
      <c r="B76" s="655"/>
      <c r="C76" s="655"/>
      <c r="D76" s="655"/>
      <c r="E76" s="655"/>
      <c r="F76" s="655"/>
      <c r="G76" s="655"/>
      <c r="H76" s="655"/>
      <c r="I76" s="655"/>
      <c r="J76" s="655"/>
      <c r="K76" s="655"/>
      <c r="L76" s="655"/>
      <c r="M76" s="655"/>
      <c r="N76" s="655"/>
      <c r="O76" s="655"/>
      <c r="P76" s="655"/>
      <c r="Q76" s="655"/>
      <c r="R76" s="655"/>
      <c r="S76" s="655"/>
      <c r="T76" s="923">
        <f t="shared" si="20"/>
        <v>0</v>
      </c>
      <c r="U76" s="926">
        <v>0</v>
      </c>
      <c r="V76" s="929">
        <f t="shared" si="21"/>
        <v>0</v>
      </c>
      <c r="W76" s="642"/>
      <c r="X76" s="642"/>
      <c r="Y76" s="642"/>
      <c r="Z76" s="642"/>
      <c r="AA76" s="642"/>
      <c r="AB76" s="642"/>
      <c r="AC76" s="642"/>
      <c r="AD76" s="642"/>
    </row>
    <row r="77" spans="1:30" ht="15.6">
      <c r="A77" s="648" t="s">
        <v>358</v>
      </c>
      <c r="B77" s="655"/>
      <c r="C77" s="655"/>
      <c r="D77" s="655"/>
      <c r="E77" s="655"/>
      <c r="F77" s="655"/>
      <c r="G77" s="655"/>
      <c r="H77" s="655"/>
      <c r="I77" s="655"/>
      <c r="J77" s="655"/>
      <c r="K77" s="655"/>
      <c r="L77" s="655"/>
      <c r="M77" s="655"/>
      <c r="N77" s="655"/>
      <c r="O77" s="655"/>
      <c r="P77" s="655"/>
      <c r="Q77" s="655"/>
      <c r="R77" s="655"/>
      <c r="S77" s="655"/>
      <c r="T77" s="923">
        <f t="shared" si="20"/>
        <v>0</v>
      </c>
      <c r="U77" s="926">
        <v>0</v>
      </c>
      <c r="V77" s="929">
        <f t="shared" si="21"/>
        <v>0</v>
      </c>
      <c r="W77" s="642"/>
      <c r="X77" s="642"/>
      <c r="Y77" s="642"/>
      <c r="Z77" s="642"/>
      <c r="AA77" s="642"/>
      <c r="AB77" s="642"/>
      <c r="AC77" s="642"/>
      <c r="AD77" s="642"/>
    </row>
    <row r="78" spans="1:30" ht="15.6">
      <c r="A78" s="648"/>
      <c r="B78" s="655"/>
      <c r="C78" s="655"/>
      <c r="D78" s="655"/>
      <c r="E78" s="655"/>
      <c r="F78" s="655"/>
      <c r="G78" s="655"/>
      <c r="H78" s="655"/>
      <c r="I78" s="655"/>
      <c r="J78" s="655"/>
      <c r="K78" s="655"/>
      <c r="L78" s="655"/>
      <c r="M78" s="655"/>
      <c r="N78" s="655"/>
      <c r="O78" s="655"/>
      <c r="P78" s="655"/>
      <c r="Q78" s="655"/>
      <c r="R78" s="655"/>
      <c r="S78" s="655"/>
      <c r="T78" s="923">
        <f t="shared" si="20"/>
        <v>0</v>
      </c>
      <c r="U78" s="926">
        <v>0</v>
      </c>
      <c r="V78" s="929">
        <f t="shared" si="21"/>
        <v>0</v>
      </c>
      <c r="W78" s="642"/>
      <c r="X78" s="642"/>
      <c r="Y78" s="642"/>
      <c r="Z78" s="642"/>
      <c r="AA78" s="642"/>
      <c r="AB78" s="642"/>
      <c r="AC78" s="642"/>
      <c r="AD78" s="642"/>
    </row>
    <row r="79" spans="1:30" ht="15.6">
      <c r="A79" s="658" t="s">
        <v>575</v>
      </c>
      <c r="B79" s="660"/>
      <c r="C79" s="660"/>
      <c r="D79" s="660"/>
      <c r="E79" s="660"/>
      <c r="F79" s="660"/>
      <c r="G79" s="660"/>
      <c r="H79" s="660"/>
      <c r="I79" s="660"/>
      <c r="J79" s="660"/>
      <c r="K79" s="660"/>
      <c r="L79" s="660"/>
      <c r="M79" s="660"/>
      <c r="N79" s="660"/>
      <c r="O79" s="660"/>
      <c r="P79" s="660"/>
      <c r="Q79" s="660"/>
      <c r="R79" s="660"/>
      <c r="S79" s="660"/>
      <c r="T79" s="924">
        <f t="shared" si="20"/>
        <v>0</v>
      </c>
      <c r="U79" s="927">
        <v>0</v>
      </c>
      <c r="V79" s="930">
        <f t="shared" si="21"/>
        <v>0</v>
      </c>
      <c r="W79" s="642"/>
      <c r="X79" s="642"/>
      <c r="Y79" s="642"/>
      <c r="Z79" s="642"/>
      <c r="AA79" s="642"/>
      <c r="AB79" s="642"/>
      <c r="AC79" s="642"/>
      <c r="AD79" s="642"/>
    </row>
    <row r="80" spans="1:30" ht="15.6">
      <c r="A80" s="663">
        <v>8</v>
      </c>
      <c r="B80" s="634" t="s">
        <v>759</v>
      </c>
      <c r="C80" s="651"/>
      <c r="D80" s="651"/>
      <c r="E80" s="651"/>
      <c r="F80" s="651"/>
      <c r="G80" s="651"/>
      <c r="H80" s="651"/>
      <c r="I80" s="651"/>
      <c r="J80" s="651"/>
      <c r="K80" s="651"/>
      <c r="L80" s="651"/>
      <c r="M80" s="651"/>
      <c r="N80" s="651"/>
      <c r="O80" s="651"/>
      <c r="P80" s="651"/>
      <c r="Q80" s="651"/>
      <c r="R80" s="651"/>
      <c r="S80" s="651"/>
      <c r="T80" s="651" t="s">
        <v>508</v>
      </c>
      <c r="U80" s="651"/>
      <c r="V80" s="821">
        <f>SUM(V69:V79)</f>
        <v>0</v>
      </c>
      <c r="W80" s="642"/>
      <c r="X80" s="642"/>
      <c r="Y80" s="642"/>
      <c r="Z80" s="642"/>
      <c r="AA80" s="642"/>
      <c r="AB80" s="642"/>
      <c r="AC80" s="642"/>
      <c r="AD80" s="642"/>
    </row>
    <row r="81" spans="1:30" ht="15.6">
      <c r="A81" s="643"/>
      <c r="B81" s="643"/>
      <c r="C81" s="643"/>
      <c r="D81" s="643"/>
      <c r="E81" s="643"/>
      <c r="F81" s="643"/>
      <c r="G81" s="643"/>
      <c r="H81" s="643"/>
      <c r="I81" s="643"/>
      <c r="J81" s="643"/>
      <c r="K81" s="643"/>
      <c r="L81" s="643"/>
      <c r="M81" s="643"/>
      <c r="N81" s="643"/>
      <c r="O81" s="643"/>
      <c r="P81" s="643"/>
      <c r="Q81" s="643"/>
      <c r="R81" s="643"/>
      <c r="S81" s="643"/>
      <c r="T81" s="643"/>
      <c r="U81" s="643"/>
      <c r="V81" s="643"/>
      <c r="W81" s="642"/>
      <c r="X81" s="642"/>
      <c r="Y81" s="642"/>
      <c r="Z81" s="642"/>
      <c r="AA81" s="642"/>
      <c r="AB81" s="642"/>
      <c r="AC81" s="642"/>
      <c r="AD81" s="642"/>
    </row>
    <row r="82" spans="1:30" ht="15.6">
      <c r="A82" s="643" t="s">
        <v>560</v>
      </c>
      <c r="B82" s="643"/>
      <c r="C82" s="643"/>
      <c r="D82" s="643"/>
      <c r="E82" s="643"/>
      <c r="F82" s="643"/>
      <c r="G82" s="643"/>
      <c r="H82" s="643"/>
      <c r="I82" s="643"/>
      <c r="J82" s="643"/>
      <c r="K82" s="643"/>
      <c r="L82" s="643"/>
      <c r="M82" s="643"/>
      <c r="N82" s="643"/>
      <c r="O82" s="643"/>
      <c r="P82" s="643"/>
      <c r="Q82" s="643"/>
      <c r="R82" s="643"/>
      <c r="S82" s="643"/>
      <c r="T82" s="643"/>
      <c r="U82" s="643"/>
      <c r="V82" s="643"/>
      <c r="W82" s="642"/>
      <c r="X82" s="642"/>
      <c r="Y82" s="642"/>
      <c r="Z82" s="642"/>
      <c r="AA82" s="642"/>
      <c r="AB82" s="642"/>
      <c r="AC82" s="642"/>
      <c r="AD82" s="642"/>
    </row>
    <row r="83" spans="1:30" ht="15.6">
      <c r="A83" s="643"/>
      <c r="B83" s="643"/>
      <c r="C83" s="643"/>
      <c r="D83" s="643"/>
      <c r="E83" s="643"/>
      <c r="F83" s="643"/>
      <c r="G83" s="643"/>
      <c r="H83" s="643"/>
      <c r="I83" s="643"/>
      <c r="J83" s="643"/>
      <c r="K83" s="643"/>
      <c r="L83" s="643"/>
      <c r="M83" s="643"/>
      <c r="N83" s="643"/>
      <c r="O83" s="643"/>
      <c r="P83" s="643"/>
      <c r="Q83" s="643"/>
      <c r="R83" s="643"/>
      <c r="S83" s="643"/>
      <c r="T83" s="643"/>
      <c r="U83" s="643"/>
      <c r="V83" s="643"/>
      <c r="W83" s="642"/>
      <c r="X83" s="642"/>
      <c r="Y83" s="642"/>
      <c r="Z83" s="642"/>
      <c r="AA83" s="642"/>
      <c r="AB83" s="642"/>
      <c r="AC83" s="642"/>
      <c r="AD83" s="642"/>
    </row>
    <row r="84" spans="1:30" ht="15.6">
      <c r="A84" s="641"/>
      <c r="B84" s="664"/>
      <c r="C84" s="664"/>
      <c r="D84" s="665"/>
      <c r="E84" s="665"/>
      <c r="F84" s="665"/>
      <c r="G84" s="664"/>
      <c r="H84" s="664"/>
      <c r="I84" s="665"/>
      <c r="J84" s="665"/>
      <c r="K84" s="665"/>
      <c r="L84" s="665"/>
      <c r="M84" s="665"/>
      <c r="N84" s="642"/>
      <c r="O84" s="642"/>
      <c r="P84" s="642"/>
      <c r="Q84" s="642"/>
      <c r="R84" s="642"/>
      <c r="S84" s="642"/>
      <c r="T84" s="642"/>
      <c r="U84" s="642"/>
      <c r="V84" s="642"/>
      <c r="W84" s="642"/>
      <c r="X84" s="642"/>
      <c r="Y84" s="642"/>
      <c r="Z84" s="642"/>
      <c r="AA84" s="642"/>
      <c r="AB84" s="642"/>
      <c r="AC84" s="642"/>
      <c r="AD84" s="642"/>
    </row>
    <row r="85" spans="1:30" ht="15.6">
      <c r="A85" s="641"/>
      <c r="B85" s="664"/>
      <c r="C85" s="664"/>
      <c r="D85" s="664"/>
      <c r="E85" s="664"/>
      <c r="F85" s="664"/>
      <c r="G85" s="664"/>
      <c r="H85" s="664"/>
      <c r="I85" s="664"/>
      <c r="J85" s="664"/>
      <c r="K85" s="664"/>
      <c r="L85" s="664"/>
      <c r="M85" s="664"/>
      <c r="N85" s="642"/>
      <c r="O85" s="642"/>
      <c r="P85" s="642"/>
      <c r="Q85" s="642"/>
      <c r="R85" s="642"/>
      <c r="S85" s="642"/>
      <c r="T85" s="642"/>
      <c r="U85" s="642"/>
      <c r="V85" s="642"/>
      <c r="W85" s="642"/>
      <c r="X85" s="642"/>
      <c r="Y85" s="642"/>
      <c r="Z85" s="642"/>
      <c r="AA85" s="642"/>
      <c r="AB85" s="642"/>
      <c r="AC85" s="642"/>
      <c r="AD85" s="642"/>
    </row>
    <row r="86" spans="1:30" ht="15.6">
      <c r="A86" s="880" t="s">
        <v>550</v>
      </c>
      <c r="B86" s="880"/>
      <c r="C86" s="880"/>
      <c r="D86" s="664"/>
      <c r="E86" s="664"/>
      <c r="F86" s="664"/>
      <c r="G86" s="664"/>
      <c r="H86" s="664"/>
      <c r="I86" s="664"/>
      <c r="J86" s="664"/>
      <c r="K86" s="664"/>
      <c r="L86" s="664"/>
      <c r="M86" s="664"/>
      <c r="N86" s="642"/>
      <c r="O86" s="642"/>
      <c r="P86" s="642"/>
      <c r="Q86" s="642"/>
      <c r="R86" s="642"/>
      <c r="S86" s="642"/>
      <c r="T86" s="642"/>
      <c r="U86" s="642"/>
      <c r="V86" s="642"/>
      <c r="W86" s="642"/>
      <c r="X86" s="642"/>
      <c r="Y86" s="642"/>
      <c r="Z86" s="642"/>
      <c r="AA86" s="642"/>
      <c r="AB86" s="642"/>
      <c r="AC86" s="642"/>
      <c r="AD86" s="642"/>
    </row>
    <row r="87" spans="1:30" ht="15.6">
      <c r="A87" s="641"/>
      <c r="B87" s="664" t="s">
        <v>1002</v>
      </c>
      <c r="C87" s="664"/>
      <c r="D87" s="664"/>
      <c r="E87" s="664"/>
      <c r="F87" s="664"/>
      <c r="G87" s="664"/>
      <c r="H87" s="664"/>
      <c r="I87" s="664"/>
      <c r="J87" s="664"/>
      <c r="K87" s="664"/>
      <c r="L87" s="664"/>
      <c r="M87" s="664"/>
      <c r="N87" s="642"/>
      <c r="O87" s="642"/>
      <c r="P87" s="642"/>
      <c r="Q87" s="642"/>
      <c r="R87" s="642"/>
      <c r="S87" s="642"/>
      <c r="T87" s="642"/>
      <c r="U87" s="642"/>
      <c r="V87" s="642"/>
      <c r="W87" s="642"/>
      <c r="X87" s="642"/>
      <c r="Y87" s="642"/>
      <c r="Z87" s="642"/>
      <c r="AA87" s="642"/>
      <c r="AB87" s="642"/>
      <c r="AC87" s="642"/>
      <c r="AD87" s="642"/>
    </row>
    <row r="88" spans="1:30" ht="15.6">
      <c r="A88" s="641"/>
      <c r="B88" s="664"/>
      <c r="C88" s="664"/>
      <c r="D88" s="664"/>
      <c r="E88" s="664"/>
      <c r="F88" s="664"/>
      <c r="G88" s="664"/>
      <c r="H88" s="664"/>
      <c r="I88" s="664"/>
      <c r="J88" s="664"/>
      <c r="K88" s="664"/>
      <c r="L88" s="664"/>
      <c r="M88" s="664"/>
      <c r="N88" s="642"/>
      <c r="O88" s="642"/>
      <c r="P88" s="642"/>
      <c r="Q88" s="642"/>
      <c r="R88" s="642"/>
      <c r="S88" s="642"/>
      <c r="T88" s="642"/>
      <c r="U88" s="642"/>
      <c r="V88" s="642"/>
      <c r="W88" s="642"/>
      <c r="X88" s="642"/>
      <c r="Y88" s="642"/>
      <c r="Z88" s="642"/>
      <c r="AA88" s="642"/>
      <c r="AB88" s="642"/>
      <c r="AC88" s="642"/>
      <c r="AD88" s="642"/>
    </row>
    <row r="89" spans="1:30" ht="15.6">
      <c r="B89" s="1033"/>
      <c r="C89" s="1035" t="s">
        <v>285</v>
      </c>
      <c r="D89" s="636">
        <v>350</v>
      </c>
      <c r="E89" s="636">
        <v>352</v>
      </c>
      <c r="F89" s="636">
        <v>352</v>
      </c>
      <c r="G89" s="636">
        <v>353</v>
      </c>
      <c r="H89" s="636">
        <v>354</v>
      </c>
      <c r="I89" s="636">
        <v>355</v>
      </c>
      <c r="J89" s="636">
        <v>356</v>
      </c>
      <c r="K89" s="636">
        <v>357</v>
      </c>
      <c r="L89" s="636">
        <v>358</v>
      </c>
      <c r="M89" s="1032">
        <v>356.3</v>
      </c>
      <c r="N89" s="1036"/>
      <c r="O89" s="1030"/>
      <c r="P89" s="1031"/>
      <c r="Q89" s="642"/>
      <c r="R89" s="642"/>
      <c r="S89" s="642"/>
      <c r="T89" s="642"/>
      <c r="U89" s="642"/>
      <c r="V89" s="642"/>
      <c r="W89" s="642"/>
      <c r="X89" s="642"/>
      <c r="Y89" s="642"/>
      <c r="Z89" s="642"/>
      <c r="AA89" s="642"/>
      <c r="AB89" s="642"/>
      <c r="AC89" s="642"/>
      <c r="AD89" s="642"/>
    </row>
    <row r="90" spans="1:30" ht="58.5" customHeight="1">
      <c r="B90" s="1034"/>
      <c r="C90" s="1037"/>
      <c r="D90" s="637" t="s">
        <v>551</v>
      </c>
      <c r="E90" s="637" t="s">
        <v>552</v>
      </c>
      <c r="F90" s="637" t="s">
        <v>553</v>
      </c>
      <c r="G90" s="637" t="s">
        <v>554</v>
      </c>
      <c r="H90" s="637" t="s">
        <v>555</v>
      </c>
      <c r="I90" s="637" t="s">
        <v>556</v>
      </c>
      <c r="J90" s="637" t="s">
        <v>557</v>
      </c>
      <c r="K90" s="637" t="s">
        <v>558</v>
      </c>
      <c r="L90" s="637" t="s">
        <v>559</v>
      </c>
      <c r="M90" s="637" t="s">
        <v>864</v>
      </c>
      <c r="N90" s="637" t="s">
        <v>41</v>
      </c>
      <c r="O90" s="1023" t="s">
        <v>933</v>
      </c>
      <c r="P90" s="1038" t="s">
        <v>934</v>
      </c>
      <c r="Q90" s="642"/>
      <c r="R90" s="642"/>
      <c r="S90" s="642"/>
      <c r="T90" s="642"/>
      <c r="U90" s="642"/>
      <c r="V90" s="642"/>
      <c r="W90" s="642"/>
      <c r="X90" s="642"/>
      <c r="Y90" s="642"/>
      <c r="Z90" s="642"/>
      <c r="AA90" s="642"/>
      <c r="AB90" s="642"/>
      <c r="AC90" s="642"/>
      <c r="AD90" s="642"/>
    </row>
    <row r="91" spans="1:30" ht="15.6">
      <c r="A91" s="1073">
        <f>+A80+1</f>
        <v>9</v>
      </c>
      <c r="B91" s="1025">
        <v>45047</v>
      </c>
      <c r="C91" s="698" t="s">
        <v>857</v>
      </c>
      <c r="D91" s="1029"/>
      <c r="E91" s="1029"/>
      <c r="F91" s="1029"/>
      <c r="G91" s="1029">
        <v>24151937</v>
      </c>
      <c r="H91" s="1029"/>
      <c r="I91" s="1029"/>
      <c r="J91" s="1029"/>
      <c r="K91" s="1029"/>
      <c r="L91" s="1029"/>
      <c r="M91" s="1029"/>
      <c r="N91" s="1029">
        <f t="shared" ref="N91:N103" si="22">SUM(D91:M91)</f>
        <v>24151937</v>
      </c>
      <c r="O91" s="639">
        <v>16089141</v>
      </c>
      <c r="P91" s="1048">
        <f>+N91-O91</f>
        <v>8062796</v>
      </c>
      <c r="Q91" s="642"/>
      <c r="R91" s="642"/>
      <c r="S91" s="642"/>
      <c r="T91" s="642"/>
      <c r="U91" s="642"/>
      <c r="V91" s="642"/>
      <c r="W91" s="642"/>
      <c r="X91" s="642"/>
      <c r="Y91" s="642"/>
      <c r="Z91" s="642"/>
      <c r="AA91" s="642"/>
      <c r="AB91" s="642"/>
      <c r="AC91" s="642"/>
      <c r="AD91" s="642"/>
    </row>
    <row r="92" spans="1:30" ht="15.6">
      <c r="A92" s="1073">
        <f>+A91+1</f>
        <v>10</v>
      </c>
      <c r="B92" s="1026" t="s">
        <v>254</v>
      </c>
      <c r="C92" s="698"/>
      <c r="D92" s="639"/>
      <c r="E92" s="1143">
        <v>344240</v>
      </c>
      <c r="F92" s="1143"/>
      <c r="G92" s="1029">
        <v>24151937</v>
      </c>
      <c r="H92" s="1143"/>
      <c r="I92" s="1143">
        <v>165973</v>
      </c>
      <c r="J92" s="1143">
        <v>18441</v>
      </c>
      <c r="K92" s="1143"/>
      <c r="L92" s="1143"/>
      <c r="M92" s="1143">
        <v>1222748</v>
      </c>
      <c r="N92" s="1029">
        <f t="shared" si="22"/>
        <v>25903339</v>
      </c>
      <c r="O92" s="639">
        <v>16089141</v>
      </c>
      <c r="P92" s="1048">
        <f>+N92-O92</f>
        <v>9814198</v>
      </c>
      <c r="Q92" s="642"/>
      <c r="R92" s="642"/>
      <c r="S92" s="642"/>
      <c r="T92" s="642"/>
      <c r="U92" s="642"/>
      <c r="V92" s="642"/>
      <c r="W92" s="642"/>
      <c r="X92" s="642"/>
      <c r="Y92" s="642"/>
      <c r="Z92" s="642"/>
      <c r="AA92" s="642"/>
      <c r="AB92" s="642"/>
      <c r="AC92" s="642"/>
      <c r="AD92" s="642"/>
    </row>
    <row r="93" spans="1:30" ht="15.6">
      <c r="A93" s="1073">
        <f>+A92+1</f>
        <v>11</v>
      </c>
      <c r="B93" s="1027" t="s">
        <v>155</v>
      </c>
      <c r="C93" s="698"/>
      <c r="D93" s="639"/>
      <c r="E93" s="1143">
        <v>344240</v>
      </c>
      <c r="F93" s="1143"/>
      <c r="G93" s="1029">
        <v>24151937</v>
      </c>
      <c r="H93" s="1143"/>
      <c r="I93" s="1143">
        <v>165973</v>
      </c>
      <c r="J93" s="1143">
        <v>18441</v>
      </c>
      <c r="K93" s="1143"/>
      <c r="L93" s="1143"/>
      <c r="M93" s="1143">
        <v>1222748</v>
      </c>
      <c r="N93" s="1029">
        <f t="shared" si="22"/>
        <v>25903339</v>
      </c>
      <c r="O93" s="639">
        <v>16089141</v>
      </c>
      <c r="P93" s="1048">
        <f t="shared" ref="P93:P103" si="23">+N93-O93</f>
        <v>9814198</v>
      </c>
      <c r="Q93" s="642"/>
      <c r="R93" s="642"/>
      <c r="S93" s="642"/>
      <c r="T93" s="642"/>
      <c r="U93" s="642"/>
      <c r="V93" s="642"/>
      <c r="W93" s="642"/>
      <c r="X93" s="642"/>
      <c r="Y93" s="642"/>
      <c r="Z93" s="642"/>
      <c r="AA93" s="642"/>
      <c r="AB93" s="642"/>
      <c r="AC93" s="642"/>
      <c r="AD93" s="642"/>
    </row>
    <row r="94" spans="1:30" ht="15.6">
      <c r="A94" s="1073">
        <f t="shared" ref="A94:A104" si="24">+A93+1</f>
        <v>12</v>
      </c>
      <c r="B94" s="1027" t="s">
        <v>154</v>
      </c>
      <c r="C94" s="698"/>
      <c r="D94" s="639"/>
      <c r="E94" s="1143">
        <v>344240</v>
      </c>
      <c r="F94" s="1143"/>
      <c r="G94" s="1029">
        <v>24151937</v>
      </c>
      <c r="H94" s="1143"/>
      <c r="I94" s="1143">
        <v>165973</v>
      </c>
      <c r="J94" s="1143">
        <v>18441</v>
      </c>
      <c r="K94" s="1143"/>
      <c r="L94" s="1143"/>
      <c r="M94" s="1143">
        <v>1222748</v>
      </c>
      <c r="N94" s="1029">
        <f t="shared" si="22"/>
        <v>25903339</v>
      </c>
      <c r="O94" s="639">
        <v>16089141</v>
      </c>
      <c r="P94" s="1048">
        <f t="shared" si="23"/>
        <v>9814198</v>
      </c>
      <c r="Q94" s="642"/>
      <c r="R94" s="642"/>
      <c r="S94" s="642"/>
      <c r="T94" s="642"/>
      <c r="U94" s="642"/>
      <c r="V94" s="642"/>
      <c r="W94" s="642"/>
      <c r="X94" s="642"/>
      <c r="Y94" s="642"/>
      <c r="Z94" s="642"/>
      <c r="AA94" s="642"/>
      <c r="AB94" s="642"/>
      <c r="AC94" s="642"/>
      <c r="AD94" s="642"/>
    </row>
    <row r="95" spans="1:30" ht="15.6">
      <c r="A95" s="1073">
        <f t="shared" si="24"/>
        <v>13</v>
      </c>
      <c r="B95" s="1027" t="s">
        <v>153</v>
      </c>
      <c r="C95" s="698"/>
      <c r="D95" s="639"/>
      <c r="E95" s="1143">
        <v>344240</v>
      </c>
      <c r="F95" s="1143"/>
      <c r="G95" s="1029">
        <v>24151937</v>
      </c>
      <c r="H95" s="1143"/>
      <c r="I95" s="1143">
        <v>165973</v>
      </c>
      <c r="J95" s="1143">
        <v>18441</v>
      </c>
      <c r="K95" s="1143"/>
      <c r="L95" s="1143"/>
      <c r="M95" s="1143">
        <v>1222748</v>
      </c>
      <c r="N95" s="1029">
        <f t="shared" si="22"/>
        <v>25903339</v>
      </c>
      <c r="O95" s="639">
        <v>16089141</v>
      </c>
      <c r="P95" s="1048">
        <f t="shared" si="23"/>
        <v>9814198</v>
      </c>
      <c r="Q95" s="642"/>
      <c r="R95" s="642"/>
      <c r="S95" s="642"/>
      <c r="T95" s="642"/>
      <c r="U95" s="642"/>
      <c r="V95" s="642"/>
      <c r="W95" s="642"/>
      <c r="X95" s="642"/>
      <c r="Y95" s="642"/>
      <c r="Z95" s="642"/>
      <c r="AA95" s="642"/>
      <c r="AB95" s="642"/>
      <c r="AC95" s="642"/>
      <c r="AD95" s="642"/>
    </row>
    <row r="96" spans="1:30" ht="15.6">
      <c r="A96" s="1073">
        <f t="shared" si="24"/>
        <v>14</v>
      </c>
      <c r="B96" s="1027" t="s">
        <v>164</v>
      </c>
      <c r="C96" s="698"/>
      <c r="D96" s="639"/>
      <c r="E96" s="1143">
        <v>344240</v>
      </c>
      <c r="F96" s="1143"/>
      <c r="G96" s="1029">
        <v>24151937</v>
      </c>
      <c r="H96" s="1143"/>
      <c r="I96" s="1143">
        <v>165973</v>
      </c>
      <c r="J96" s="1143">
        <v>18441</v>
      </c>
      <c r="K96" s="1143"/>
      <c r="L96" s="1143"/>
      <c r="M96" s="1143">
        <v>1222748</v>
      </c>
      <c r="N96" s="1029">
        <f t="shared" si="22"/>
        <v>25903339</v>
      </c>
      <c r="O96" s="639">
        <v>16089141</v>
      </c>
      <c r="P96" s="1048">
        <f t="shared" si="23"/>
        <v>9814198</v>
      </c>
      <c r="Q96" s="642"/>
      <c r="R96" s="642"/>
      <c r="S96" s="642"/>
      <c r="T96" s="642"/>
      <c r="U96" s="642"/>
      <c r="V96" s="642"/>
      <c r="W96" s="642"/>
      <c r="X96" s="642"/>
      <c r="Y96" s="642"/>
      <c r="Z96" s="642"/>
      <c r="AA96" s="642"/>
      <c r="AB96" s="642"/>
      <c r="AC96" s="642"/>
      <c r="AD96" s="642"/>
    </row>
    <row r="97" spans="1:30" ht="15.6">
      <c r="A97" s="1073">
        <f t="shared" si="24"/>
        <v>15</v>
      </c>
      <c r="B97" s="1027" t="s">
        <v>151</v>
      </c>
      <c r="C97" s="698"/>
      <c r="D97" s="639"/>
      <c r="E97" s="1143">
        <v>344240</v>
      </c>
      <c r="F97" s="1143"/>
      <c r="G97" s="1029">
        <v>24151937</v>
      </c>
      <c r="H97" s="1143"/>
      <c r="I97" s="1143">
        <v>165973</v>
      </c>
      <c r="J97" s="1143">
        <v>18441</v>
      </c>
      <c r="K97" s="1143"/>
      <c r="L97" s="1143"/>
      <c r="M97" s="1143">
        <v>1222748</v>
      </c>
      <c r="N97" s="1029">
        <f t="shared" si="22"/>
        <v>25903339</v>
      </c>
      <c r="O97" s="639">
        <v>16089141</v>
      </c>
      <c r="P97" s="1048">
        <f t="shared" si="23"/>
        <v>9814198</v>
      </c>
      <c r="Q97" s="642"/>
      <c r="R97" s="642"/>
      <c r="S97" s="642"/>
      <c r="T97" s="642"/>
      <c r="U97" s="642"/>
      <c r="V97" s="642"/>
      <c r="W97" s="642"/>
      <c r="X97" s="642"/>
      <c r="Y97" s="642"/>
      <c r="Z97" s="642"/>
      <c r="AA97" s="642"/>
      <c r="AB97" s="642"/>
      <c r="AC97" s="642"/>
      <c r="AD97" s="642"/>
    </row>
    <row r="98" spans="1:30" ht="15.6">
      <c r="A98" s="1073">
        <f t="shared" si="24"/>
        <v>16</v>
      </c>
      <c r="B98" s="1027" t="s">
        <v>149</v>
      </c>
      <c r="C98" s="698"/>
      <c r="D98" s="639"/>
      <c r="E98" s="1143">
        <v>344240</v>
      </c>
      <c r="F98" s="1143"/>
      <c r="G98" s="1029">
        <v>24151937</v>
      </c>
      <c r="H98" s="1143"/>
      <c r="I98" s="1143">
        <v>165973</v>
      </c>
      <c r="J98" s="1143">
        <v>18441</v>
      </c>
      <c r="K98" s="1143"/>
      <c r="L98" s="1143"/>
      <c r="M98" s="1143">
        <v>1222748</v>
      </c>
      <c r="N98" s="1029">
        <f t="shared" si="22"/>
        <v>25903339</v>
      </c>
      <c r="O98" s="639">
        <v>16089141</v>
      </c>
      <c r="P98" s="1048">
        <f t="shared" si="23"/>
        <v>9814198</v>
      </c>
      <c r="Q98" s="642"/>
      <c r="R98" s="642"/>
      <c r="S98" s="642"/>
      <c r="T98" s="642"/>
      <c r="U98" s="642"/>
      <c r="V98" s="642"/>
      <c r="W98" s="642"/>
      <c r="X98" s="642"/>
      <c r="Y98" s="642"/>
      <c r="Z98" s="642"/>
      <c r="AA98" s="642"/>
      <c r="AB98" s="642"/>
      <c r="AC98" s="642"/>
      <c r="AD98" s="642"/>
    </row>
    <row r="99" spans="1:30" ht="15.6">
      <c r="A99" s="1073">
        <f t="shared" si="24"/>
        <v>17</v>
      </c>
      <c r="B99" s="1026">
        <v>45292</v>
      </c>
      <c r="C99" s="698"/>
      <c r="D99" s="639"/>
      <c r="E99" s="1143">
        <v>344240</v>
      </c>
      <c r="F99" s="1143"/>
      <c r="G99" s="1029">
        <v>24151937</v>
      </c>
      <c r="H99" s="1143"/>
      <c r="I99" s="1143">
        <v>165973</v>
      </c>
      <c r="J99" s="1143">
        <v>18441</v>
      </c>
      <c r="K99" s="1143"/>
      <c r="L99" s="1143"/>
      <c r="M99" s="1143">
        <v>1222748</v>
      </c>
      <c r="N99" s="1029">
        <f t="shared" si="22"/>
        <v>25903339</v>
      </c>
      <c r="O99" s="639">
        <v>16089141</v>
      </c>
      <c r="P99" s="1048">
        <f t="shared" si="23"/>
        <v>9814198</v>
      </c>
      <c r="Q99" s="642"/>
      <c r="R99" s="642"/>
      <c r="S99" s="642"/>
      <c r="T99" s="642"/>
      <c r="U99" s="642"/>
      <c r="V99" s="642"/>
      <c r="W99" s="642"/>
      <c r="X99" s="642"/>
      <c r="Y99" s="642"/>
      <c r="Z99" s="642"/>
      <c r="AA99" s="642"/>
      <c r="AB99" s="642"/>
      <c r="AC99" s="642"/>
      <c r="AD99" s="642"/>
    </row>
    <row r="100" spans="1:30" ht="15.6">
      <c r="A100" s="1073">
        <f t="shared" si="24"/>
        <v>18</v>
      </c>
      <c r="B100" s="1027" t="s">
        <v>157</v>
      </c>
      <c r="C100" s="698"/>
      <c r="D100" s="639"/>
      <c r="E100" s="1143">
        <v>344240</v>
      </c>
      <c r="F100" s="1143"/>
      <c r="G100" s="1029">
        <v>24151937</v>
      </c>
      <c r="H100" s="1143"/>
      <c r="I100" s="1143">
        <v>165973</v>
      </c>
      <c r="J100" s="1143">
        <v>18441</v>
      </c>
      <c r="K100" s="1143"/>
      <c r="L100" s="1143"/>
      <c r="M100" s="1143">
        <v>1222748</v>
      </c>
      <c r="N100" s="1029">
        <f t="shared" si="22"/>
        <v>25903339</v>
      </c>
      <c r="O100" s="639">
        <v>16089141</v>
      </c>
      <c r="P100" s="1048">
        <f t="shared" si="23"/>
        <v>9814198</v>
      </c>
      <c r="Q100" s="642"/>
      <c r="R100" s="642"/>
      <c r="S100" s="642"/>
      <c r="T100" s="642"/>
      <c r="U100" s="642"/>
      <c r="V100" s="642"/>
      <c r="W100" s="642"/>
      <c r="X100" s="642"/>
      <c r="Y100" s="642"/>
      <c r="Z100" s="642"/>
      <c r="AA100" s="642"/>
      <c r="AB100" s="642"/>
      <c r="AC100" s="642"/>
      <c r="AD100" s="642"/>
    </row>
    <row r="101" spans="1:30" ht="15.6">
      <c r="A101" s="1073">
        <f t="shared" si="24"/>
        <v>19</v>
      </c>
      <c r="B101" s="1027" t="s">
        <v>871</v>
      </c>
      <c r="C101" s="698"/>
      <c r="D101" s="639"/>
      <c r="E101" s="1143">
        <v>344240</v>
      </c>
      <c r="F101" s="1143"/>
      <c r="G101" s="1029">
        <v>24151937</v>
      </c>
      <c r="H101" s="1143"/>
      <c r="I101" s="1143">
        <v>165973</v>
      </c>
      <c r="J101" s="1143">
        <v>18441</v>
      </c>
      <c r="K101" s="1143"/>
      <c r="L101" s="1143"/>
      <c r="M101" s="1143">
        <v>1222748</v>
      </c>
      <c r="N101" s="1029">
        <f t="shared" si="22"/>
        <v>25903339</v>
      </c>
      <c r="O101" s="639">
        <v>16089141</v>
      </c>
      <c r="P101" s="1048">
        <f t="shared" si="23"/>
        <v>9814198</v>
      </c>
      <c r="Q101" s="642"/>
      <c r="R101" s="642"/>
      <c r="S101" s="642"/>
      <c r="T101" s="642"/>
      <c r="U101" s="642"/>
      <c r="V101" s="642"/>
      <c r="W101" s="642"/>
      <c r="X101" s="642"/>
      <c r="Y101" s="642"/>
      <c r="Z101" s="642"/>
      <c r="AA101" s="642"/>
      <c r="AB101" s="642"/>
      <c r="AC101" s="642"/>
      <c r="AD101" s="642"/>
    </row>
    <row r="102" spans="1:30" ht="15.6">
      <c r="A102" s="1073">
        <f t="shared" si="24"/>
        <v>20</v>
      </c>
      <c r="B102" s="1027" t="s">
        <v>141</v>
      </c>
      <c r="C102" s="698"/>
      <c r="D102" s="639"/>
      <c r="E102" s="1143">
        <v>344240</v>
      </c>
      <c r="F102" s="1143"/>
      <c r="G102" s="1029">
        <v>24151937</v>
      </c>
      <c r="H102" s="1143"/>
      <c r="I102" s="1143">
        <v>165973</v>
      </c>
      <c r="J102" s="1143">
        <v>18441</v>
      </c>
      <c r="K102" s="1143"/>
      <c r="L102" s="1143"/>
      <c r="M102" s="1143">
        <v>1222748</v>
      </c>
      <c r="N102" s="1029">
        <f t="shared" si="22"/>
        <v>25903339</v>
      </c>
      <c r="O102" s="639">
        <v>16089141</v>
      </c>
      <c r="P102" s="1048">
        <f t="shared" si="23"/>
        <v>9814198</v>
      </c>
      <c r="Q102" s="642"/>
      <c r="R102" s="642"/>
      <c r="S102" s="642"/>
      <c r="T102" s="642"/>
      <c r="U102" s="642"/>
      <c r="V102" s="642"/>
      <c r="W102" s="642"/>
      <c r="X102" s="642"/>
      <c r="Y102" s="642"/>
      <c r="Z102" s="642"/>
      <c r="AA102" s="642"/>
      <c r="AB102" s="642"/>
      <c r="AC102" s="642"/>
      <c r="AD102" s="642"/>
    </row>
    <row r="103" spans="1:30" ht="15.6">
      <c r="A103" s="1073">
        <f t="shared" si="24"/>
        <v>21</v>
      </c>
      <c r="B103" s="1027" t="s">
        <v>138</v>
      </c>
      <c r="C103" s="698"/>
      <c r="D103" s="639"/>
      <c r="E103" s="1143">
        <v>344240</v>
      </c>
      <c r="F103" s="1143"/>
      <c r="G103" s="1029">
        <v>24151937</v>
      </c>
      <c r="H103" s="1143"/>
      <c r="I103" s="1143">
        <v>165973</v>
      </c>
      <c r="J103" s="1143">
        <v>18441</v>
      </c>
      <c r="K103" s="1143"/>
      <c r="L103" s="1143"/>
      <c r="M103" s="1143">
        <v>1222748</v>
      </c>
      <c r="N103" s="1029">
        <f t="shared" si="22"/>
        <v>25903339</v>
      </c>
      <c r="O103" s="639">
        <v>16089141</v>
      </c>
      <c r="P103" s="1048">
        <f t="shared" si="23"/>
        <v>9814198</v>
      </c>
      <c r="Q103" s="642"/>
      <c r="R103" s="642"/>
      <c r="S103" s="642"/>
      <c r="T103" s="642"/>
      <c r="U103" s="642"/>
      <c r="V103" s="642"/>
      <c r="W103" s="642"/>
      <c r="X103" s="642"/>
      <c r="Y103" s="642"/>
      <c r="Z103" s="642"/>
      <c r="AA103" s="642"/>
      <c r="AB103" s="642"/>
      <c r="AC103" s="642"/>
      <c r="AD103" s="642"/>
    </row>
    <row r="104" spans="1:30" ht="15.6">
      <c r="A104" s="1073">
        <f t="shared" si="24"/>
        <v>22</v>
      </c>
      <c r="B104" s="1028" t="s">
        <v>937</v>
      </c>
      <c r="C104" s="700"/>
      <c r="D104" s="640"/>
      <c r="E104" s="640"/>
      <c r="F104" s="640"/>
      <c r="G104" s="640"/>
      <c r="H104" s="640"/>
      <c r="I104" s="640"/>
      <c r="J104" s="640"/>
      <c r="K104" s="640"/>
      <c r="L104" s="640"/>
      <c r="M104" s="640"/>
      <c r="N104" s="1144">
        <f>+AVERAGE(N91:N103)</f>
        <v>25768615.769230768</v>
      </c>
      <c r="O104" s="1144">
        <f>+AVERAGE(O91:O103)</f>
        <v>16089141</v>
      </c>
      <c r="P104" s="1049">
        <f>+AVERAGE(P91:P103)</f>
        <v>9679474.7692307699</v>
      </c>
      <c r="Q104" s="642"/>
      <c r="R104" s="642"/>
      <c r="S104" s="642"/>
      <c r="T104" s="642"/>
      <c r="U104" s="642"/>
      <c r="V104" s="642"/>
      <c r="W104" s="642"/>
      <c r="X104" s="642"/>
      <c r="Y104" s="642"/>
      <c r="Z104" s="642"/>
      <c r="AA104" s="642"/>
      <c r="AB104" s="642"/>
      <c r="AC104" s="642"/>
      <c r="AD104" s="642"/>
    </row>
    <row r="105" spans="1:30" ht="15.6">
      <c r="A105" s="1073"/>
      <c r="B105" s="642"/>
      <c r="C105" s="642"/>
      <c r="D105" s="642"/>
      <c r="E105" s="642"/>
      <c r="F105" s="642"/>
      <c r="G105" s="642"/>
      <c r="H105" s="642"/>
      <c r="I105" s="642"/>
      <c r="J105" s="642"/>
      <c r="K105" s="642"/>
      <c r="L105" s="642"/>
      <c r="M105" s="642"/>
      <c r="N105" s="642"/>
      <c r="O105" s="642"/>
      <c r="P105" s="642"/>
      <c r="Q105" s="642"/>
      <c r="R105" s="642"/>
      <c r="S105" s="642"/>
      <c r="T105" s="642"/>
      <c r="U105" s="642"/>
      <c r="V105" s="642"/>
      <c r="W105" s="642"/>
      <c r="X105" s="642"/>
      <c r="Y105" s="642"/>
      <c r="Z105" s="642"/>
      <c r="AA105" s="642"/>
      <c r="AB105" s="642"/>
      <c r="AC105" s="642"/>
      <c r="AD105" s="642"/>
    </row>
    <row r="106" spans="1:30" ht="15.6">
      <c r="B106" s="642" t="s">
        <v>944</v>
      </c>
      <c r="C106" s="642"/>
      <c r="D106" s="664" t="s">
        <v>1003</v>
      </c>
      <c r="E106" s="642"/>
      <c r="F106" s="642"/>
      <c r="G106" s="642"/>
      <c r="H106" s="642"/>
      <c r="I106" s="642"/>
      <c r="J106" s="642"/>
      <c r="K106" s="642"/>
      <c r="L106" s="642"/>
      <c r="M106" s="642"/>
      <c r="N106" s="642"/>
      <c r="O106" s="642"/>
      <c r="P106" s="642"/>
      <c r="Q106" s="642"/>
      <c r="R106" s="642"/>
      <c r="S106" s="642"/>
      <c r="T106" s="642"/>
      <c r="U106" s="642"/>
      <c r="V106" s="642"/>
      <c r="W106" s="642"/>
      <c r="X106" s="642"/>
      <c r="Y106" s="642"/>
      <c r="Z106" s="642"/>
      <c r="AA106" s="642"/>
      <c r="AB106" s="642"/>
      <c r="AC106" s="642"/>
      <c r="AD106" s="642"/>
    </row>
    <row r="107" spans="1:30" ht="15.6">
      <c r="B107" s="642"/>
      <c r="C107" s="1060" t="s">
        <v>945</v>
      </c>
      <c r="D107" s="642"/>
      <c r="E107" s="642"/>
      <c r="F107" s="642"/>
      <c r="G107" s="642"/>
      <c r="H107" s="642"/>
      <c r="I107" s="642"/>
      <c r="J107" s="642"/>
      <c r="K107" s="642"/>
      <c r="L107" s="642"/>
      <c r="M107" s="642"/>
      <c r="N107" s="642"/>
      <c r="O107" s="642"/>
      <c r="P107" s="642"/>
      <c r="Q107" s="642"/>
      <c r="R107" s="642"/>
      <c r="S107" s="642"/>
      <c r="T107" s="642"/>
      <c r="U107" s="642"/>
      <c r="V107" s="642"/>
      <c r="W107" s="642"/>
      <c r="X107" s="642"/>
      <c r="Y107" s="642"/>
      <c r="Z107" s="642"/>
      <c r="AA107" s="642"/>
      <c r="AB107" s="642"/>
      <c r="AC107" s="642"/>
      <c r="AD107" s="642"/>
    </row>
    <row r="108" spans="1:30" ht="15.6">
      <c r="A108" s="1071">
        <f>+A104+1</f>
        <v>23</v>
      </c>
      <c r="B108" s="1058" t="s">
        <v>936</v>
      </c>
      <c r="C108" s="1070">
        <v>11590.269249999999</v>
      </c>
      <c r="D108" s="642"/>
      <c r="E108" s="642"/>
      <c r="F108" s="642"/>
      <c r="G108" s="642"/>
      <c r="H108" s="642"/>
      <c r="I108" s="642"/>
      <c r="J108" s="642"/>
      <c r="K108" s="642"/>
      <c r="L108" s="642"/>
      <c r="M108" s="642"/>
      <c r="N108" s="642"/>
      <c r="O108" s="642"/>
      <c r="P108" s="642"/>
      <c r="Q108" s="642"/>
      <c r="R108" s="642"/>
      <c r="S108" s="642"/>
      <c r="T108" s="642"/>
      <c r="U108" s="642"/>
      <c r="V108" s="642"/>
      <c r="W108" s="642"/>
      <c r="X108" s="642"/>
      <c r="Y108" s="642"/>
      <c r="Z108" s="642"/>
      <c r="AA108" s="642"/>
      <c r="AB108" s="642"/>
      <c r="AC108" s="642"/>
      <c r="AD108" s="642"/>
    </row>
    <row r="109" spans="1:30" ht="15.6">
      <c r="A109" s="1071">
        <f>+A108+1</f>
        <v>24</v>
      </c>
      <c r="B109" s="1058" t="s">
        <v>254</v>
      </c>
      <c r="C109" s="1070">
        <v>26303.292764285714</v>
      </c>
      <c r="D109" s="642"/>
      <c r="E109" s="642"/>
      <c r="F109" s="642"/>
      <c r="G109" s="642"/>
      <c r="H109" s="642"/>
      <c r="I109" s="642"/>
      <c r="J109" s="642"/>
      <c r="K109" s="642"/>
      <c r="L109" s="642"/>
      <c r="M109" s="642"/>
      <c r="N109" s="642"/>
      <c r="O109" s="642"/>
      <c r="P109" s="642"/>
      <c r="Q109" s="642"/>
      <c r="R109" s="642"/>
      <c r="S109" s="642"/>
      <c r="T109" s="642"/>
      <c r="U109" s="642"/>
      <c r="V109" s="642"/>
      <c r="W109" s="642"/>
      <c r="X109" s="642"/>
      <c r="Y109" s="642"/>
      <c r="Z109" s="642"/>
      <c r="AA109" s="642"/>
      <c r="AB109" s="642"/>
      <c r="AC109" s="642"/>
      <c r="AD109" s="642"/>
    </row>
    <row r="110" spans="1:30" ht="15.6">
      <c r="A110" s="1071">
        <f t="shared" ref="A110:A121" si="25">+A109+1</f>
        <v>25</v>
      </c>
      <c r="B110" s="1058" t="s">
        <v>155</v>
      </c>
      <c r="C110" s="1070">
        <v>41016.31627857143</v>
      </c>
      <c r="D110" s="642"/>
      <c r="E110" s="642"/>
      <c r="F110" s="642"/>
      <c r="G110" s="642"/>
      <c r="H110" s="642"/>
      <c r="I110" s="642"/>
      <c r="J110" s="642"/>
      <c r="K110" s="642"/>
      <c r="L110" s="642"/>
      <c r="M110" s="642"/>
      <c r="N110" s="642"/>
      <c r="O110" s="642"/>
      <c r="P110" s="642"/>
      <c r="Q110" s="642"/>
      <c r="R110" s="642"/>
      <c r="S110" s="642"/>
      <c r="T110" s="642"/>
      <c r="U110" s="642"/>
      <c r="V110" s="642"/>
      <c r="W110" s="642"/>
      <c r="X110" s="642"/>
      <c r="Y110" s="642"/>
      <c r="Z110" s="642"/>
      <c r="AA110" s="642"/>
      <c r="AB110" s="642"/>
      <c r="AC110" s="642"/>
      <c r="AD110" s="642"/>
    </row>
    <row r="111" spans="1:30" ht="15.6">
      <c r="A111" s="1071">
        <f t="shared" si="25"/>
        <v>26</v>
      </c>
      <c r="B111" s="1058" t="s">
        <v>154</v>
      </c>
      <c r="C111" s="1070">
        <v>55729.339792857143</v>
      </c>
      <c r="D111" s="642"/>
      <c r="E111" s="642"/>
      <c r="F111" s="642"/>
      <c r="G111" s="642"/>
      <c r="H111" s="642"/>
      <c r="I111" s="642"/>
      <c r="J111" s="642"/>
      <c r="K111" s="642"/>
      <c r="L111" s="642"/>
      <c r="M111" s="642"/>
      <c r="N111" s="642"/>
      <c r="O111" s="642"/>
      <c r="P111" s="642"/>
      <c r="Q111" s="642"/>
      <c r="R111" s="642"/>
      <c r="S111" s="642"/>
      <c r="T111" s="642"/>
      <c r="U111" s="642"/>
      <c r="V111" s="642"/>
      <c r="W111" s="642"/>
      <c r="X111" s="642"/>
      <c r="Y111" s="642"/>
      <c r="Z111" s="642"/>
      <c r="AA111" s="642"/>
      <c r="AB111" s="642"/>
      <c r="AC111" s="642"/>
      <c r="AD111" s="642"/>
    </row>
    <row r="112" spans="1:30" ht="15.6">
      <c r="A112" s="1071">
        <f t="shared" si="25"/>
        <v>27</v>
      </c>
      <c r="B112" s="1058" t="s">
        <v>153</v>
      </c>
      <c r="C112" s="1070">
        <v>70442.363307142848</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row>
    <row r="113" spans="1:30" ht="15.6">
      <c r="A113" s="1071">
        <f t="shared" si="25"/>
        <v>28</v>
      </c>
      <c r="B113" s="1058" t="s">
        <v>164</v>
      </c>
      <c r="C113" s="1070">
        <v>85155.386821428561</v>
      </c>
      <c r="D113" s="642"/>
      <c r="E113" s="642"/>
      <c r="F113" s="642"/>
      <c r="G113" s="642"/>
      <c r="H113" s="642"/>
      <c r="I113" s="642"/>
      <c r="J113" s="642"/>
      <c r="K113" s="642"/>
      <c r="L113" s="642"/>
      <c r="M113" s="642"/>
      <c r="N113" s="642"/>
      <c r="O113" s="642"/>
      <c r="P113" s="642"/>
      <c r="Q113" s="642"/>
      <c r="R113" s="642"/>
      <c r="S113" s="642"/>
      <c r="T113" s="642"/>
      <c r="U113" s="642"/>
      <c r="V113" s="642"/>
      <c r="W113" s="642"/>
      <c r="X113" s="642"/>
      <c r="Y113" s="642"/>
      <c r="Z113" s="642"/>
      <c r="AA113" s="642"/>
      <c r="AB113" s="642"/>
      <c r="AC113" s="642"/>
      <c r="AD113" s="642"/>
    </row>
    <row r="114" spans="1:30" ht="15.6">
      <c r="A114" s="1071">
        <f t="shared" si="25"/>
        <v>29</v>
      </c>
      <c r="B114" s="1058" t="s">
        <v>151</v>
      </c>
      <c r="C114" s="1070">
        <v>99868.410335714289</v>
      </c>
      <c r="D114" s="642"/>
      <c r="E114" s="642"/>
      <c r="F114" s="642"/>
      <c r="G114" s="642"/>
      <c r="H114" s="642"/>
      <c r="I114" s="642"/>
      <c r="J114" s="642"/>
      <c r="K114" s="642"/>
      <c r="L114" s="642"/>
      <c r="M114" s="642"/>
      <c r="N114" s="642"/>
      <c r="O114" s="642"/>
      <c r="P114" s="642"/>
      <c r="Q114" s="642"/>
      <c r="R114" s="642"/>
      <c r="S114" s="642"/>
      <c r="T114" s="642"/>
      <c r="U114" s="642"/>
      <c r="V114" s="642"/>
      <c r="W114" s="642"/>
      <c r="X114" s="642"/>
      <c r="Y114" s="642"/>
      <c r="Z114" s="642"/>
      <c r="AA114" s="642"/>
      <c r="AB114" s="642"/>
      <c r="AC114" s="642"/>
      <c r="AD114" s="642"/>
    </row>
    <row r="115" spans="1:30" ht="15.6">
      <c r="A115" s="1071">
        <f t="shared" si="25"/>
        <v>30</v>
      </c>
      <c r="B115" s="1058" t="s">
        <v>149</v>
      </c>
      <c r="C115" s="1070">
        <v>114581.43385</v>
      </c>
      <c r="D115" s="642"/>
      <c r="E115" s="642"/>
      <c r="F115" s="642"/>
      <c r="G115" s="642"/>
      <c r="H115" s="642"/>
      <c r="I115" s="642"/>
      <c r="J115" s="642"/>
      <c r="K115" s="642"/>
      <c r="L115" s="642"/>
      <c r="M115" s="642"/>
      <c r="N115" s="642"/>
      <c r="O115" s="642"/>
      <c r="P115" s="642"/>
      <c r="Q115" s="642"/>
      <c r="R115" s="642"/>
      <c r="S115" s="642"/>
      <c r="T115" s="642"/>
      <c r="U115" s="642"/>
      <c r="V115" s="642"/>
      <c r="W115" s="642"/>
      <c r="X115" s="642"/>
      <c r="Y115" s="642"/>
      <c r="Z115" s="642"/>
      <c r="AA115" s="642"/>
      <c r="AB115" s="642"/>
      <c r="AC115" s="642"/>
      <c r="AD115" s="642"/>
    </row>
    <row r="116" spans="1:30" ht="15.6">
      <c r="A116" s="1071">
        <f t="shared" si="25"/>
        <v>31</v>
      </c>
      <c r="B116" s="1058" t="s">
        <v>947</v>
      </c>
      <c r="C116" s="1070">
        <v>133678.3394916667</v>
      </c>
      <c r="D116" s="642"/>
      <c r="E116" s="642"/>
      <c r="F116" s="642"/>
      <c r="G116" s="642"/>
      <c r="H116" s="642"/>
      <c r="I116" s="642"/>
      <c r="J116" s="642"/>
      <c r="K116" s="642"/>
      <c r="L116" s="642"/>
      <c r="M116" s="642"/>
      <c r="N116" s="642"/>
      <c r="O116" s="642"/>
      <c r="P116" s="642"/>
      <c r="Q116" s="642"/>
      <c r="R116" s="642"/>
      <c r="S116" s="642"/>
      <c r="T116" s="642"/>
      <c r="U116" s="642"/>
      <c r="V116" s="642"/>
      <c r="W116" s="642"/>
      <c r="X116" s="642"/>
      <c r="Y116" s="642"/>
      <c r="Z116" s="642"/>
      <c r="AA116" s="642"/>
      <c r="AB116" s="642"/>
      <c r="AC116" s="642"/>
      <c r="AD116" s="642"/>
    </row>
    <row r="117" spans="1:30" ht="15.6">
      <c r="A117" s="1071">
        <f t="shared" si="25"/>
        <v>32</v>
      </c>
      <c r="B117" s="1058" t="s">
        <v>157</v>
      </c>
      <c r="C117" s="1070">
        <v>152775.24513333334</v>
      </c>
      <c r="D117" s="642"/>
      <c r="E117" s="642"/>
      <c r="F117" s="642"/>
      <c r="G117" s="642"/>
      <c r="H117" s="642"/>
      <c r="I117" s="642"/>
      <c r="J117" s="642"/>
      <c r="K117" s="642"/>
      <c r="L117" s="642"/>
      <c r="M117" s="642"/>
      <c r="N117" s="642"/>
      <c r="O117" s="642"/>
      <c r="P117" s="642"/>
      <c r="Q117" s="642"/>
      <c r="R117" s="642"/>
      <c r="S117" s="642"/>
      <c r="T117" s="642"/>
      <c r="U117" s="642"/>
      <c r="V117" s="642"/>
      <c r="W117" s="642"/>
      <c r="X117" s="642"/>
      <c r="Y117" s="642"/>
      <c r="Z117" s="642"/>
      <c r="AA117" s="642"/>
      <c r="AB117" s="642"/>
      <c r="AC117" s="642"/>
      <c r="AD117" s="642"/>
    </row>
    <row r="118" spans="1:30" ht="15.6">
      <c r="A118" s="1071">
        <f t="shared" si="25"/>
        <v>33</v>
      </c>
      <c r="B118" s="1058" t="s">
        <v>871</v>
      </c>
      <c r="C118" s="1070">
        <v>171872.15077500002</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2"/>
      <c r="AD118" s="642"/>
    </row>
    <row r="119" spans="1:30" ht="15.6">
      <c r="A119" s="1071">
        <f t="shared" si="25"/>
        <v>34</v>
      </c>
      <c r="B119" s="1058" t="s">
        <v>141</v>
      </c>
      <c r="C119" s="1070">
        <v>190969.05641666669</v>
      </c>
      <c r="D119" s="642"/>
      <c r="E119" s="642"/>
      <c r="F119" s="642"/>
      <c r="G119" s="642"/>
      <c r="H119" s="642"/>
      <c r="I119" s="642"/>
      <c r="J119" s="642"/>
      <c r="K119" s="642"/>
      <c r="L119" s="642"/>
      <c r="M119" s="642"/>
      <c r="N119" s="642"/>
      <c r="O119" s="642"/>
      <c r="P119" s="642"/>
      <c r="Q119" s="642"/>
      <c r="R119" s="642"/>
      <c r="S119" s="642"/>
      <c r="T119" s="642"/>
      <c r="U119" s="642"/>
      <c r="V119" s="642"/>
      <c r="W119" s="642"/>
      <c r="X119" s="642"/>
      <c r="Y119" s="642"/>
      <c r="Z119" s="642"/>
      <c r="AA119" s="642"/>
      <c r="AB119" s="642"/>
      <c r="AC119" s="642"/>
      <c r="AD119" s="642"/>
    </row>
    <row r="120" spans="1:30" ht="15.6">
      <c r="A120" s="1071">
        <f t="shared" si="25"/>
        <v>35</v>
      </c>
      <c r="B120" s="1058" t="s">
        <v>946</v>
      </c>
      <c r="C120" s="640">
        <v>210065.96205833336</v>
      </c>
      <c r="D120" s="642"/>
      <c r="E120" s="642"/>
      <c r="F120" s="642"/>
      <c r="G120" s="642"/>
      <c r="H120" s="642"/>
      <c r="I120" s="642"/>
      <c r="J120" s="642"/>
      <c r="K120" s="642"/>
      <c r="L120" s="642"/>
      <c r="M120" s="642"/>
      <c r="N120" s="642"/>
      <c r="O120" s="642"/>
      <c r="P120" s="642"/>
      <c r="Q120" s="642"/>
      <c r="R120" s="642"/>
      <c r="S120" s="642"/>
      <c r="T120" s="642"/>
      <c r="U120" s="642"/>
      <c r="V120" s="642"/>
      <c r="W120" s="642"/>
      <c r="X120" s="642"/>
      <c r="Y120" s="642"/>
      <c r="Z120" s="642"/>
      <c r="AA120" s="642"/>
      <c r="AB120" s="642"/>
      <c r="AC120" s="642"/>
      <c r="AD120" s="642"/>
    </row>
    <row r="121" spans="1:30" ht="15.6">
      <c r="A121" s="1071">
        <f t="shared" si="25"/>
        <v>36</v>
      </c>
      <c r="B121" s="1059" t="s">
        <v>937</v>
      </c>
      <c r="C121" s="1071">
        <f>+AVERAGE(C108:C120)</f>
        <v>104926.7358673077</v>
      </c>
      <c r="D121" s="642"/>
      <c r="E121" s="642"/>
      <c r="F121" s="642"/>
      <c r="G121" s="642"/>
      <c r="H121" s="642"/>
      <c r="I121" s="642"/>
      <c r="J121" s="642"/>
      <c r="K121" s="642"/>
      <c r="L121" s="642"/>
      <c r="M121" s="642"/>
      <c r="N121" s="642"/>
      <c r="O121" s="642"/>
      <c r="P121" s="642"/>
      <c r="Q121" s="642"/>
      <c r="R121" s="642"/>
      <c r="S121" s="642"/>
      <c r="T121" s="642"/>
      <c r="U121" s="642"/>
      <c r="V121" s="642"/>
      <c r="W121" s="642"/>
      <c r="X121" s="642"/>
      <c r="Y121" s="642"/>
      <c r="Z121" s="642"/>
      <c r="AA121" s="642"/>
      <c r="AB121" s="642"/>
      <c r="AC121" s="642"/>
      <c r="AD121" s="642"/>
    </row>
    <row r="122" spans="1:30" ht="15.6">
      <c r="A122" s="1058"/>
      <c r="B122" s="642"/>
      <c r="C122" s="642"/>
      <c r="D122" s="642"/>
      <c r="E122" s="642"/>
      <c r="F122" s="642"/>
      <c r="G122" s="642"/>
      <c r="H122" s="642"/>
      <c r="I122" s="642"/>
      <c r="J122" s="642"/>
      <c r="K122" s="642"/>
      <c r="L122" s="642"/>
      <c r="M122" s="642"/>
      <c r="N122" s="642"/>
      <c r="O122" s="642"/>
      <c r="P122" s="642"/>
      <c r="Q122" s="642"/>
      <c r="R122" s="642"/>
      <c r="S122" s="642"/>
      <c r="T122" s="642"/>
      <c r="U122" s="642"/>
      <c r="V122" s="642"/>
      <c r="W122" s="642"/>
      <c r="X122" s="642"/>
      <c r="Y122" s="642"/>
      <c r="Z122" s="642"/>
      <c r="AA122" s="642"/>
      <c r="AB122" s="642"/>
      <c r="AC122" s="642"/>
      <c r="AD122" s="642"/>
    </row>
    <row r="123" spans="1:30" ht="15.6">
      <c r="A123" s="642"/>
      <c r="B123" s="642"/>
      <c r="C123" s="642"/>
      <c r="D123" s="642"/>
      <c r="E123" s="642"/>
      <c r="F123" s="642"/>
      <c r="G123" s="642"/>
      <c r="H123" s="642"/>
      <c r="I123" s="642"/>
      <c r="J123" s="642"/>
      <c r="K123" s="642"/>
      <c r="L123" s="642"/>
      <c r="M123" s="642"/>
    </row>
    <row r="124" spans="1:30" ht="15.6">
      <c r="A124" s="1249" t="s">
        <v>562</v>
      </c>
      <c r="B124" s="1249"/>
      <c r="C124" s="1249"/>
      <c r="D124" s="664"/>
      <c r="E124" s="664"/>
      <c r="F124" s="664"/>
      <c r="G124" s="664"/>
      <c r="H124" s="664"/>
      <c r="I124" s="664"/>
      <c r="J124" s="664"/>
      <c r="K124" s="664"/>
      <c r="L124" s="664"/>
      <c r="M124" s="664"/>
      <c r="N124" s="642"/>
    </row>
    <row r="125" spans="1:30" ht="15.6">
      <c r="A125" s="641"/>
      <c r="B125" s="664" t="s">
        <v>779</v>
      </c>
      <c r="C125" s="664"/>
      <c r="D125" s="664"/>
      <c r="E125" s="664"/>
      <c r="F125" s="664"/>
      <c r="G125" s="664"/>
      <c r="H125" s="664"/>
      <c r="I125" s="664"/>
      <c r="J125" s="664"/>
      <c r="K125" s="664"/>
      <c r="L125" s="664"/>
      <c r="M125" s="664"/>
      <c r="N125" s="642"/>
    </row>
    <row r="126" spans="1:30" ht="15.6">
      <c r="A126" s="693"/>
      <c r="B126" s="664"/>
      <c r="C126" s="664"/>
      <c r="D126" s="664"/>
      <c r="E126" s="664"/>
      <c r="F126" s="664"/>
      <c r="G126" s="664"/>
      <c r="H126" s="664"/>
      <c r="I126" s="664"/>
      <c r="J126" s="664"/>
      <c r="K126" s="664"/>
      <c r="L126" s="664"/>
      <c r="M126" s="664"/>
      <c r="N126" s="642"/>
    </row>
    <row r="127" spans="1:30" ht="15.6">
      <c r="A127" s="693"/>
      <c r="B127" s="664"/>
      <c r="C127" s="665"/>
      <c r="D127" s="665"/>
      <c r="E127" s="665"/>
      <c r="F127" s="665"/>
      <c r="G127" s="665"/>
      <c r="H127" s="665"/>
      <c r="I127" s="665"/>
      <c r="J127" s="665"/>
      <c r="K127" s="665"/>
      <c r="L127" s="665"/>
      <c r="M127" s="684"/>
      <c r="N127" s="642"/>
    </row>
    <row r="128" spans="1:30" ht="15.6">
      <c r="A128" s="695"/>
      <c r="B128" s="635" t="s">
        <v>260</v>
      </c>
      <c r="C128" s="882" t="s">
        <v>422</v>
      </c>
      <c r="D128" s="882"/>
      <c r="E128" s="881" t="s">
        <v>778</v>
      </c>
      <c r="F128" s="881"/>
      <c r="G128" s="881" t="s">
        <v>563</v>
      </c>
      <c r="H128" s="883" t="s">
        <v>38</v>
      </c>
      <c r="I128" s="685"/>
      <c r="J128" s="685"/>
      <c r="K128" s="685"/>
      <c r="L128" s="685"/>
      <c r="M128" s="685"/>
      <c r="N128" s="642"/>
    </row>
    <row r="129" spans="1:14" ht="25.5" customHeight="1">
      <c r="A129" s="689" t="s">
        <v>952</v>
      </c>
      <c r="B129" s="696"/>
      <c r="C129" s="1251"/>
      <c r="D129" s="1252"/>
      <c r="E129" s="1253" t="s">
        <v>667</v>
      </c>
      <c r="F129" s="1253"/>
      <c r="G129" s="638"/>
      <c r="H129" s="697"/>
      <c r="I129" s="686"/>
      <c r="J129" s="686"/>
      <c r="K129" s="686"/>
      <c r="L129" s="686"/>
      <c r="M129" s="686"/>
      <c r="N129" s="642"/>
    </row>
    <row r="130" spans="1:14" ht="15.6">
      <c r="A130" s="689" t="s">
        <v>954</v>
      </c>
      <c r="B130" s="698"/>
      <c r="C130" s="639"/>
      <c r="D130" s="639"/>
      <c r="E130" s="1250" t="s">
        <v>667</v>
      </c>
      <c r="F130" s="1250"/>
      <c r="G130" s="639"/>
      <c r="H130" s="699"/>
      <c r="I130" s="687"/>
      <c r="J130" s="687"/>
      <c r="K130" s="687"/>
      <c r="L130" s="687"/>
      <c r="M130" s="686"/>
      <c r="N130" s="642"/>
    </row>
    <row r="131" spans="1:14" ht="15.6">
      <c r="A131" s="689" t="s">
        <v>955</v>
      </c>
      <c r="B131" s="698"/>
      <c r="C131" s="639"/>
      <c r="D131" s="639"/>
      <c r="E131" s="1250" t="s">
        <v>667</v>
      </c>
      <c r="F131" s="1250"/>
      <c r="G131" s="639"/>
      <c r="H131" s="699"/>
      <c r="I131" s="687"/>
      <c r="J131" s="687"/>
      <c r="K131" s="687"/>
      <c r="L131" s="687"/>
      <c r="M131" s="686"/>
      <c r="N131" s="642"/>
    </row>
    <row r="132" spans="1:14" ht="15.6">
      <c r="A132" s="689" t="s">
        <v>358</v>
      </c>
      <c r="B132" s="698"/>
      <c r="C132" s="639"/>
      <c r="D132" s="639"/>
      <c r="E132" s="1250" t="s">
        <v>667</v>
      </c>
      <c r="F132" s="1250"/>
      <c r="G132" s="639"/>
      <c r="H132" s="699"/>
      <c r="I132" s="687"/>
      <c r="J132" s="687"/>
      <c r="K132" s="687"/>
      <c r="L132" s="687"/>
      <c r="M132" s="686"/>
      <c r="N132" s="642"/>
    </row>
    <row r="133" spans="1:14" ht="15.6">
      <c r="A133" s="689" t="s">
        <v>358</v>
      </c>
      <c r="B133" s="698"/>
      <c r="C133" s="639"/>
      <c r="D133" s="639"/>
      <c r="E133" s="1250" t="s">
        <v>667</v>
      </c>
      <c r="F133" s="1250"/>
      <c r="G133" s="639"/>
      <c r="H133" s="699"/>
      <c r="I133" s="687"/>
      <c r="J133" s="687"/>
      <c r="K133" s="687"/>
      <c r="L133" s="687"/>
      <c r="M133" s="686"/>
      <c r="N133" s="642"/>
    </row>
    <row r="134" spans="1:14" ht="15.6">
      <c r="A134" s="689" t="s">
        <v>358</v>
      </c>
      <c r="B134" s="698"/>
      <c r="C134" s="639"/>
      <c r="D134" s="639"/>
      <c r="E134" s="1250" t="s">
        <v>667</v>
      </c>
      <c r="F134" s="1250"/>
      <c r="G134" s="639"/>
      <c r="H134" s="699"/>
      <c r="I134" s="687"/>
      <c r="J134" s="687"/>
      <c r="K134" s="687"/>
      <c r="L134" s="687"/>
      <c r="M134" s="686"/>
      <c r="N134" s="642"/>
    </row>
    <row r="135" spans="1:14" ht="15.6">
      <c r="A135" s="689" t="s">
        <v>358</v>
      </c>
      <c r="B135" s="698"/>
      <c r="C135" s="639"/>
      <c r="D135" s="639"/>
      <c r="E135" s="1250" t="s">
        <v>667</v>
      </c>
      <c r="F135" s="1250"/>
      <c r="G135" s="639"/>
      <c r="H135" s="699"/>
      <c r="I135" s="687"/>
      <c r="J135" s="687"/>
      <c r="K135" s="687"/>
      <c r="L135" s="687"/>
      <c r="M135" s="686"/>
      <c r="N135" s="642"/>
    </row>
    <row r="136" spans="1:14" ht="15.6">
      <c r="A136" s="689" t="s">
        <v>358</v>
      </c>
      <c r="B136" s="698"/>
      <c r="C136" s="639"/>
      <c r="D136" s="639"/>
      <c r="E136" s="1250" t="s">
        <v>667</v>
      </c>
      <c r="F136" s="1250"/>
      <c r="G136" s="639"/>
      <c r="H136" s="699"/>
      <c r="I136" s="687"/>
      <c r="J136" s="687"/>
      <c r="K136" s="687"/>
      <c r="L136" s="687"/>
      <c r="M136" s="686"/>
      <c r="N136" s="642"/>
    </row>
    <row r="137" spans="1:14" ht="15.6">
      <c r="A137" s="689" t="s">
        <v>358</v>
      </c>
      <c r="B137" s="698"/>
      <c r="C137" s="639"/>
      <c r="D137" s="639"/>
      <c r="E137" s="1250" t="s">
        <v>667</v>
      </c>
      <c r="F137" s="1250"/>
      <c r="G137" s="639"/>
      <c r="H137" s="699"/>
      <c r="I137" s="687"/>
      <c r="J137" s="687"/>
      <c r="K137" s="687"/>
      <c r="L137" s="687"/>
      <c r="M137" s="686"/>
      <c r="N137" s="642"/>
    </row>
    <row r="138" spans="1:14" ht="15.6">
      <c r="A138" s="689" t="s">
        <v>358</v>
      </c>
      <c r="B138" s="698"/>
      <c r="C138" s="639"/>
      <c r="D138" s="639"/>
      <c r="E138" s="1250" t="s">
        <v>667</v>
      </c>
      <c r="F138" s="1250"/>
      <c r="G138" s="639"/>
      <c r="H138" s="699"/>
      <c r="I138" s="687"/>
      <c r="J138" s="687"/>
      <c r="K138" s="687"/>
      <c r="L138" s="687"/>
      <c r="M138" s="686"/>
      <c r="N138" s="642"/>
    </row>
    <row r="139" spans="1:14" ht="15.6">
      <c r="A139" s="689" t="s">
        <v>358</v>
      </c>
      <c r="B139" s="698"/>
      <c r="C139" s="639"/>
      <c r="D139" s="639"/>
      <c r="E139" s="1250" t="s">
        <v>667</v>
      </c>
      <c r="F139" s="1250"/>
      <c r="G139" s="639"/>
      <c r="H139" s="699"/>
      <c r="I139" s="687"/>
      <c r="J139" s="687"/>
      <c r="K139" s="687"/>
      <c r="L139" s="687"/>
      <c r="M139" s="686"/>
      <c r="N139" s="642"/>
    </row>
    <row r="140" spans="1:14" ht="15.6">
      <c r="A140" s="689" t="s">
        <v>358</v>
      </c>
      <c r="B140" s="698"/>
      <c r="C140" s="639"/>
      <c r="D140" s="639"/>
      <c r="E140" s="1250" t="s">
        <v>667</v>
      </c>
      <c r="F140" s="1250"/>
      <c r="G140" s="639"/>
      <c r="H140" s="699"/>
      <c r="I140" s="687"/>
      <c r="J140" s="687"/>
      <c r="K140" s="687"/>
      <c r="L140" s="687"/>
      <c r="M140" s="686"/>
      <c r="N140" s="642"/>
    </row>
    <row r="141" spans="1:14" ht="15.6">
      <c r="A141" s="689" t="s">
        <v>358</v>
      </c>
      <c r="B141" s="698"/>
      <c r="C141" s="639"/>
      <c r="D141" s="639"/>
      <c r="E141" s="1250" t="s">
        <v>667</v>
      </c>
      <c r="F141" s="1250"/>
      <c r="G141" s="639"/>
      <c r="H141" s="699"/>
      <c r="I141" s="687"/>
      <c r="J141" s="687"/>
      <c r="K141" s="687"/>
      <c r="L141" s="687"/>
      <c r="M141" s="686"/>
      <c r="N141" s="642"/>
    </row>
    <row r="142" spans="1:14" ht="15.6">
      <c r="A142" s="689"/>
      <c r="B142" s="698"/>
      <c r="C142" s="639"/>
      <c r="D142" s="639"/>
      <c r="E142" s="1250" t="s">
        <v>667</v>
      </c>
      <c r="F142" s="1250"/>
      <c r="G142" s="639"/>
      <c r="H142" s="699"/>
      <c r="I142" s="687"/>
      <c r="J142" s="687"/>
      <c r="K142" s="687"/>
      <c r="L142" s="687"/>
      <c r="M142" s="686"/>
      <c r="N142" s="642"/>
    </row>
    <row r="143" spans="1:14" ht="15.6">
      <c r="A143" s="689"/>
      <c r="B143" s="698"/>
      <c r="C143" s="639"/>
      <c r="D143" s="639"/>
      <c r="E143" s="1250" t="s">
        <v>667</v>
      </c>
      <c r="F143" s="1250"/>
      <c r="G143" s="639"/>
      <c r="H143" s="699"/>
      <c r="I143" s="687"/>
      <c r="J143" s="687"/>
      <c r="K143" s="687"/>
      <c r="L143" s="687"/>
      <c r="M143" s="686"/>
      <c r="N143" s="642"/>
    </row>
    <row r="144" spans="1:14" ht="15.6">
      <c r="A144" s="689"/>
      <c r="B144" s="698"/>
      <c r="C144" s="639"/>
      <c r="D144" s="639"/>
      <c r="E144" s="1250" t="s">
        <v>667</v>
      </c>
      <c r="F144" s="1250"/>
      <c r="G144" s="639"/>
      <c r="H144" s="699"/>
      <c r="I144" s="687"/>
      <c r="J144" s="687"/>
      <c r="K144" s="687"/>
      <c r="L144" s="687"/>
      <c r="M144" s="686"/>
      <c r="N144" s="642"/>
    </row>
    <row r="145" spans="1:14" ht="15.6">
      <c r="A145" s="690" t="s">
        <v>956</v>
      </c>
      <c r="B145" s="700"/>
      <c r="C145" s="640"/>
      <c r="D145" s="640"/>
      <c r="E145" s="1254" t="s">
        <v>667</v>
      </c>
      <c r="F145" s="1254"/>
      <c r="G145" s="640"/>
      <c r="H145" s="701"/>
      <c r="I145" s="687"/>
      <c r="J145" s="687"/>
      <c r="K145" s="687"/>
      <c r="L145" s="687"/>
      <c r="M145" s="686"/>
      <c r="N145" s="642"/>
    </row>
    <row r="146" spans="1:14" ht="15.6">
      <c r="A146" s="691">
        <v>38</v>
      </c>
      <c r="B146" s="634" t="s">
        <v>780</v>
      </c>
      <c r="C146" s="687"/>
      <c r="D146" s="687"/>
      <c r="E146" s="687"/>
      <c r="F146" s="687"/>
      <c r="G146" s="687"/>
      <c r="H146" s="687">
        <f>SUM(H129:H145)</f>
        <v>0</v>
      </c>
      <c r="I146" s="687"/>
      <c r="J146" s="687"/>
      <c r="K146" s="687"/>
      <c r="L146" s="687"/>
      <c r="M146" s="687"/>
      <c r="N146" s="642"/>
    </row>
    <row r="147" spans="1:14">
      <c r="A147" s="694"/>
    </row>
    <row r="149" spans="1:14" ht="15.6">
      <c r="A149" s="1069" t="s">
        <v>928</v>
      </c>
      <c r="B149" s="1069"/>
      <c r="C149" s="1069"/>
      <c r="D149" s="664"/>
      <c r="E149" s="664"/>
      <c r="F149" s="664"/>
      <c r="G149" s="664"/>
      <c r="H149" s="664"/>
    </row>
    <row r="150" spans="1:14" ht="15.6">
      <c r="A150" s="1124"/>
      <c r="B150" s="664"/>
      <c r="C150" s="664"/>
      <c r="D150" s="664"/>
      <c r="E150" s="664"/>
      <c r="F150" s="664"/>
      <c r="G150" s="664"/>
      <c r="H150" s="664"/>
    </row>
    <row r="151" spans="1:14" ht="15.6">
      <c r="A151" s="1125" t="s">
        <v>846</v>
      </c>
      <c r="B151" s="664"/>
      <c r="C151" s="664"/>
      <c r="D151" s="664"/>
      <c r="E151" s="664"/>
      <c r="F151" s="664"/>
      <c r="G151" s="664"/>
      <c r="H151" s="664"/>
    </row>
    <row r="152" spans="1:14" ht="15.6">
      <c r="A152" s="1126"/>
      <c r="B152" s="664"/>
      <c r="C152" s="665"/>
      <c r="D152" s="665"/>
      <c r="E152" s="665"/>
      <c r="F152" s="665"/>
      <c r="G152" s="665"/>
      <c r="H152" s="665"/>
    </row>
    <row r="153" spans="1:14" ht="27.6">
      <c r="A153" s="1126"/>
      <c r="B153" s="1127" t="s">
        <v>285</v>
      </c>
      <c r="C153" s="1128" t="s">
        <v>647</v>
      </c>
      <c r="D153" s="1128" t="s">
        <v>648</v>
      </c>
      <c r="E153" s="1128" t="s">
        <v>842</v>
      </c>
      <c r="F153" s="1128" t="s">
        <v>649</v>
      </c>
      <c r="G153" s="1128" t="s">
        <v>650</v>
      </c>
      <c r="H153" s="1128" t="s">
        <v>843</v>
      </c>
      <c r="I153" s="1129" t="s">
        <v>781</v>
      </c>
      <c r="J153" s="1130" t="s">
        <v>41</v>
      </c>
    </row>
    <row r="154" spans="1:14" ht="15.6">
      <c r="A154" s="1131" t="s">
        <v>953</v>
      </c>
      <c r="B154" s="1132"/>
      <c r="C154" s="686"/>
      <c r="D154" s="686"/>
      <c r="E154" s="686"/>
      <c r="F154" s="686"/>
      <c r="G154" s="686"/>
      <c r="H154" s="686"/>
      <c r="I154" s="1133"/>
      <c r="J154" s="1134">
        <f t="shared" ref="J154:J161" si="26">SUM(C154:I154)</f>
        <v>0</v>
      </c>
    </row>
    <row r="155" spans="1:14" ht="15.6">
      <c r="A155" s="1131" t="s">
        <v>957</v>
      </c>
      <c r="B155" s="1132"/>
      <c r="C155" s="687"/>
      <c r="D155" s="687"/>
      <c r="E155" s="687"/>
      <c r="F155" s="687"/>
      <c r="G155" s="687"/>
      <c r="H155" s="687"/>
      <c r="I155" s="1135"/>
      <c r="J155" s="1134">
        <f t="shared" si="26"/>
        <v>0</v>
      </c>
    </row>
    <row r="156" spans="1:14" ht="15.6">
      <c r="A156" s="1131" t="s">
        <v>958</v>
      </c>
      <c r="B156" s="1132"/>
      <c r="C156" s="687"/>
      <c r="D156" s="687"/>
      <c r="E156" s="687"/>
      <c r="F156" s="687"/>
      <c r="G156" s="687"/>
      <c r="H156" s="687"/>
      <c r="I156" s="1135"/>
      <c r="J156" s="1134">
        <f t="shared" si="26"/>
        <v>0</v>
      </c>
    </row>
    <row r="157" spans="1:14" ht="15.6">
      <c r="A157" s="1131" t="s">
        <v>960</v>
      </c>
      <c r="B157" s="1132"/>
      <c r="C157" s="687"/>
      <c r="D157" s="687"/>
      <c r="E157" s="687"/>
      <c r="F157" s="687"/>
      <c r="G157" s="687"/>
      <c r="H157" s="687"/>
      <c r="I157" s="1135"/>
      <c r="J157" s="1134">
        <f t="shared" si="26"/>
        <v>0</v>
      </c>
    </row>
    <row r="158" spans="1:14" ht="15.6">
      <c r="A158" s="1131" t="s">
        <v>959</v>
      </c>
      <c r="B158" s="1132"/>
      <c r="C158" s="687"/>
      <c r="D158" s="687"/>
      <c r="E158" s="687"/>
      <c r="F158" s="687"/>
      <c r="G158" s="687"/>
      <c r="H158" s="687"/>
      <c r="I158" s="1135"/>
      <c r="J158" s="1134">
        <f t="shared" si="26"/>
        <v>0</v>
      </c>
    </row>
    <row r="159" spans="1:14" ht="15.6">
      <c r="A159" s="1131" t="s">
        <v>961</v>
      </c>
      <c r="B159" s="1132"/>
      <c r="C159" s="687"/>
      <c r="D159" s="687"/>
      <c r="E159" s="687"/>
      <c r="F159" s="687"/>
      <c r="G159" s="687"/>
      <c r="H159" s="687"/>
      <c r="I159" s="1135"/>
      <c r="J159" s="1134">
        <f t="shared" si="26"/>
        <v>0</v>
      </c>
    </row>
    <row r="160" spans="1:14" ht="15.6">
      <c r="A160" s="1131" t="s">
        <v>962</v>
      </c>
      <c r="B160" s="1136"/>
      <c r="C160" s="687"/>
      <c r="D160" s="687"/>
      <c r="E160" s="687"/>
      <c r="F160" s="687"/>
      <c r="G160" s="687"/>
      <c r="H160" s="687"/>
      <c r="I160" s="1135"/>
      <c r="J160" s="1134">
        <f t="shared" si="26"/>
        <v>0</v>
      </c>
    </row>
    <row r="161" spans="1:11" ht="15.6">
      <c r="A161" s="1131" t="s">
        <v>963</v>
      </c>
      <c r="B161" s="1136"/>
      <c r="C161" s="687"/>
      <c r="D161" s="687"/>
      <c r="E161" s="687"/>
      <c r="F161" s="687"/>
      <c r="G161" s="687"/>
      <c r="H161" s="687"/>
      <c r="I161" s="1135"/>
      <c r="J161" s="1134">
        <f t="shared" si="26"/>
        <v>0</v>
      </c>
    </row>
    <row r="162" spans="1:11" ht="15.6">
      <c r="A162" s="1131" t="s">
        <v>964</v>
      </c>
      <c r="B162" s="1136"/>
      <c r="C162" s="687"/>
      <c r="D162" s="687"/>
      <c r="E162" s="687"/>
      <c r="F162" s="687"/>
      <c r="G162" s="687"/>
      <c r="H162" s="687"/>
      <c r="I162" s="1135"/>
      <c r="J162" s="1134">
        <f>SUM(C162:I162)</f>
        <v>0</v>
      </c>
    </row>
    <row r="163" spans="1:11" ht="15.6">
      <c r="A163" s="1131" t="s">
        <v>965</v>
      </c>
      <c r="B163" s="1132"/>
      <c r="C163" s="687"/>
      <c r="D163" s="687"/>
      <c r="E163" s="687"/>
      <c r="F163" s="687"/>
      <c r="G163" s="687"/>
      <c r="H163" s="687"/>
      <c r="I163" s="1135"/>
      <c r="J163" s="1134">
        <f>SUM(C163:I163)</f>
        <v>0</v>
      </c>
    </row>
    <row r="164" spans="1:11" ht="15.6">
      <c r="A164" s="1131" t="s">
        <v>966</v>
      </c>
      <c r="B164" s="1132"/>
      <c r="C164" s="687"/>
      <c r="D164" s="687"/>
      <c r="E164" s="687"/>
      <c r="F164" s="687"/>
      <c r="G164" s="687"/>
      <c r="H164" s="687"/>
      <c r="I164" s="1135"/>
      <c r="J164" s="1134">
        <f>SUM(C164:I164)</f>
        <v>0</v>
      </c>
    </row>
    <row r="165" spans="1:11" ht="15.6">
      <c r="A165" s="1131" t="s">
        <v>967</v>
      </c>
      <c r="B165" s="1132"/>
      <c r="C165" s="687"/>
      <c r="D165" s="687"/>
      <c r="E165" s="687"/>
      <c r="F165" s="687"/>
      <c r="G165" s="687"/>
      <c r="H165" s="687"/>
      <c r="I165" s="1135"/>
      <c r="J165" s="1134">
        <f>SUM(C165:I165)</f>
        <v>0</v>
      </c>
    </row>
    <row r="166" spans="1:11" ht="15.6">
      <c r="A166" s="1131" t="s">
        <v>968</v>
      </c>
      <c r="B166" s="1132"/>
      <c r="C166" s="687"/>
      <c r="D166" s="687"/>
      <c r="E166" s="687"/>
      <c r="F166" s="687"/>
      <c r="G166" s="687"/>
      <c r="H166" s="687"/>
      <c r="I166" s="1135"/>
      <c r="J166" s="1134">
        <f>SUM(C166:I166)</f>
        <v>0</v>
      </c>
      <c r="K166" s="1137"/>
    </row>
    <row r="167" spans="1:11" ht="15.6">
      <c r="A167" s="1131" t="s">
        <v>969</v>
      </c>
      <c r="B167" s="1132"/>
      <c r="C167" s="687"/>
      <c r="D167" s="687"/>
      <c r="E167" s="687"/>
      <c r="F167" s="687"/>
      <c r="G167" s="687"/>
      <c r="H167" s="687"/>
      <c r="I167" s="1135"/>
      <c r="J167" s="1134">
        <f t="shared" ref="J167:J176" si="27">SUM(C167:I167)</f>
        <v>0</v>
      </c>
      <c r="K167" s="1137"/>
    </row>
    <row r="168" spans="1:11" ht="15.6">
      <c r="A168" s="1131" t="s">
        <v>970</v>
      </c>
      <c r="B168" s="1132"/>
      <c r="C168" s="687"/>
      <c r="D168" s="687"/>
      <c r="E168" s="687"/>
      <c r="F168" s="687"/>
      <c r="G168" s="687"/>
      <c r="H168" s="687"/>
      <c r="I168" s="1135"/>
      <c r="J168" s="1134">
        <f t="shared" si="27"/>
        <v>0</v>
      </c>
    </row>
    <row r="169" spans="1:11" ht="15.6">
      <c r="A169" s="1131" t="s">
        <v>971</v>
      </c>
      <c r="B169" s="1132"/>
      <c r="C169" s="687"/>
      <c r="D169" s="687"/>
      <c r="E169" s="687"/>
      <c r="F169" s="687"/>
      <c r="G169" s="687"/>
      <c r="H169" s="687"/>
      <c r="I169" s="1135"/>
      <c r="J169" s="1134">
        <f t="shared" si="27"/>
        <v>0</v>
      </c>
    </row>
    <row r="170" spans="1:11" ht="15.6">
      <c r="A170" s="1131" t="s">
        <v>972</v>
      </c>
      <c r="B170" s="1132"/>
      <c r="C170" s="687"/>
      <c r="D170" s="687"/>
      <c r="E170" s="687"/>
      <c r="F170" s="687"/>
      <c r="G170" s="687"/>
      <c r="H170" s="687"/>
      <c r="I170" s="1135"/>
      <c r="J170" s="1134">
        <f t="shared" si="27"/>
        <v>0</v>
      </c>
    </row>
    <row r="171" spans="1:11" ht="15.6">
      <c r="A171" s="1131" t="s">
        <v>973</v>
      </c>
      <c r="B171" s="1132"/>
      <c r="C171" s="687"/>
      <c r="D171" s="687"/>
      <c r="E171" s="687"/>
      <c r="F171" s="687"/>
      <c r="G171" s="687"/>
      <c r="H171" s="687"/>
      <c r="I171" s="1135"/>
      <c r="J171" s="1134">
        <f t="shared" si="27"/>
        <v>0</v>
      </c>
    </row>
    <row r="172" spans="1:11" ht="15.6">
      <c r="A172" s="1131" t="s">
        <v>974</v>
      </c>
      <c r="B172" s="1136"/>
      <c r="C172" s="687"/>
      <c r="D172" s="687"/>
      <c r="E172" s="687"/>
      <c r="F172" s="687"/>
      <c r="G172" s="687"/>
      <c r="H172" s="687"/>
      <c r="I172" s="1135"/>
      <c r="J172" s="1134">
        <f t="shared" si="27"/>
        <v>0</v>
      </c>
    </row>
    <row r="173" spans="1:11" ht="15.6">
      <c r="A173" s="1131" t="s">
        <v>975</v>
      </c>
      <c r="B173" s="1136"/>
      <c r="C173" s="687"/>
      <c r="D173" s="687"/>
      <c r="E173" s="687"/>
      <c r="F173" s="687"/>
      <c r="G173" s="687"/>
      <c r="H173" s="687"/>
      <c r="I173" s="1135"/>
      <c r="J173" s="1134">
        <f t="shared" si="27"/>
        <v>0</v>
      </c>
    </row>
    <row r="174" spans="1:11" ht="15.6">
      <c r="A174" s="1131" t="s">
        <v>976</v>
      </c>
      <c r="B174" s="1132"/>
      <c r="C174" s="687"/>
      <c r="D174" s="687"/>
      <c r="E174" s="687"/>
      <c r="F174" s="687"/>
      <c r="G174" s="687"/>
      <c r="H174" s="687"/>
      <c r="I174" s="1135"/>
      <c r="J174" s="1134">
        <f t="shared" si="27"/>
        <v>0</v>
      </c>
    </row>
    <row r="175" spans="1:11" ht="15.6">
      <c r="A175" s="1131" t="s">
        <v>977</v>
      </c>
      <c r="B175" s="1132"/>
      <c r="C175" s="687"/>
      <c r="D175" s="687"/>
      <c r="E175" s="687"/>
      <c r="F175" s="687"/>
      <c r="G175" s="687"/>
      <c r="H175" s="687"/>
      <c r="I175" s="1135"/>
      <c r="J175" s="1134">
        <f t="shared" si="27"/>
        <v>0</v>
      </c>
    </row>
    <row r="176" spans="1:11" ht="15.6">
      <c r="A176" s="1131" t="s">
        <v>978</v>
      </c>
      <c r="B176" s="1138"/>
      <c r="C176" s="1139"/>
      <c r="D176" s="1139"/>
      <c r="E176" s="1139"/>
      <c r="F176" s="1139"/>
      <c r="G176" s="1139"/>
      <c r="H176" s="1139"/>
      <c r="I176" s="1140"/>
      <c r="J176" s="1141">
        <f t="shared" si="27"/>
        <v>0</v>
      </c>
    </row>
    <row r="177" spans="1:12" ht="15.6">
      <c r="A177" s="1142">
        <v>40</v>
      </c>
      <c r="B177" s="634" t="s">
        <v>651</v>
      </c>
      <c r="C177" s="687">
        <f t="shared" ref="C177:J177" si="28">SUM(C154:C176)</f>
        <v>0</v>
      </c>
      <c r="D177" s="687">
        <f t="shared" si="28"/>
        <v>0</v>
      </c>
      <c r="E177" s="687">
        <f t="shared" si="28"/>
        <v>0</v>
      </c>
      <c r="F177" s="687">
        <f t="shared" si="28"/>
        <v>0</v>
      </c>
      <c r="G177" s="687">
        <f t="shared" si="28"/>
        <v>0</v>
      </c>
      <c r="H177" s="687">
        <f t="shared" si="28"/>
        <v>0</v>
      </c>
      <c r="I177" s="687">
        <f t="shared" si="28"/>
        <v>0</v>
      </c>
      <c r="J177" s="687">
        <f t="shared" si="28"/>
        <v>0</v>
      </c>
      <c r="L177" t="s">
        <v>760</v>
      </c>
    </row>
    <row r="178" spans="1:12" ht="15.6">
      <c r="B178" s="642"/>
      <c r="C178" s="642"/>
      <c r="D178" s="642"/>
      <c r="E178" s="642"/>
      <c r="F178" s="642"/>
      <c r="G178" s="642"/>
      <c r="H178" s="642"/>
      <c r="I178" s="642"/>
    </row>
    <row r="179" spans="1:12" ht="15.6">
      <c r="B179" s="642"/>
      <c r="C179" s="642"/>
      <c r="D179" s="642"/>
      <c r="E179" s="642"/>
      <c r="F179" s="642"/>
      <c r="G179" s="642"/>
      <c r="H179" s="642"/>
      <c r="I179" s="642"/>
    </row>
    <row r="180" spans="1:12" ht="15.6">
      <c r="B180" s="642"/>
      <c r="C180" s="642"/>
      <c r="D180" s="642"/>
      <c r="E180" s="642"/>
      <c r="F180" s="642"/>
      <c r="G180" s="642"/>
      <c r="H180" s="642"/>
      <c r="I180" s="642"/>
    </row>
  </sheetData>
  <mergeCells count="36">
    <mergeCell ref="E144:F144"/>
    <mergeCell ref="E145:F145"/>
    <mergeCell ref="E139:F139"/>
    <mergeCell ref="E140:F140"/>
    <mergeCell ref="E141:F141"/>
    <mergeCell ref="E142:F142"/>
    <mergeCell ref="E143:F143"/>
    <mergeCell ref="A124:C124"/>
    <mergeCell ref="E136:F136"/>
    <mergeCell ref="E137:F137"/>
    <mergeCell ref="E138:F138"/>
    <mergeCell ref="E135:F135"/>
    <mergeCell ref="E134:F134"/>
    <mergeCell ref="C129:D129"/>
    <mergeCell ref="E129:F129"/>
    <mergeCell ref="E130:F130"/>
    <mergeCell ref="E131:F131"/>
    <mergeCell ref="E132:F132"/>
    <mergeCell ref="E133:F133"/>
    <mergeCell ref="U67:U68"/>
    <mergeCell ref="V67:V68"/>
    <mergeCell ref="T67:T68"/>
    <mergeCell ref="B67:B68"/>
    <mergeCell ref="C67:C68"/>
    <mergeCell ref="D67:D68"/>
    <mergeCell ref="E67:E68"/>
    <mergeCell ref="F67:F68"/>
    <mergeCell ref="A1:AB1"/>
    <mergeCell ref="F44:R44"/>
    <mergeCell ref="F45:R45"/>
    <mergeCell ref="A48:A49"/>
    <mergeCell ref="B48:B49"/>
    <mergeCell ref="C48:C49"/>
    <mergeCell ref="D48:D49"/>
    <mergeCell ref="R48:R49"/>
    <mergeCell ref="A2:AB2"/>
  </mergeCells>
  <pageMargins left="0.7" right="0.7" top="0.75" bottom="0.75" header="0.3" footer="0.3"/>
  <pageSetup scale="36" fitToHeight="2" orientation="landscape" r:id="rId1"/>
  <rowBreaks count="2" manualBreakCount="2">
    <brk id="82" max="16383" man="1"/>
    <brk id="1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egacyObjID xmlns="e67a259b-b064-4dad-99ea-9056ae4e8be9" xsi:nil="true"/>
    <DocDescription xmlns="e67a259b-b064-4dad-99ea-9056ae4e8be9" xsi:nil="true"/>
    <TaxCatchAll xmlns="e67a259b-b064-4dad-99ea-9056ae4e8be9">
      <Value>1</Value>
    </TaxCatchAll>
    <n3050d635d8a4c5ab09e418d8f381e2b xmlns="e67a259b-b064-4dad-99ea-9056ae4e8be9">
      <Terms xmlns="http://schemas.microsoft.com/office/infopath/2007/PartnerControls"/>
    </n3050d635d8a4c5ab09e418d8f381e2b>
    <p1d6c7a98c54445284ac0a0253fc066c xmlns="e67a259b-b064-4dad-99ea-9056ae4e8be9">
      <Terms xmlns="http://schemas.microsoft.com/office/infopath/2007/PartnerControls"/>
    </p1d6c7a98c54445284ac0a0253fc066c>
    <k6ddcef4143d45158923c73e5fbf7fd3 xmlns="e67a259b-b064-4dad-99ea-9056ae4e8be9">
      <Terms xmlns="http://schemas.microsoft.com/office/infopath/2007/PartnerControls"/>
    </k6ddcef4143d45158923c73e5fbf7fd3>
    <HoldName xmlns="e67a259b-b064-4dad-99ea-9056ae4e8be9" xsi:nil="true"/>
    <b547e2d25ec54fdeabe25f8313d664c0 xmlns="e67a259b-b064-4dad-99ea-9056ae4e8be9">
      <Terms xmlns="http://schemas.microsoft.com/office/infopath/2007/PartnerControls"/>
    </b547e2d25ec54fdeabe25f8313d664c0>
    <h3dad4f417ab413a8ca4314e9f1bd0eb xmlns="e67a259b-b064-4dad-99ea-9056ae4e8be9">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85e3e8f1-6d5d-4c8b-9355-5eb54c3875c2</TermId>
        </TermInfo>
      </Terms>
    </h3dad4f417ab413a8ca4314e9f1bd0eb>
    <_dlc_DocId xmlns="e25088f3-9b63-4b0f-82a9-173e45969f25">SYCKHE2NZKZH-1733611864-11365</_dlc_DocId>
    <_dlc_DocIdUrl xmlns="e25088f3-9b63-4b0f-82a9-173e45969f25">
      <Url>https://centralhudson.sharepoint.com/sites/EnergyPolicyRegulation/_layouts/15/DocIdRedir.aspx?ID=SYCKHE2NZKZH-1733611864-11365</Url>
      <Description>SYCKHE2NZKZH-1733611864-11365</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7111CA7B076B2F46BB38889BD44FB56D" ma:contentTypeVersion="18" ma:contentTypeDescription="Create a new document." ma:contentTypeScope="" ma:versionID="ea82a888f7d671c5e5b463795705f1d8">
  <xsd:schema xmlns:xsd="http://www.w3.org/2001/XMLSchema" xmlns:xs="http://www.w3.org/2001/XMLSchema" xmlns:p="http://schemas.microsoft.com/office/2006/metadata/properties" xmlns:ns2="e25088f3-9b63-4b0f-82a9-173e45969f25" xmlns:ns3="e67a259b-b064-4dad-99ea-9056ae4e8be9" xmlns:ns4="e8eac3e3-aaff-4c5d-8182-f9e9c1a75e02" targetNamespace="http://schemas.microsoft.com/office/2006/metadata/properties" ma:root="true" ma:fieldsID="7b216bb982c89a246606f23951e97aa0" ns2:_="" ns3:_="" ns4:_="">
    <xsd:import namespace="e25088f3-9b63-4b0f-82a9-173e45969f25"/>
    <xsd:import namespace="e67a259b-b064-4dad-99ea-9056ae4e8be9"/>
    <xsd:import namespace="e8eac3e3-aaff-4c5d-8182-f9e9c1a75e02"/>
    <xsd:element name="properties">
      <xsd:complexType>
        <xsd:sequence>
          <xsd:element name="documentManagement">
            <xsd:complexType>
              <xsd:all>
                <xsd:element ref="ns2:_dlc_DocId" minOccurs="0"/>
                <xsd:element ref="ns2:_dlc_DocIdUrl" minOccurs="0"/>
                <xsd:element ref="ns2:_dlc_DocIdPersistId" minOccurs="0"/>
                <xsd:element ref="ns3:LegacyObjID" minOccurs="0"/>
                <xsd:element ref="ns3:DocDescription" minOccurs="0"/>
                <xsd:element ref="ns3:k6ddcef4143d45158923c73e5fbf7fd3" minOccurs="0"/>
                <xsd:element ref="ns3:TaxCatchAll" minOccurs="0"/>
                <xsd:element ref="ns3:b547e2d25ec54fdeabe25f8313d664c0" minOccurs="0"/>
                <xsd:element ref="ns3:p1d6c7a98c54445284ac0a0253fc066c" minOccurs="0"/>
                <xsd:element ref="ns3:n3050d635d8a4c5ab09e418d8f381e2b" minOccurs="0"/>
                <xsd:element ref="ns3:HoldName" minOccurs="0"/>
                <xsd:element ref="ns3:h3dad4f417ab413a8ca4314e9f1bd0eb" minOccurs="0"/>
                <xsd:element ref="ns2:SharedWithUsers" minOccurs="0"/>
                <xsd:element ref="ns2:SharedWithDetails"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5088f3-9b63-4b0f-82a9-173e45969f2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7a259b-b064-4dad-99ea-9056ae4e8be9" elementFormDefault="qualified">
    <xsd:import namespace="http://schemas.microsoft.com/office/2006/documentManagement/types"/>
    <xsd:import namespace="http://schemas.microsoft.com/office/infopath/2007/PartnerControls"/>
    <xsd:element name="LegacyObjID" ma:index="11" nillable="true" ma:displayName="Legacy Object ID" ma:description="The OpenText Object ID assigned to the migrated document" ma:internalName="LegacyObjID">
      <xsd:simpleType>
        <xsd:restriction base="dms:Text">
          <xsd:maxLength value="255"/>
        </xsd:restriction>
      </xsd:simpleType>
    </xsd:element>
    <xsd:element name="DocDescription" ma:index="12" nillable="true" ma:displayName="Document Description" ma:description="The description of the document" ma:internalName="DocDescription">
      <xsd:simpleType>
        <xsd:restriction base="dms:Note">
          <xsd:maxLength value="255"/>
        </xsd:restriction>
      </xsd:simpleType>
    </xsd:element>
    <xsd:element name="k6ddcef4143d45158923c73e5fbf7fd3" ma:index="14" nillable="true" ma:taxonomy="true" ma:internalName="k6ddcef4143d45158923c73e5fbf7fd3" ma:taxonomyFieldName="Area" ma:displayName="Area" ma:default="" ma:fieldId="{46ddcef4-143d-4515-8923-c73e5fbf7fd3}" ma:sspId="7bf5fa43-f6bd-45aa-9061-cc6667b7271d" ma:termSetId="04184601-f0b6-4e71-a582-a25f76140a65"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68faf95c-2032-4a8a-97fa-a29de466012e}" ma:internalName="TaxCatchAll" ma:showField="CatchAllData" ma:web="e25088f3-9b63-4b0f-82a9-173e45969f25">
      <xsd:complexType>
        <xsd:complexContent>
          <xsd:extension base="dms:MultiChoiceLookup">
            <xsd:sequence>
              <xsd:element name="Value" type="dms:Lookup" maxOccurs="unbounded" minOccurs="0" nillable="true"/>
            </xsd:sequence>
          </xsd:extension>
        </xsd:complexContent>
      </xsd:complexType>
    </xsd:element>
    <xsd:element name="b547e2d25ec54fdeabe25f8313d664c0" ma:index="17" nillable="true" ma:taxonomy="true" ma:internalName="b547e2d25ec54fdeabe25f8313d664c0" ma:taxonomyFieldName="District" ma:displayName="District" ma:default="" ma:fieldId="{b547e2d2-5ec5-4fde-abe2-5f8313d664c0}" ma:sspId="7bf5fa43-f6bd-45aa-9061-cc6667b7271d" ma:termSetId="28363ab1-c85c-4f1f-bdda-45b2c4f3e703" ma:anchorId="00000000-0000-0000-0000-000000000000" ma:open="true" ma:isKeyword="false">
      <xsd:complexType>
        <xsd:sequence>
          <xsd:element ref="pc:Terms" minOccurs="0" maxOccurs="1"/>
        </xsd:sequence>
      </xsd:complexType>
    </xsd:element>
    <xsd:element name="p1d6c7a98c54445284ac0a0253fc066c" ma:index="19" nillable="true" ma:taxonomy="true" ma:internalName="p1d6c7a98c54445284ac0a0253fc066c" ma:taxonomyFieldName="LegacySecurityTag" ma:displayName="Legacy Security Tag" ma:default="" ma:fieldId="{91d6c7a9-8c54-4452-84ac-0a0253fc066c}" ma:sspId="7bf5fa43-f6bd-45aa-9061-cc6667b7271d" ma:termSetId="d5cde430-222d-4c3a-9b04-75289ab7b20c" ma:anchorId="00000000-0000-0000-0000-000000000000" ma:open="false" ma:isKeyword="false">
      <xsd:complexType>
        <xsd:sequence>
          <xsd:element ref="pc:Terms" minOccurs="0" maxOccurs="1"/>
        </xsd:sequence>
      </xsd:complexType>
    </xsd:element>
    <xsd:element name="n3050d635d8a4c5ab09e418d8f381e2b" ma:index="21" nillable="true" ma:taxonomy="true" ma:internalName="n3050d635d8a4c5ab09e418d8f381e2b" ma:taxonomyFieldName="Information_x0020_Type" ma:displayName="Information Type" ma:default="" ma:fieldId="{73050d63-5d8a-4c5a-b09e-418d8f381e2b}" ma:sspId="7bf5fa43-f6bd-45aa-9061-cc6667b7271d" ma:termSetId="5460df09-e86b-4c45-898c-b2a91a9b5fe3" ma:anchorId="00000000-0000-0000-0000-000000000000" ma:open="true" ma:isKeyword="false">
      <xsd:complexType>
        <xsd:sequence>
          <xsd:element ref="pc:Terms" minOccurs="0" maxOccurs="1"/>
        </xsd:sequence>
      </xsd:complexType>
    </xsd:element>
    <xsd:element name="HoldName" ma:index="22" nillable="true" ma:displayName="Hold Name" ma:description="The name of the legacy Legal Hold assigned to the Document" ma:internalName="HoldName">
      <xsd:simpleType>
        <xsd:restriction base="dms:Note">
          <xsd:maxLength value="255"/>
        </xsd:restriction>
      </xsd:simpleType>
    </xsd:element>
    <xsd:element name="h3dad4f417ab413a8ca4314e9f1bd0eb" ma:index="24" nillable="true" ma:taxonomy="true" ma:internalName="h3dad4f417ab413a8ca4314e9f1bd0eb" ma:taxonomyFieldName="Information_x0020_Status" ma:displayName="Information Status" ma:default="1;#Draft|85e3e8f1-6d5d-4c8b-9355-5eb54c3875c2" ma:fieldId="{13dad4f4-17ab-413a-8ca4-314e9f1bd0eb}" ma:sspId="7bf5fa43-f6bd-45aa-9061-cc6667b7271d" ma:termSetId="66d3dc24-0c45-4f11-9171-189e7d76739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eac3e3-aaff-4c5d-8182-f9e9c1a75e02"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82CD18-30BC-4901-95DD-E20830B0523D}">
  <ds:schemaRefs>
    <ds:schemaRef ds:uri="http://schemas.microsoft.com/sharepoint/events"/>
  </ds:schemaRefs>
</ds:datastoreItem>
</file>

<file path=customXml/itemProps2.xml><?xml version="1.0" encoding="utf-8"?>
<ds:datastoreItem xmlns:ds="http://schemas.openxmlformats.org/officeDocument/2006/customXml" ds:itemID="{FDE70C96-E013-483C-BC2D-22B94584FB59}">
  <ds:schemaRefs>
    <ds:schemaRef ds:uri="http://schemas.microsoft.com/sharepoint/v3/contenttype/forms"/>
  </ds:schemaRefs>
</ds:datastoreItem>
</file>

<file path=customXml/itemProps3.xml><?xml version="1.0" encoding="utf-8"?>
<ds:datastoreItem xmlns:ds="http://schemas.openxmlformats.org/officeDocument/2006/customXml" ds:itemID="{41CA170C-19A3-42F6-A389-E4D98720EB5F}">
  <ds:schemaRefs>
    <ds:schemaRef ds:uri="http://schemas.microsoft.com/office/2006/metadata/longProperties"/>
  </ds:schemaRefs>
</ds:datastoreItem>
</file>

<file path=customXml/itemProps4.xml><?xml version="1.0" encoding="utf-8"?>
<ds:datastoreItem xmlns:ds="http://schemas.openxmlformats.org/officeDocument/2006/customXml" ds:itemID="{C6E60493-B748-4982-9DB3-3BB752D16494}">
  <ds:schemaRefs>
    <ds:schemaRef ds:uri="http://schemas.microsoft.com/office/2006/documentManagement/types"/>
    <ds:schemaRef ds:uri="e8eac3e3-aaff-4c5d-8182-f9e9c1a75e02"/>
    <ds:schemaRef ds:uri="http://purl.org/dc/elements/1.1/"/>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e67a259b-b064-4dad-99ea-9056ae4e8be9"/>
    <ds:schemaRef ds:uri="e25088f3-9b63-4b0f-82a9-173e45969f25"/>
    <ds:schemaRef ds:uri="http://schemas.microsoft.com/office/2006/metadata/properties"/>
  </ds:schemaRefs>
</ds:datastoreItem>
</file>

<file path=customXml/itemProps5.xml><?xml version="1.0" encoding="utf-8"?>
<ds:datastoreItem xmlns:ds="http://schemas.openxmlformats.org/officeDocument/2006/customXml" ds:itemID="{CE32A367-4C69-4515-9968-BF5CEEC7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5088f3-9b63-4b0f-82a9-173e45969f25"/>
    <ds:schemaRef ds:uri="e67a259b-b064-4dad-99ea-9056ae4e8be9"/>
    <ds:schemaRef ds:uri="e8eac3e3-aaff-4c5d-8182-f9e9c1a75e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Index</vt:lpstr>
      <vt:lpstr>Appendix A</vt:lpstr>
      <vt:lpstr>1 - Revenue Credits</vt:lpstr>
      <vt:lpstr>2 - Cost Support </vt:lpstr>
      <vt:lpstr>3 - Cost Support</vt:lpstr>
      <vt:lpstr>3 - Cost Support (cont.)</vt:lpstr>
      <vt:lpstr>4 - Incentives</vt:lpstr>
      <vt:lpstr>5  LTD</vt:lpstr>
      <vt:lpstr>6a- ADIT</vt:lpstr>
      <vt:lpstr>6b- ADIT</vt:lpstr>
      <vt:lpstr>7 - True-Up</vt:lpstr>
      <vt:lpstr>7a-Interest Rate</vt:lpstr>
      <vt:lpstr>8- Depreciation Rates</vt:lpstr>
      <vt:lpstr>9 - Workpaper</vt:lpstr>
      <vt:lpstr>'Appendix A'!_ftn1</vt:lpstr>
      <vt:lpstr>'Appendix A'!_ftnref1</vt:lpstr>
      <vt:lpstr>'1 - Revenue Credits'!Print_Area</vt:lpstr>
      <vt:lpstr>'2 - Cost Support '!Print_Area</vt:lpstr>
      <vt:lpstr>'3 - Cost Support'!Print_Area</vt:lpstr>
      <vt:lpstr>'3 - Cost Support (cont.)'!Print_Area</vt:lpstr>
      <vt:lpstr>'4 - Incentives'!Print_Area</vt:lpstr>
      <vt:lpstr>'5  LTD'!Print_Area</vt:lpstr>
      <vt:lpstr>'6a- ADIT'!Print_Area</vt:lpstr>
      <vt:lpstr>'6b- ADIT'!Print_Area</vt:lpstr>
      <vt:lpstr>'7 - True-Up'!Print_Area</vt:lpstr>
      <vt:lpstr>'7a-Interest Rate'!Print_Area</vt:lpstr>
      <vt:lpstr>'8- Depreciation Rates'!Print_Area</vt:lpstr>
      <vt:lpstr>'Appendix A'!Print_Area</vt:lpstr>
      <vt:lpstr>Index!Print_Area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2015-12-02T19:39:07Z</dcterms:created>
  <dcterms:modified xsi:type="dcterms:W3CDTF">2023-04-14T13:49:39Z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isplay_urn:schemas-microsoft-com:office:office#Editor">
    <vt:lpwstr>System Account</vt:lpwstr>
  </property>
  <property fmtid="{D5CDD505-2E9C-101B-9397-08002B2CF9AE}" pid="4" name="Order">
    <vt:lpwstr>8802700.00000000</vt:lpwstr>
  </property>
  <property fmtid="{D5CDD505-2E9C-101B-9397-08002B2CF9AE}" pid="5" name="ChildDoc4Name">
    <vt:lpwstr/>
  </property>
  <property fmtid="{D5CDD505-2E9C-101B-9397-08002B2CF9AE}" pid="6" name="xd_ProgID">
    <vt:lpwstr/>
  </property>
  <property fmtid="{D5CDD505-2E9C-101B-9397-08002B2CF9AE}" pid="7" name="ChildDoc1URL">
    <vt:lpwstr/>
  </property>
  <property fmtid="{D5CDD505-2E9C-101B-9397-08002B2CF9AE}" pid="8" name="ChildDoc2URL">
    <vt:lpwstr/>
  </property>
  <property fmtid="{D5CDD505-2E9C-101B-9397-08002B2CF9AE}" pid="9" name="SortOrder1">
    <vt:lpwstr/>
  </property>
  <property fmtid="{D5CDD505-2E9C-101B-9397-08002B2CF9AE}" pid="10" name="display_urn:schemas-microsoft-com:office:office#Author">
    <vt:lpwstr>System Account</vt:lpwstr>
  </property>
  <property fmtid="{D5CDD505-2E9C-101B-9397-08002B2CF9AE}" pid="11" name="TemplateUrl">
    <vt:lpwstr/>
  </property>
  <property fmtid="{D5CDD505-2E9C-101B-9397-08002B2CF9AE}" pid="12" name="ChildDoc5Name">
    <vt:lpwstr/>
  </property>
  <property fmtid="{D5CDD505-2E9C-101B-9397-08002B2CF9AE}" pid="13" name="ChildDoc1Name">
    <vt:lpwstr/>
  </property>
  <property fmtid="{D5CDD505-2E9C-101B-9397-08002B2CF9AE}" pid="14" name="ChildDoc2Name">
    <vt:lpwstr/>
  </property>
  <property fmtid="{D5CDD505-2E9C-101B-9397-08002B2CF9AE}" pid="15" name="ChildDoc3Name">
    <vt:lpwstr/>
  </property>
  <property fmtid="{D5CDD505-2E9C-101B-9397-08002B2CF9AE}" pid="16" name="URL">
    <vt:lpwstr/>
  </property>
  <property fmtid="{D5CDD505-2E9C-101B-9397-08002B2CF9AE}" pid="17" name="ChildDoc5URL">
    <vt:lpwstr/>
  </property>
  <property fmtid="{D5CDD505-2E9C-101B-9397-08002B2CF9AE}" pid="18" name="xd_Signature">
    <vt:lpwstr/>
  </property>
  <property fmtid="{D5CDD505-2E9C-101B-9397-08002B2CF9AE}" pid="19" name="ChildDoc3URL">
    <vt:lpwstr/>
  </property>
  <property fmtid="{D5CDD505-2E9C-101B-9397-08002B2CF9AE}" pid="20" name="ChildDoc4URL">
    <vt:lpwstr/>
  </property>
  <property fmtid="{D5CDD505-2E9C-101B-9397-08002B2CF9AE}" pid="21" name="ContentTypeId">
    <vt:lpwstr>0x0101007111CA7B076B2F46BB38889BD44FB56D</vt:lpwstr>
  </property>
  <property fmtid="{D5CDD505-2E9C-101B-9397-08002B2CF9AE}" pid="22" name="_dlc_DocIdItemGuid">
    <vt:lpwstr>ade3899d-fd9b-45f4-83c5-46e61237bf44</vt:lpwstr>
  </property>
  <property fmtid="{D5CDD505-2E9C-101B-9397-08002B2CF9AE}" pid="23" name="Information Status">
    <vt:lpwstr>1;#Draft|85e3e8f1-6d5d-4c8b-9355-5eb54c3875c2</vt:lpwstr>
  </property>
  <property fmtid="{D5CDD505-2E9C-101B-9397-08002B2CF9AE}" pid="24" name="LegacySecurityTag">
    <vt:lpwstr/>
  </property>
  <property fmtid="{D5CDD505-2E9C-101B-9397-08002B2CF9AE}" pid="25" name="District">
    <vt:lpwstr/>
  </property>
  <property fmtid="{D5CDD505-2E9C-101B-9397-08002B2CF9AE}" pid="26" name="Information Type">
    <vt:lpwstr/>
  </property>
  <property fmtid="{D5CDD505-2E9C-101B-9397-08002B2CF9AE}" pid="27" name="Area">
    <vt:lpwstr/>
  </property>
  <property fmtid="{D5CDD505-2E9C-101B-9397-08002B2CF9AE}" pid="28" name="MSIP_Label_a5049dce-8671-4c79-90d7-f6ec79470f4e_Enabled">
    <vt:lpwstr>true</vt:lpwstr>
  </property>
  <property fmtid="{D5CDD505-2E9C-101B-9397-08002B2CF9AE}" pid="29" name="MSIP_Label_a5049dce-8671-4c79-90d7-f6ec79470f4e_SetDate">
    <vt:lpwstr>2023-04-14T13:49:05Z</vt:lpwstr>
  </property>
  <property fmtid="{D5CDD505-2E9C-101B-9397-08002B2CF9AE}" pid="30" name="MSIP_Label_a5049dce-8671-4c79-90d7-f6ec79470f4e_Method">
    <vt:lpwstr>Privileged</vt:lpwstr>
  </property>
  <property fmtid="{D5CDD505-2E9C-101B-9397-08002B2CF9AE}" pid="31" name="MSIP_Label_a5049dce-8671-4c79-90d7-f6ec79470f4e_Name">
    <vt:lpwstr>Public</vt:lpwstr>
  </property>
  <property fmtid="{D5CDD505-2E9C-101B-9397-08002B2CF9AE}" pid="32" name="MSIP_Label_a5049dce-8671-4c79-90d7-f6ec79470f4e_SiteId">
    <vt:lpwstr>7658602a-f7b9-4209-bc62-d2bfc30dea0d</vt:lpwstr>
  </property>
  <property fmtid="{D5CDD505-2E9C-101B-9397-08002B2CF9AE}" pid="33" name="MSIP_Label_a5049dce-8671-4c79-90d7-f6ec79470f4e_ActionId">
    <vt:lpwstr>c758f34a-783b-4f9e-958f-75a7db6d558a</vt:lpwstr>
  </property>
  <property fmtid="{D5CDD505-2E9C-101B-9397-08002B2CF9AE}" pid="34" name="MSIP_Label_a5049dce-8671-4c79-90d7-f6ec79470f4e_ContentBits">
    <vt:lpwstr>0</vt:lpwstr>
  </property>
  <property fmtid="{D5CDD505-2E9C-101B-9397-08002B2CF9AE}" pid="35" name="_AdHocReviewCycleID">
    <vt:i4>213208855</vt:i4>
  </property>
</Properties>
</file>